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1 R7\01　家族プラン\02秋・冬\"/>
    </mc:Choice>
  </mc:AlternateContent>
  <xr:revisionPtr revIDLastSave="0" documentId="13_ncr:1_{AFC840B8-DDF7-41D2-8993-1351A2CDC4CC}" xr6:coauthVersionLast="47" xr6:coauthVersionMax="47" xr10:uidLastSave="{00000000-0000-0000-0000-000000000000}"/>
  <bookViews>
    <workbookView xWindow="-120" yWindow="-120" windowWidth="20730" windowHeight="11040" tabRatio="923" firstSheet="4" activeTab="10"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リスト" sheetId="75" r:id="rId5"/>
    <sheet name="入力1" sheetId="67" r:id="rId6"/>
    <sheet name="入力2【名簿】" sheetId="62" r:id="rId7"/>
    <sheet name="入力3【⑥計画書 9時】" sheetId="63" r:id="rId8"/>
    <sheet name="入力3【⑥計画書 13時】" sheetId="74" r:id="rId9"/>
    <sheet name="①許可申請" sheetId="58" r:id="rId10"/>
    <sheet name="②精算予定" sheetId="34" r:id="rId11"/>
    <sheet name="③食事予定" sheetId="68" r:id="rId12"/>
    <sheet name="④物品発注" sheetId="40" r:id="rId13"/>
    <sheet name="⑤名簿" sheetId="61" r:id="rId14"/>
    <sheet name="名札印刷" sheetId="69" r:id="rId15"/>
  </sheets>
  <definedNames>
    <definedName name="_xlnm._FilterDatabase" localSheetId="2" hidden="1">人数確認用!$C$14:$J$14</definedName>
    <definedName name="ExtraCredit" localSheetId="11">#REF!</definedName>
    <definedName name="ExtraCredit" localSheetId="2">#REF!</definedName>
    <definedName name="ExtraCredit" localSheetId="5">#REF!</definedName>
    <definedName name="ExtraCredit" localSheetId="6">#REF!</definedName>
    <definedName name="ExtraCredit" localSheetId="8">#REF!</definedName>
    <definedName name="ExtraCredit">#REF!</definedName>
    <definedName name="MoreFruit" localSheetId="11">#REF!</definedName>
    <definedName name="MoreFruit" localSheetId="2">#REF!</definedName>
    <definedName name="MoreFruit" localSheetId="5">#REF!</definedName>
    <definedName name="MoreFruit" localSheetId="6">#REF!</definedName>
    <definedName name="MoreFruit" localSheetId="8">#REF!</definedName>
    <definedName name="MoreFruit">#REF!</definedName>
    <definedName name="MoreItem" localSheetId="11">#REF!</definedName>
    <definedName name="MoreItem" localSheetId="2">#REF!</definedName>
    <definedName name="MoreItem" localSheetId="5">#REF!</definedName>
    <definedName name="MoreItem" localSheetId="6">#REF!</definedName>
    <definedName name="MoreItem" localSheetId="8">#REF!</definedName>
    <definedName name="MoreItem">#REF!</definedName>
    <definedName name="MoreItems" localSheetId="11">#REF!</definedName>
    <definedName name="MoreItems" localSheetId="2">#REF!</definedName>
    <definedName name="MoreItems" localSheetId="5">#REF!</definedName>
    <definedName name="MoreItems" localSheetId="6">#REF!</definedName>
    <definedName name="MoreItems" localSheetId="8">#REF!</definedName>
    <definedName name="MoreItems">#REF!</definedName>
    <definedName name="OLE_LINK1" localSheetId="10">②精算予定!#REF!</definedName>
    <definedName name="OLE_LINK1" localSheetId="11">③食事予定!#REF!</definedName>
    <definedName name="OLE_LINK1" localSheetId="12">④物品発注!#REF!</definedName>
    <definedName name="_xlnm.Print_Area" localSheetId="9">①許可申請!$A$2:$X$41</definedName>
    <definedName name="_xlnm.Print_Area" localSheetId="10">②精算予定!$A$2:$W$15</definedName>
    <definedName name="_xlnm.Print_Area" localSheetId="11">③食事予定!$A$1:$AO$67</definedName>
    <definedName name="_xlnm.Print_Area" localSheetId="12">④物品発注!$A$2:$AB$85</definedName>
    <definedName name="_xlnm.Print_Area" localSheetId="13">⑤名簿!$A$2:$AU$87</definedName>
    <definedName name="_xlnm.Print_Area" localSheetId="4">リスト!$B$1:$Y$22</definedName>
    <definedName name="_xlnm.Print_Area" localSheetId="0">集計表!$A$1:$AG$47</definedName>
    <definedName name="_xlnm.Print_Area" localSheetId="2">人数確認用!$A$9:$L$44</definedName>
    <definedName name="_xlnm.Print_Area" localSheetId="5">入力1!$A$1:$AG$155</definedName>
    <definedName name="_xlnm.Print_Area" localSheetId="8">'入力3【⑥計画書 13時】'!$B$8:$AN$52</definedName>
    <definedName name="_xlnm.Print_Area" localSheetId="7">'入力3【⑥計画書 9時】'!$B$8:$AN$52</definedName>
    <definedName name="_xlnm.Print_Area" localSheetId="14">名札印刷!$A$2:$AB$47</definedName>
    <definedName name="_xlnm.Print_Area" localSheetId="1">利用数記載表!$A$7:$W$63</definedName>
    <definedName name="SUMExtraCredit" localSheetId="11">#REF!</definedName>
    <definedName name="SUMExtraCredit" localSheetId="2">#REF!</definedName>
    <definedName name="SUMExtraCredit" localSheetId="5">#REF!</definedName>
    <definedName name="SUMExtraCredit" localSheetId="6">#REF!</definedName>
    <definedName name="SUMExtraCredit" localSheetId="8">#REF!</definedName>
    <definedName name="SUMExtraCredit">#REF!</definedName>
    <definedName name="SUMIF" localSheetId="11">#REF!</definedName>
    <definedName name="SUMIF" localSheetId="2">#REF!</definedName>
    <definedName name="SUMIF" localSheetId="5">#REF!</definedName>
    <definedName name="SUMIF" localSheetId="6">#REF!</definedName>
    <definedName name="SUMIF" localSheetId="8">#REF!</definedName>
    <definedName name="SUMIF">#REF!</definedName>
    <definedName name="SUMIFExtraCredit" localSheetId="11">#REF!</definedName>
    <definedName name="SUMIFExtraCredit" localSheetId="2">#REF!</definedName>
    <definedName name="SUMIFExtraCredit" localSheetId="5">#REF!</definedName>
    <definedName name="SUMIFExtraCredit" localSheetId="6">#REF!</definedName>
    <definedName name="SUMIFExtraCredit" localSheetId="8">#REF!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1">#REF!</definedName>
    <definedName name="果物" localSheetId="2">#REF!</definedName>
    <definedName name="果物" localSheetId="5">#REF!</definedName>
    <definedName name="果物" localSheetId="6">#REF!</definedName>
    <definedName name="果物" localSheetId="8">#REF!</definedName>
    <definedName name="果物">#REF!</definedName>
    <definedName name="項目" localSheetId="11">#REF!</definedName>
    <definedName name="項目" localSheetId="2">#REF!</definedName>
    <definedName name="項目" localSheetId="5">#REF!</definedName>
    <definedName name="項目" localSheetId="6">#REF!</definedName>
    <definedName name="項目" localSheetId="8">#REF!</definedName>
    <definedName name="項目">#REF!</definedName>
    <definedName name="集計" localSheetId="11">#REF!</definedName>
    <definedName name="集計" localSheetId="2">#REF!</definedName>
    <definedName name="集計" localSheetId="5">#REF!</definedName>
    <definedName name="集計" localSheetId="6">#REF!</definedName>
    <definedName name="集計" localSheetId="8">#REF!</definedName>
    <definedName name="集計">#REF!</definedName>
    <definedName name="肉類" localSheetId="11">#REF!</definedName>
    <definedName name="肉類" localSheetId="2">#REF!</definedName>
    <definedName name="肉類" localSheetId="5">#REF!</definedName>
    <definedName name="肉類" localSheetId="6">#REF!</definedName>
    <definedName name="肉類" localSheetId="8">#REF!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4" i="74" l="1"/>
  <c r="AN44" i="63"/>
  <c r="AM44" i="74"/>
  <c r="AM44" i="63"/>
  <c r="AM43" i="74"/>
  <c r="AM43" i="63"/>
  <c r="AN33" i="74"/>
  <c r="AN33" i="63"/>
  <c r="AM33" i="74"/>
  <c r="AM33" i="63"/>
  <c r="AN32" i="74"/>
  <c r="AN32" i="63"/>
  <c r="AM32" i="74"/>
  <c r="AM32" i="63"/>
  <c r="AM31" i="74"/>
  <c r="AM31" i="63"/>
  <c r="AN21" i="74"/>
  <c r="AN21" i="63"/>
  <c r="AM21" i="74"/>
  <c r="AM21" i="63"/>
  <c r="AN20" i="74"/>
  <c r="AN20" i="63"/>
  <c r="AM20" i="74"/>
  <c r="AM20" i="63"/>
  <c r="AL14" i="68" l="1"/>
  <c r="AI14" i="68"/>
  <c r="AF14" i="68"/>
  <c r="AC14" i="68"/>
  <c r="Z14" i="68"/>
  <c r="W14" i="68"/>
  <c r="T14" i="68"/>
  <c r="Q14" i="68"/>
  <c r="N14" i="68"/>
  <c r="K14" i="68"/>
  <c r="H14" i="68"/>
  <c r="E14" i="68"/>
  <c r="D80" i="67" l="1"/>
  <c r="D79" i="67"/>
  <c r="D78" i="67"/>
  <c r="D77" i="67"/>
  <c r="D75" i="67"/>
  <c r="D74" i="67"/>
  <c r="D73" i="67"/>
  <c r="D72" i="67"/>
  <c r="V24" i="67" l="1"/>
  <c r="T24" i="67"/>
  <c r="K22" i="67" l="1"/>
  <c r="O24" i="67" s="1"/>
  <c r="AO9" i="63"/>
  <c r="AO9" i="74"/>
  <c r="M3" i="74"/>
  <c r="M3" i="63"/>
  <c r="O22" i="67" l="1"/>
  <c r="O2" i="74"/>
  <c r="B6" i="63"/>
  <c r="AL7" i="74"/>
  <c r="AJ7" i="74"/>
  <c r="AH7" i="74"/>
  <c r="D9" i="63"/>
  <c r="K9" i="63"/>
  <c r="F12" i="63"/>
  <c r="B6" i="74"/>
  <c r="AL14" i="74"/>
  <c r="AL13" i="74"/>
  <c r="Y12" i="74"/>
  <c r="V12" i="74"/>
  <c r="R12" i="74"/>
  <c r="F12" i="74"/>
  <c r="F11" i="74"/>
  <c r="AM10" i="74"/>
  <c r="I10" i="74"/>
  <c r="AM9" i="74"/>
  <c r="AG9" i="74"/>
  <c r="W9" i="74"/>
  <c r="U9" i="74"/>
  <c r="S9" i="74"/>
  <c r="K9" i="74"/>
  <c r="I9" i="74"/>
  <c r="D9" i="74"/>
  <c r="AM10" i="63"/>
  <c r="AM9" i="63"/>
  <c r="Y12" i="63"/>
  <c r="V12" i="63"/>
  <c r="R12" i="63"/>
  <c r="AL14" i="63"/>
  <c r="AL13" i="63"/>
  <c r="F11" i="63"/>
  <c r="I10" i="63"/>
  <c r="AG9" i="63"/>
  <c r="W9" i="63"/>
  <c r="U9" i="63"/>
  <c r="S9" i="63"/>
  <c r="I9" i="63"/>
  <c r="AE5" i="74" l="1"/>
  <c r="M2" i="74" s="1"/>
  <c r="O2" i="63"/>
  <c r="AL7" i="63"/>
  <c r="AJ7" i="63"/>
  <c r="AH7" i="63"/>
  <c r="AN19" i="63"/>
  <c r="AM19" i="63"/>
  <c r="AN31" i="63"/>
  <c r="AN31" i="74"/>
  <c r="AN19" i="74"/>
  <c r="AM19" i="74"/>
  <c r="AG9" i="68"/>
  <c r="Y9" i="68"/>
  <c r="AE5" i="63" l="1"/>
  <c r="M2" i="63" s="1"/>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1"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E2" i="74" s="1"/>
  <c r="O13" i="14"/>
  <c r="J26" i="67" l="1"/>
  <c r="B7" i="67" l="1"/>
  <c r="C11" i="66" s="1"/>
  <c r="D7" i="34" l="1"/>
  <c r="L9" i="58"/>
  <c r="E5" i="68"/>
  <c r="E7" i="40"/>
  <c r="D4" i="61"/>
  <c r="B4" i="69"/>
  <c r="I1" i="70"/>
  <c r="H7" i="71"/>
  <c r="AC16" i="71"/>
  <c r="BQ17" i="62"/>
  <c r="F22" i="63" l="1"/>
  <c r="A71" i="62" l="1"/>
  <c r="F95" i="67"/>
  <c r="AK73" i="67"/>
  <c r="AG10" i="68" l="1"/>
  <c r="Y10" i="68"/>
  <c r="B13" i="67" l="1"/>
  <c r="J13" i="67"/>
  <c r="B11" i="67"/>
  <c r="L75" i="62" l="1"/>
  <c r="Z29" i="67"/>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J2" i="66" l="1"/>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U22" i="67"/>
  <c r="R2" i="34"/>
  <c r="AJ1" i="68"/>
  <c r="V2" i="40"/>
  <c r="V44" i="40" s="1"/>
  <c r="H10" i="66" l="1"/>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E2" i="63" s="1"/>
  <c r="K6" i="67" s="1"/>
  <c r="AO13" i="63"/>
  <c r="B26" i="67"/>
  <c r="D9" i="40"/>
  <c r="B9" i="67" l="1"/>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D1" i="40"/>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J98" i="67"/>
  <c r="J99" i="67"/>
  <c r="B19" i="67"/>
  <c r="AN43" i="74" l="1"/>
  <c r="AN43" i="63"/>
  <c r="AO74" i="67"/>
  <c r="AP74" i="67"/>
  <c r="AN74" i="67"/>
  <c r="AM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Q27" i="68" s="1"/>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R22"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AF48" i="68" l="1"/>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Y9" i="63" l="1"/>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Y24" i="67"/>
  <c r="F33" i="67"/>
  <c r="O6" i="40"/>
  <c r="O48" i="40" s="1"/>
  <c r="N6" i="61"/>
  <c r="N22" i="67"/>
  <c r="L64" i="67" s="1"/>
  <c r="K66" i="67"/>
  <c r="J64" i="67"/>
  <c r="Q4" i="68" s="1"/>
  <c r="AC9" i="63" l="1"/>
  <c r="AC9" i="74"/>
  <c r="AE9" i="63"/>
  <c r="AE9" i="74"/>
  <c r="AA9" i="63"/>
  <c r="AA9" i="74"/>
  <c r="S64" i="67"/>
  <c r="AH4" i="68" s="1"/>
  <c r="AC66" i="67"/>
  <c r="AE66" i="67" s="1"/>
  <c r="Y66" i="67"/>
  <c r="Q64" i="67"/>
  <c r="AD4" i="68" s="1"/>
  <c r="U66" i="67"/>
  <c r="O64" i="67"/>
  <c r="Z4" i="68" s="1"/>
  <c r="U64" i="67"/>
  <c r="M2" i="71"/>
  <c r="AK69" i="67"/>
  <c r="AK70" i="67" s="1"/>
  <c r="K75" i="62"/>
  <c r="K10" i="62" s="1"/>
  <c r="K76" i="62" s="1"/>
  <c r="Z28" i="67"/>
  <c r="AP66" i="67"/>
  <c r="AM66" i="67"/>
  <c r="AO66" i="67"/>
  <c r="Q66" i="67"/>
  <c r="M66" i="67"/>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B37" i="63" l="1"/>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AB29" i="67"/>
  <c r="AB28" i="67" s="1"/>
  <c r="Q75" i="62"/>
  <c r="Q10" i="62" s="1"/>
  <c r="Q76" i="62" s="1"/>
  <c r="AA29" i="67"/>
  <c r="AE28" i="67"/>
  <c r="AD29" i="67"/>
  <c r="AE75" i="62" s="1"/>
  <c r="AE10" i="62" s="1"/>
  <c r="AE76" i="62" s="1"/>
  <c r="AC29" i="67"/>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Z75" i="62" l="1"/>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H2" i="62" l="1"/>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AM75" i="67"/>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B75" i="62" l="1"/>
  <c r="H3" i="62" s="1"/>
  <c r="D2" i="62" s="1"/>
  <c r="AK74" i="67"/>
  <c r="B66" i="67" s="1"/>
  <c r="D5" i="67" s="1"/>
  <c r="N3" i="62"/>
  <c r="V28" i="71"/>
  <c r="X28" i="71" s="1"/>
  <c r="V16" i="71"/>
  <c r="X16" i="71" s="1"/>
  <c r="V22" i="71"/>
  <c r="V30" i="71"/>
  <c r="X30" i="71" s="1"/>
  <c r="V26" i="71"/>
  <c r="X26" i="71" s="1"/>
  <c r="V18" i="71"/>
  <c r="X18" i="71" s="1"/>
  <c r="V20" i="71"/>
  <c r="X20" i="71" s="1"/>
  <c r="I6" i="67" l="1"/>
  <c r="B2" i="67" s="1"/>
  <c r="X62" i="71"/>
  <c r="V62" i="71" s="1"/>
</calcChain>
</file>

<file path=xl/sharedStrings.xml><?xml version="1.0" encoding="utf-8"?>
<sst xmlns="http://schemas.openxmlformats.org/spreadsheetml/2006/main" count="2192" uniqueCount="699">
  <si>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</si>
  <si>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</si>
  <si>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</si>
  <si>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</si>
  <si>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</si>
  <si>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</si>
  <si>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</si>
  <si>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</si>
  <si>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</si>
  <si>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</si>
  <si>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</si>
  <si>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</si>
  <si>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</si>
  <si>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</si>
  <si>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</si>
  <si>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</si>
  <si>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</si>
  <si>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</si>
  <si>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</si>
  <si>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</si>
  <si>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</si>
  <si>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</si>
  <si>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</si>
  <si>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</si>
  <si>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</si>
  <si>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</si>
  <si>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</si>
  <si>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</si>
  <si>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</si>
  <si>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</si>
  <si>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</si>
  <si>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</si>
  <si>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</si>
  <si>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</si>
  <si>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</si>
  <si>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</si>
  <si>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</si>
  <si>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</si>
  <si>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</si>
  <si>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</si>
  <si>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</si>
  <si>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</si>
  <si>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</si>
  <si>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</si>
  <si>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</si>
  <si>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</si>
  <si>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</si>
  <si>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</si>
  <si>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</si>
  <si>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</si>
  <si>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</si>
  <si>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</si>
  <si>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</si>
  <si>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</si>
  <si>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</si>
  <si>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</si>
  <si>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</si>
  <si>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</si>
  <si>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</si>
  <si>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</si>
  <si>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</si>
  <si>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</si>
  <si>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</si>
  <si>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</si>
  <si>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</si>
  <si>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</si>
  <si>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</si>
  <si>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</si>
  <si>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</si>
  <si>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</si>
  <si>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</si>
  <si>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</si>
  <si>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</si>
  <si>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</si>
  <si>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</si>
  <si>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</si>
  <si>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</si>
  <si>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</si>
  <si>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</si>
  <si>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</si>
  <si>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</si>
  <si>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</si>
  <si>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</si>
  <si>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</si>
  <si>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</si>
  <si>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</si>
  <si>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</si>
  <si>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</si>
  <si>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</si>
  <si>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</si>
  <si>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</si>
  <si>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</si>
  <si>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</si>
  <si>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</si>
  <si>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</si>
  <si>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</si>
  <si>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</si>
  <si>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</si>
  <si>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</si>
  <si>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</si>
  <si>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</si>
  <si>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</si>
  <si>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</si>
  <si>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</si>
  <si>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</si>
  <si>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</si>
  <si>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</si>
  <si>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</si>
  <si>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</si>
  <si>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</si>
  <si>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</si>
  <si>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</si>
  <si>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</si>
  <si>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</si>
  <si>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</si>
  <si>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</si>
  <si>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</si>
  <si>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</si>
  <si>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</si>
  <si>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</si>
  <si>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</si>
  <si>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</si>
  <si>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</si>
  <si>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</si>
  <si>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</si>
  <si>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</si>
  <si>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</si>
  <si>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</si>
  <si>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</si>
  <si>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</si>
  <si>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</si>
  <si>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</si>
  <si>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</si>
  <si>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</si>
  <si>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</si>
  <si>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</si>
  <si>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</si>
  <si>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</si>
  <si>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</si>
  <si>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</si>
  <si>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</si>
  <si>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</si>
  <si>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</si>
  <si>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</si>
  <si>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</si>
  <si>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</si>
  <si>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</si>
  <si>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</si>
  <si>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</si>
  <si>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</si>
  <si>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</si>
  <si>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</si>
  <si>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</si>
  <si>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</si>
  <si>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</si>
  <si>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</si>
  <si>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</si>
  <si>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</si>
  <si>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</si>
  <si>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</si>
  <si>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</si>
  <si>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</si>
  <si>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</si>
  <si>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</si>
  <si>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</si>
  <si>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</si>
  <si>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</si>
  <si>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</si>
  <si>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</si>
  <si>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</si>
  <si>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</si>
  <si>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</si>
  <si>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</si>
  <si>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</si>
  <si>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</si>
  <si>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</si>
  <si>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</si>
  <si>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</si>
  <si>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</si>
  <si>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</si>
  <si>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</si>
  <si>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</si>
  <si>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</si>
  <si>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</si>
  <si>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</si>
  <si>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</si>
  <si>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</si>
  <si>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</si>
  <si>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</si>
  <si>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</si>
  <si>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</si>
  <si>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</si>
  <si>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</si>
  <si>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</si>
  <si>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</si>
  <si>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</si>
  <si>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</si>
  <si>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</si>
  <si>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</si>
  <si>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</si>
  <si>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</si>
  <si>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</si>
  <si>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</si>
  <si>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</si>
  <si>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</si>
  <si>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</si>
  <si>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</si>
  <si>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</si>
  <si>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</si>
  <si>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</si>
  <si>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</si>
  <si>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</si>
  <si>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</si>
  <si>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</si>
  <si>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</si>
  <si>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</si>
  <si>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</si>
  <si>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</si>
  <si>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</si>
  <si>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</si>
  <si>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</si>
  <si>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</si>
  <si>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</si>
  <si>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</si>
  <si>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</si>
  <si>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</si>
  <si>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</si>
  <si>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</si>
  <si>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</si>
  <si>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</si>
  <si>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</si>
  <si>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</si>
  <si>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</si>
  <si>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</si>
  <si>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</si>
  <si>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</si>
  <si>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</si>
  <si>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</si>
  <si>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</si>
  <si>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</si>
  <si>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</si>
  <si>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</si>
  <si>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</si>
  <si>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</si>
  <si>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</si>
  <si>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</si>
  <si>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</si>
  <si>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</si>
  <si>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</si>
  <si>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</si>
  <si>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</si>
  <si>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</si>
  <si>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</si>
  <si>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</si>
  <si>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</si>
  <si>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</si>
  <si>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</si>
  <si>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</si>
  <si>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</si>
  <si>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</si>
  <si>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</si>
  <si>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</si>
  <si>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</si>
  <si>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</si>
  <si>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</si>
  <si>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</si>
  <si>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</si>
  <si>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</si>
  <si>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</si>
  <si>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</si>
  <si>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</si>
  <si>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</si>
  <si>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</si>
  <si>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</si>
  <si>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</si>
  <si>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</si>
  <si>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</si>
  <si>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</si>
  <si>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</si>
  <si>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</si>
  <si>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</si>
  <si>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</si>
  <si>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</si>
  <si>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</si>
  <si>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</si>
  <si>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</si>
  <si>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</si>
  <si>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</si>
  <si>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</si>
  <si>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</si>
  <si>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</si>
  <si>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</si>
  <si>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</si>
  <si>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</si>
  <si>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</si>
  <si>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</si>
  <si>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</si>
  <si>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</si>
  <si>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</si>
  <si>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</si>
  <si>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</si>
  <si>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</si>
  <si>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</si>
  <si>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</si>
  <si>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</si>
  <si>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</si>
  <si>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</si>
  <si>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</si>
  <si>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</si>
  <si>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</si>
  <si>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</si>
  <si>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</si>
  <si>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</si>
  <si>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</si>
  <si>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</si>
  <si>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</si>
  <si>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</si>
  <si>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</si>
  <si>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</si>
  <si>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</si>
  <si>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</si>
  <si>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</si>
  <si>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</si>
  <si>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</si>
  <si>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</si>
  <si>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</si>
  <si>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</si>
  <si>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</si>
  <si>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</si>
  <si>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</si>
  <si>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</si>
  <si>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</si>
  <si>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</si>
  <si>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</si>
  <si>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</si>
  <si>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</si>
  <si>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</si>
  <si>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</si>
  <si>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</si>
  <si>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</si>
  <si>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</si>
  <si>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</si>
  <si>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</si>
  <si>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</si>
  <si>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</si>
  <si>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</si>
  <si>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</si>
  <si>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</si>
  <si>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</si>
  <si>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</si>
  <si>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</si>
  <si>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</si>
  <si>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</si>
  <si>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</si>
  <si>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</si>
  <si>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</si>
  <si>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</si>
  <si>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</si>
  <si>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</si>
  <si>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</si>
  <si>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</si>
  <si>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</si>
  <si>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</si>
  <si>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</si>
  <si>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</si>
  <si>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</si>
  <si>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</si>
  <si>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</si>
  <si>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</si>
  <si>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</si>
  <si>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</si>
  <si>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</si>
  <si>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</si>
  <si>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</si>
  <si>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</si>
  <si>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</si>
  <si>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</si>
  <si>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</si>
  <si>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</si>
  <si>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</si>
  <si>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</si>
  <si>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</si>
  <si>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</si>
  <si>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</si>
  <si>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</si>
  <si>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</si>
  <si>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</si>
  <si>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</si>
  <si>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</si>
  <si>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</si>
  <si>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</si>
  <si>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</si>
  <si>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</si>
  <si>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</si>
  <si>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</si>
  <si>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</si>
  <si>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</si>
  <si>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</si>
  <si>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</si>
  <si>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</si>
  <si>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</si>
  <si>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</si>
  <si>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</si>
  <si>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</si>
  <si>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</si>
  <si>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</si>
  <si>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</si>
  <si>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</si>
  <si>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</si>
  <si>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</si>
  <si>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</si>
  <si>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</si>
  <si>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</si>
  <si>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</si>
  <si>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</si>
  <si>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</si>
  <si>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</si>
  <si>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</si>
  <si>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</si>
  <si>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</si>
  <si>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</si>
  <si>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</si>
  <si>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</si>
  <si>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</si>
  <si>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</si>
  <si>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</si>
  <si>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</si>
  <si>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</si>
  <si>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</si>
  <si>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</si>
  <si>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</si>
  <si>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</si>
  <si>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</si>
  <si>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</si>
  <si>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</si>
  <si>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</si>
  <si>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</si>
  <si>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</si>
  <si>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</si>
  <si>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</si>
  <si>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</si>
  <si>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</si>
  <si>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</si>
  <si>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</si>
  <si>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発注物品・金額については、当施設『利用のご案内』冊子の『参考資料　2 食材・活動物品価格一覧』をご参照ください。</t>
    </r>
    <rPh sb="2" eb="4">
      <t>ハッチュウ</t>
    </rPh>
    <rPh sb="4" eb="6">
      <t>ブッピン</t>
    </rPh>
    <rPh sb="7" eb="9">
      <t>キンガク</t>
    </rPh>
    <rPh sb="15" eb="16">
      <t>トウ</t>
    </rPh>
    <rPh sb="16" eb="18">
      <t>シセツ</t>
    </rPh>
    <rPh sb="19" eb="21">
      <t>リヨウ</t>
    </rPh>
    <rPh sb="23" eb="25">
      <t>アンナイ</t>
    </rPh>
    <rPh sb="26" eb="28">
      <t>サッシ</t>
    </rPh>
    <rPh sb="30" eb="32">
      <t>サンコウ</t>
    </rPh>
    <rPh sb="32" eb="34">
      <t>シリョウ</t>
    </rPh>
    <rPh sb="37" eb="39">
      <t>ショクザイ</t>
    </rPh>
    <rPh sb="40" eb="42">
      <t>カツドウ</t>
    </rPh>
    <rPh sb="42" eb="44">
      <t>ブッピン</t>
    </rPh>
    <rPh sb="44" eb="46">
      <t>カカク</t>
    </rPh>
    <rPh sb="46" eb="48">
      <t>イチラン</t>
    </rPh>
    <rPh sb="51" eb="53">
      <t>サンショウ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</si>
  <si>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</si>
  <si>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</si>
  <si>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</si>
  <si>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</si>
  <si>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</si>
  <si>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</si>
  <si>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</si>
  <si>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</si>
  <si>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</si>
  <si>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</si>
  <si>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</si>
  <si>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</si>
  <si>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</si>
  <si>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</si>
  <si>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</si>
  <si>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</si>
  <si>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</si>
  <si>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</si>
  <si>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</si>
  <si>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</si>
  <si>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</si>
  <si>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</si>
  <si>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</si>
  <si>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</si>
  <si>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</si>
  <si>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</si>
  <si>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</si>
  <si>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</si>
  <si>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</si>
  <si>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</si>
  <si>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</si>
  <si>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</si>
  <si>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</si>
  <si>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</si>
  <si>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</si>
  <si>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</si>
  <si>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</si>
  <si>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</si>
  <si>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</si>
  <si>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</si>
  <si>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</si>
  <si>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</si>
  <si>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</si>
  <si>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</si>
  <si>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</si>
  <si>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</si>
  <si>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</si>
  <si>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</si>
  <si>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</si>
  <si>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</si>
  <si>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</si>
  <si>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</si>
  <si>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</si>
  <si>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</si>
  <si>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</si>
  <si>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</si>
  <si>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</si>
  <si>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</si>
  <si>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</si>
  <si>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</si>
  <si>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</si>
  <si>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</si>
  <si>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</si>
  <si>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</si>
  <si>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</si>
  <si>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</si>
  <si>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</si>
  <si>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</si>
  <si>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</si>
  <si>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</si>
  <si>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</si>
  <si>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</si>
  <si>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</si>
  <si>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</si>
  <si>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</si>
  <si>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</si>
  <si>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</si>
  <si>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</si>
  <si>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</si>
  <si>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</si>
  <si>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</si>
  <si>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</si>
  <si>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</si>
  <si>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</si>
  <si>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</si>
  <si>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</si>
  <si>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</si>
  <si>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</si>
  <si>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</si>
  <si>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</si>
  <si>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</si>
  <si>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</si>
  <si>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</si>
  <si>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</si>
  <si>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</si>
  <si>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</si>
  <si>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</si>
  <si>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</si>
  <si>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</si>
  <si>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</si>
  <si>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</si>
  <si>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</si>
  <si>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</si>
  <si>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</si>
  <si>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</si>
  <si>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</si>
  <si>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</si>
  <si>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</si>
  <si>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</si>
  <si>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</si>
  <si>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</si>
  <si>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</si>
  <si>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</si>
  <si>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</si>
  <si>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</si>
  <si>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</si>
  <si>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</si>
  <si>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</si>
  <si>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r>
      <rPr>
        <b/>
        <sz val="14"/>
        <color rgb="FFFF0000"/>
        <rFont val="UD デジタル 教科書体 NK-B"/>
        <family val="1"/>
        <charset val="128"/>
      </rPr>
      <t>９：００入所</t>
    </r>
    <r>
      <rPr>
        <sz val="14"/>
        <color theme="1"/>
        <rFont val="UD デジタル 教科書体 NK-B"/>
        <family val="1"/>
        <charset val="128"/>
      </rPr>
      <t xml:space="preserve">でのご利用でお間違えありませんか？ </t>
    </r>
    <r>
      <rPr>
        <sz val="14"/>
        <color rgb="FF002060"/>
        <rFont val="UD デジタル 教科書体 NK-B"/>
        <family val="1"/>
        <charset val="128"/>
      </rPr>
      <t>１3：0０入所は</t>
    </r>
    <r>
      <rPr>
        <sz val="14"/>
        <color rgb="FFFF0000"/>
        <rFont val="UD デジタル 教科書体 NK-B"/>
        <family val="1"/>
        <charset val="128"/>
      </rPr>
      <t>【⑥計画書 13時】</t>
    </r>
    <r>
      <rPr>
        <sz val="14"/>
        <color rgb="FF002060"/>
        <rFont val="UD デジタル 教科書体 NK-B"/>
        <family val="1"/>
        <charset val="128"/>
      </rPr>
      <t>で作成</t>
    </r>
    <r>
      <rPr>
        <sz val="14"/>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</si>
  <si>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</si>
  <si>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</si>
  <si>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</si>
  <si>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</si>
  <si>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</si>
  <si>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</si>
  <si>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</si>
  <si>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</si>
  <si>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</si>
  <si>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塩づくり（AT）</t>
    <rPh sb="0" eb="1">
      <t>シオ</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</si>
  <si>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</si>
  <si>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</si>
  <si>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</si>
  <si>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</si>
  <si>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</si>
  <si>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</si>
  <si>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</si>
  <si>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</si>
  <si>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創》サンドブラストグラス（AT)</t>
    <phoneticPr fontId="1"/>
  </si>
  <si>
    <t>創》貝飾りアートマグネット</t>
    <rPh sb="2" eb="4">
      <t>カイカザ</t>
    </rPh>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</si>
  <si>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</si>
  <si>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</si>
  <si>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</si>
  <si>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</si>
  <si>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</si>
  <si>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</si>
  <si>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</si>
  <si>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</si>
  <si>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</si>
  <si>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</si>
  <si>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</si>
  <si>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</si>
  <si>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</si>
  <si>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</si>
  <si>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</si>
  <si>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</si>
  <si>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</si>
  <si>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</si>
  <si>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</si>
  <si>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</si>
  <si>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</si>
  <si>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</si>
  <si>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</si>
  <si>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</si>
  <si>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</si>
  <si>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</si>
  <si>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</si>
  <si>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</si>
  <si>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</si>
  <si>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</si>
  <si>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</si>
  <si>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</si>
  <si>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野外調理場</t>
    <rPh sb="0" eb="4">
      <t>ヤガイチョウリ</t>
    </rPh>
    <rPh sb="4" eb="5">
      <t>ジョウ</t>
    </rPh>
    <phoneticPr fontId="1"/>
  </si>
  <si>
    <t>スポーツ広場</t>
    <rPh sb="4" eb="6">
      <t>ヒロバ</t>
    </rPh>
    <phoneticPr fontId="1"/>
  </si>
  <si>
    <t>制作実験室</t>
    <rPh sb="0" eb="5">
      <t>セイサクジッケンシツ</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</si>
  <si>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</si>
  <si>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</si>
  <si>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</si>
  <si>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</si>
  <si>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</si>
  <si>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</si>
  <si>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</si>
  <si>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</si>
  <si>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</si>
  <si>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</si>
  <si>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</si>
  <si>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</si>
  <si>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</si>
  <si>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</si>
  <si>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</si>
  <si>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</si>
  <si>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</si>
  <si>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</si>
  <si>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</si>
  <si>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</si>
  <si>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</si>
  <si>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</si>
  <si>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</si>
  <si>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</si>
  <si>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</si>
  <si>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</si>
  <si>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</si>
  <si>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</si>
  <si>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</si>
  <si>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</si>
  <si>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</si>
  <si>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</si>
  <si>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</si>
  <si>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</si>
  <si>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</si>
  <si>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</si>
  <si>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</si>
  <si>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</si>
  <si>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</si>
  <si>
    <t>パターゴルフ（AT)</t>
    <phoneticPr fontId="1"/>
  </si>
  <si>
    <t>創》マリンドーム（AT)</t>
    <rPh sb="0" eb="1">
      <t>ソウ</t>
    </rPh>
    <phoneticPr fontId="1"/>
  </si>
  <si>
    <t>創》マリンドーム</t>
    <phoneticPr fontId="1"/>
  </si>
  <si>
    <t>家族オリエンテーリング（AT)</t>
    <rPh sb="0" eb="2">
      <t>カゾク</t>
    </rPh>
    <phoneticPr fontId="1"/>
  </si>
  <si>
    <t>創》貝飾りペンスタンド（AT)</t>
    <rPh sb="0" eb="1">
      <t>ソウ</t>
    </rPh>
    <rPh sb="2" eb="4">
      <t>カイカザ</t>
    </rPh>
    <phoneticPr fontId="1"/>
  </si>
  <si>
    <t>パターゴルフ</t>
    <phoneticPr fontId="1"/>
  </si>
  <si>
    <t>創》貝飾りアートマグネット（AT)</t>
    <rPh sb="0" eb="1">
      <t>ソウ</t>
    </rPh>
    <rPh sb="2" eb="4">
      <t>カイカザ</t>
    </rPh>
    <phoneticPr fontId="1"/>
  </si>
  <si>
    <t>FT（★海ぴぃラリー）</t>
    <rPh sb="4" eb="5">
      <t>カイ</t>
    </rPh>
    <phoneticPr fontId="1"/>
  </si>
  <si>
    <t>ポセイドン・海ぴぃラリー（スタッフ室前）</t>
    <rPh sb="6" eb="7">
      <t>カイ</t>
    </rPh>
    <rPh sb="17" eb="19">
      <t>シツマエ</t>
    </rPh>
    <phoneticPr fontId="1"/>
  </si>
  <si>
    <t>スタッフ室前（シェル・ポセ・海ぴぃ）</t>
    <rPh sb="14" eb="15">
      <t>カイ</t>
    </rPh>
    <phoneticPr fontId="1"/>
  </si>
  <si>
    <t>３歳児
以下</t>
    <rPh sb="1" eb="3">
      <t>サイジ</t>
    </rPh>
    <rPh sb="4" eb="5">
      <t>イ</t>
    </rPh>
    <rPh sb="5" eb="6">
      <t>シタ</t>
    </rPh>
    <phoneticPr fontId="60"/>
  </si>
  <si>
    <t>４歳～
学齢前</t>
    <rPh sb="1" eb="2">
      <t>サイ</t>
    </rPh>
    <rPh sb="4" eb="6">
      <t>ガクレイ</t>
    </rPh>
    <rPh sb="6" eb="7">
      <t>マエ</t>
    </rPh>
    <phoneticPr fontId="60"/>
  </si>
  <si>
    <t>塩づくり・つぼ焼き芋（AT）</t>
    <rPh sb="0" eb="1">
      <t>シオ</t>
    </rPh>
    <rPh sb="7" eb="8">
      <t>ヤ</t>
    </rPh>
    <rPh sb="9" eb="10">
      <t>イモ</t>
    </rPh>
    <phoneticPr fontId="1"/>
  </si>
  <si>
    <t>つぼ焼き芋（AT)</t>
    <rPh sb="2" eb="3">
      <t>ヤ</t>
    </rPh>
    <rPh sb="4" eb="5">
      <t>イモ</t>
    </rPh>
    <phoneticPr fontId="1"/>
  </si>
  <si>
    <t>西野外調理場（杉板）</t>
    <rPh sb="0" eb="6">
      <t>ニシヤガイチョウリジョウ</t>
    </rPh>
    <rPh sb="7" eb="8">
      <t>スギ</t>
    </rPh>
    <rPh sb="8" eb="9">
      <t>イタ</t>
    </rPh>
    <phoneticPr fontId="1"/>
  </si>
  <si>
    <t>ディスクゴルフ（AT)</t>
    <phoneticPr fontId="1"/>
  </si>
  <si>
    <t>創》杉板焼き（AT)</t>
    <rPh sb="2" eb="5">
      <t>スギイタヤ</t>
    </rPh>
    <phoneticPr fontId="1"/>
  </si>
  <si>
    <t>創》貝飾りフォトフレーム（AT)</t>
    <rPh sb="0" eb="1">
      <t>ソウ</t>
    </rPh>
    <rPh sb="2" eb="4">
      <t>カイカザ</t>
    </rPh>
    <phoneticPr fontId="1"/>
  </si>
  <si>
    <t>創》貝の根付け（AT)</t>
    <rPh sb="0" eb="1">
      <t>ソウ</t>
    </rPh>
    <rPh sb="2" eb="3">
      <t>カイ</t>
    </rPh>
    <rPh sb="4" eb="6">
      <t>ネツ</t>
    </rPh>
    <phoneticPr fontId="1"/>
  </si>
  <si>
    <t>創》貝の根付け</t>
    <rPh sb="2" eb="3">
      <t>カイ</t>
    </rPh>
    <rPh sb="4" eb="6">
      <t>ネツ</t>
    </rPh>
    <phoneticPr fontId="1"/>
  </si>
  <si>
    <t>創》ジェルキャンドル（AT)</t>
    <rPh sb="0" eb="1">
      <t>ソウ</t>
    </rPh>
    <phoneticPr fontId="1"/>
  </si>
  <si>
    <t>４歳児
未満</t>
    <rPh sb="1" eb="3">
      <t>サイジ</t>
    </rPh>
    <rPh sb="4" eb="6">
      <t>ミマン</t>
    </rPh>
    <phoneticPr fontId="60"/>
  </si>
  <si>
    <t>430円</t>
    <rPh sb="3" eb="4">
      <t>エン</t>
    </rPh>
    <phoneticPr fontId="1"/>
  </si>
  <si>
    <t>550円</t>
    <rPh sb="3" eb="4">
      <t>エン</t>
    </rPh>
    <phoneticPr fontId="1"/>
  </si>
  <si>
    <t>670円</t>
    <rPh sb="3" eb="4">
      <t>エン</t>
    </rPh>
    <phoneticPr fontId="1"/>
  </si>
  <si>
    <t>460円</t>
    <rPh sb="3" eb="4">
      <t>エン</t>
    </rPh>
    <phoneticPr fontId="1"/>
  </si>
  <si>
    <t>600円</t>
    <rPh sb="3" eb="4">
      <t>エン</t>
    </rPh>
    <phoneticPr fontId="1"/>
  </si>
  <si>
    <t>700円</t>
    <rPh sb="3" eb="4">
      <t>エン</t>
    </rPh>
    <phoneticPr fontId="1"/>
  </si>
  <si>
    <t>510円</t>
    <rPh sb="3" eb="4">
      <t>エン</t>
    </rPh>
    <phoneticPr fontId="1"/>
  </si>
  <si>
    <t>860円</t>
    <rPh sb="3" eb="4">
      <t>エン</t>
    </rPh>
    <phoneticPr fontId="1"/>
  </si>
  <si>
    <t>1,120円</t>
    <rPh sb="5" eb="6">
      <t>エン</t>
    </rPh>
    <phoneticPr fontId="1"/>
  </si>
  <si>
    <t>秋・冬 の 利 用 計 画 書 （ ファミリー ・ グループ ）</t>
    <rPh sb="0" eb="1">
      <t>アキ</t>
    </rPh>
    <rPh sb="2" eb="3">
      <t>フユ</t>
    </rPh>
    <phoneticPr fontId="1"/>
  </si>
  <si>
    <t xml:space="preserve"> 活動終了時刻</t>
    <phoneticPr fontId="1"/>
  </si>
  <si>
    <t>活動終了時刻</t>
    <phoneticPr fontId="1"/>
  </si>
  <si>
    <t>野外調理（ピザ）（AT)</t>
    <rPh sb="0" eb="4">
      <t>ヤガイチョウリ</t>
    </rPh>
    <phoneticPr fontId="1"/>
  </si>
  <si>
    <t>プルダウンリスト</t>
    <phoneticPr fontId="1"/>
  </si>
  <si>
    <t xml:space="preserve">
［精算関係記入欄］
　※支払方法は「現金」になります。
　※宛名が団体名と同じで良いときは「団体名と同じ」の（　　）に○を記入し、必要事項を記入
　　してください。</t>
    <rPh sb="13" eb="17">
      <t>シハライホウホウ</t>
    </rPh>
    <rPh sb="19" eb="21">
      <t>ゲンキン</t>
    </rPh>
    <rPh sb="62" eb="64">
      <t>キニュウ</t>
    </rPh>
    <phoneticPr fontId="1"/>
  </si>
  <si>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※支払方法は「現金」になります。
　 ※宛名が団体名と同じで良いときは「団体名と同じ」の（　 ）に○を書き、必要事項を記入してください｡</t>
    </r>
    <rPh sb="30" eb="32">
      <t>ゲンキン</t>
    </rPh>
    <phoneticPr fontId="1"/>
  </si>
  <si>
    <t>現金</t>
    <rPh sb="0" eb="2">
      <t>ゲンキン</t>
    </rPh>
    <phoneticPr fontId="1"/>
  </si>
  <si>
    <r>
      <t xml:space="preserve"> お支払いは、</t>
    </r>
    <r>
      <rPr>
        <sz val="12"/>
        <color rgb="FFFF0000"/>
        <rFont val="HGS創英角ｺﾞｼｯｸUB"/>
        <family val="3"/>
        <charset val="128"/>
      </rPr>
      <t>現金</t>
    </r>
    <r>
      <rPr>
        <sz val="12"/>
        <color theme="1"/>
        <rFont val="HGS創英角ｺﾞｼｯｸUB"/>
        <family val="3"/>
        <charset val="128"/>
      </rPr>
      <t>でお支払いをお願いします。</t>
    </r>
    <rPh sb="2" eb="4">
      <t>シハラ</t>
    </rPh>
    <phoneticPr fontId="1"/>
  </si>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</sst>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199" formatCode="[&lt;=99999999]####\-####;\(00\)\ ####\-####"/>
  </numFmts>
  <fonts count="39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b/>
      <sz val="16"/>
      <color theme="1"/>
      <name val="BIZ UDPゴシック"/>
      <family val="3"/>
      <charset val="128"/>
    </font>
    <font>
      <b/>
      <sz val="16"/>
      <name val="BIZ UDPゴシック"/>
      <family val="3"/>
      <charset val="128"/>
    </font>
    <font>
      <sz val="16"/>
      <color theme="1"/>
      <name val="BIZ UDPゴシック"/>
      <family val="3"/>
      <charset val="128"/>
    </font>
    <font>
      <sz val="12"/>
      <color rgb="FF000000"/>
      <name val="ＭＳ ゴシック"/>
      <family val="1"/>
      <charset val="128"/>
    </font>
    <font>
      <b/>
      <sz val="36"/>
      <color theme="1"/>
      <name val="BIZ UDPゴシック"/>
      <family val="3"/>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62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11"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5" fillId="0" borderId="0" xfId="0" applyFont="1">
      <alignment vertical="center"/>
    </xf>
    <xf numFmtId="0" fontId="215" fillId="0" borderId="0" xfId="0" applyFont="1" applyBorder="1">
      <alignment vertical="center"/>
    </xf>
    <xf numFmtId="0" fontId="215" fillId="0" borderId="0" xfId="0" applyFont="1" applyBorder="1" applyAlignment="1">
      <alignment vertical="center"/>
    </xf>
    <xf numFmtId="0" fontId="216" fillId="0" borderId="0" xfId="0" applyFont="1" applyBorder="1" applyAlignment="1">
      <alignment vertical="center"/>
    </xf>
    <xf numFmtId="0" fontId="216" fillId="0" borderId="0" xfId="0" applyFont="1" applyBorder="1" applyAlignment="1">
      <alignment vertical="center" wrapText="1"/>
    </xf>
    <xf numFmtId="0" fontId="219"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8" xfId="21" applyNumberFormat="1" applyFont="1" applyFill="1" applyBorder="1" applyAlignment="1">
      <alignment shrinkToFit="1"/>
    </xf>
    <xf numFmtId="176" fontId="80" fillId="0" borderId="175" xfId="21" applyNumberFormat="1" applyBorder="1">
      <alignment vertical="center"/>
    </xf>
    <xf numFmtId="176" fontId="80" fillId="7" borderId="193" xfId="21" applyNumberFormat="1" applyFont="1" applyFill="1" applyBorder="1" applyAlignment="1">
      <alignment shrinkToFit="1"/>
    </xf>
    <xf numFmtId="176" fontId="80" fillId="0" borderId="188" xfId="21" applyNumberFormat="1" applyBorder="1">
      <alignment vertical="center"/>
    </xf>
    <xf numFmtId="0" fontId="150" fillId="0" borderId="0" xfId="21" applyFont="1" applyFill="1">
      <alignment vertical="center"/>
    </xf>
    <xf numFmtId="176" fontId="80" fillId="0" borderId="186" xfId="21" applyNumberFormat="1" applyBorder="1">
      <alignment vertical="center"/>
    </xf>
    <xf numFmtId="0" fontId="80" fillId="7" borderId="191" xfId="21" applyFont="1" applyFill="1" applyBorder="1" applyAlignment="1">
      <alignment shrinkToFit="1"/>
    </xf>
    <xf numFmtId="0" fontId="80" fillId="0" borderId="2" xfId="21" applyBorder="1" applyAlignment="1"/>
    <xf numFmtId="0" fontId="80" fillId="7" borderId="191"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4" xfId="21" applyNumberFormat="1" applyBorder="1" applyAlignment="1">
      <alignment vertical="center" shrinkToFit="1"/>
    </xf>
    <xf numFmtId="176" fontId="80" fillId="0" borderId="175" xfId="21" applyNumberFormat="1" applyBorder="1" applyAlignment="1">
      <alignment vertical="center" shrinkToFit="1"/>
    </xf>
    <xf numFmtId="176" fontId="80" fillId="0" borderId="182" xfId="21" applyNumberFormat="1" applyBorder="1" applyAlignment="1">
      <alignment vertical="center" shrinkToFit="1"/>
    </xf>
    <xf numFmtId="176" fontId="80" fillId="0" borderId="190" xfId="21" applyNumberFormat="1" applyBorder="1" applyAlignment="1">
      <alignment shrinkToFit="1"/>
    </xf>
    <xf numFmtId="0" fontId="80" fillId="0" borderId="184" xfId="21" applyBorder="1">
      <alignment vertical="center"/>
    </xf>
    <xf numFmtId="0" fontId="80" fillId="0" borderId="175" xfId="21" applyBorder="1">
      <alignment vertical="center"/>
    </xf>
    <xf numFmtId="0" fontId="80" fillId="0" borderId="182" xfId="21" applyBorder="1" applyAlignment="1"/>
    <xf numFmtId="176" fontId="80" fillId="0" borderId="189" xfId="21" applyNumberFormat="1" applyBorder="1" applyAlignment="1">
      <alignment vertical="center" shrinkToFit="1"/>
    </xf>
    <xf numFmtId="176" fontId="80" fillId="0" borderId="188" xfId="21" applyNumberFormat="1" applyBorder="1" applyAlignment="1">
      <alignment vertical="center" shrinkToFit="1"/>
    </xf>
    <xf numFmtId="176" fontId="80" fillId="0" borderId="166" xfId="21" applyNumberFormat="1" applyBorder="1" applyAlignment="1">
      <alignment vertical="center" shrinkToFit="1"/>
    </xf>
    <xf numFmtId="176" fontId="80" fillId="0" borderId="187" xfId="21" applyNumberFormat="1" applyBorder="1" applyAlignment="1">
      <alignment shrinkToFit="1"/>
    </xf>
    <xf numFmtId="0" fontId="80" fillId="0" borderId="189" xfId="21" applyBorder="1">
      <alignment vertical="center"/>
    </xf>
    <xf numFmtId="0" fontId="80" fillId="0" borderId="188" xfId="21" applyBorder="1">
      <alignment vertical="center"/>
    </xf>
    <xf numFmtId="0" fontId="80" fillId="0" borderId="166" xfId="21" applyBorder="1" applyAlignment="1"/>
    <xf numFmtId="176" fontId="80" fillId="0" borderId="166" xfId="21" applyNumberFormat="1" applyBorder="1" applyAlignment="1">
      <alignment shrinkToFit="1"/>
    </xf>
    <xf numFmtId="176" fontId="80" fillId="0" borderId="180" xfId="21" applyNumberFormat="1" applyBorder="1" applyAlignment="1">
      <alignment vertical="center" shrinkToFit="1"/>
    </xf>
    <xf numFmtId="176" fontId="80" fillId="0" borderId="186" xfId="21" applyNumberFormat="1" applyBorder="1" applyAlignment="1">
      <alignment vertical="center" shrinkToFit="1"/>
    </xf>
    <xf numFmtId="176" fontId="80" fillId="0" borderId="178" xfId="21" applyNumberFormat="1" applyBorder="1" applyAlignment="1">
      <alignment vertical="center" shrinkToFit="1"/>
    </xf>
    <xf numFmtId="176" fontId="80" fillId="0" borderId="185" xfId="21" applyNumberFormat="1" applyBorder="1" applyAlignment="1">
      <alignment shrinkToFit="1"/>
    </xf>
    <xf numFmtId="0" fontId="80" fillId="0" borderId="180" xfId="21" applyBorder="1">
      <alignment vertical="center"/>
    </xf>
    <xf numFmtId="0" fontId="80" fillId="0" borderId="186" xfId="21" applyBorder="1">
      <alignment vertical="center"/>
    </xf>
    <xf numFmtId="0" fontId="80" fillId="0" borderId="178" xfId="21" applyBorder="1" applyAlignment="1"/>
    <xf numFmtId="176" fontId="80" fillId="0" borderId="177" xfId="21" applyNumberFormat="1" applyBorder="1" applyAlignment="1">
      <alignment vertical="center" shrinkToFit="1"/>
    </xf>
    <xf numFmtId="176" fontId="80" fillId="0" borderId="169"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7" xfId="21" applyFont="1" applyBorder="1" applyAlignment="1">
      <alignment shrinkToFit="1"/>
    </xf>
    <xf numFmtId="0" fontId="72" fillId="0" borderId="169" xfId="21" applyFont="1" applyBorder="1" applyAlignment="1">
      <alignment shrinkToFit="1"/>
    </xf>
    <xf numFmtId="0" fontId="7" fillId="0" borderId="183"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69"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71"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69" xfId="21" applyBorder="1" applyAlignment="1">
      <alignment horizontal="center" vertical="center" shrinkToFit="1"/>
    </xf>
    <xf numFmtId="0" fontId="80" fillId="0" borderId="154" xfId="21" applyBorder="1" applyAlignment="1">
      <alignment horizontal="center" vertical="center"/>
    </xf>
    <xf numFmtId="0" fontId="80" fillId="0" borderId="174" xfId="21" applyBorder="1" applyAlignment="1">
      <alignment horizontal="center" vertical="center" shrinkToFit="1"/>
    </xf>
    <xf numFmtId="0" fontId="80" fillId="0" borderId="171"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2"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3" xfId="21" applyNumberFormat="1" applyFont="1" applyBorder="1" applyAlignment="1">
      <alignment horizontal="center" vertical="center"/>
    </xf>
    <xf numFmtId="188" fontId="90" fillId="0" borderId="247" xfId="21" applyNumberFormat="1" applyFont="1" applyBorder="1" applyAlignment="1">
      <alignment horizontal="center" vertical="center"/>
    </xf>
    <xf numFmtId="188" fontId="90" fillId="0" borderId="250" xfId="21" applyNumberFormat="1" applyFont="1" applyBorder="1" applyAlignment="1">
      <alignment horizontal="center" vertical="center"/>
    </xf>
    <xf numFmtId="188" fontId="90" fillId="42" borderId="259" xfId="21" applyNumberFormat="1" applyFont="1" applyFill="1" applyBorder="1" applyAlignment="1">
      <alignment horizontal="center" vertical="center"/>
    </xf>
    <xf numFmtId="0" fontId="90" fillId="41" borderId="260"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6"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4" xfId="21" applyNumberFormat="1" applyFont="1" applyBorder="1" applyAlignment="1">
      <alignment horizontal="center" vertical="center"/>
    </xf>
    <xf numFmtId="0" fontId="90" fillId="42" borderId="259" xfId="21" applyNumberFormat="1" applyFont="1" applyFill="1" applyBorder="1" applyAlignment="1">
      <alignment horizontal="center" vertical="center"/>
    </xf>
    <xf numFmtId="0" fontId="90" fillId="41" borderId="280"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5" xfId="21" applyFont="1" applyBorder="1" applyAlignment="1">
      <alignment horizontal="center" vertical="center"/>
    </xf>
    <xf numFmtId="0" fontId="90" fillId="0" borderId="46" xfId="21" applyFont="1" applyBorder="1" applyAlignment="1">
      <alignment horizontal="center" vertical="center"/>
    </xf>
    <xf numFmtId="0" fontId="90" fillId="0" borderId="296" xfId="21" applyFont="1" applyBorder="1" applyAlignment="1">
      <alignment horizontal="center" vertical="center"/>
    </xf>
    <xf numFmtId="0" fontId="90" fillId="0" borderId="297"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8" xfId="21" applyFont="1" applyFill="1" applyBorder="1" applyAlignment="1">
      <alignment horizontal="center" vertical="center"/>
    </xf>
    <xf numFmtId="0" fontId="222"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4" fillId="0" borderId="0" xfId="21" applyNumberFormat="1" applyFont="1" applyFill="1" applyBorder="1" applyAlignment="1">
      <alignment horizontal="center" vertical="center"/>
    </xf>
    <xf numFmtId="176" fontId="225" fillId="11" borderId="0" xfId="21" applyNumberFormat="1" applyFont="1" applyFill="1" applyBorder="1" applyAlignment="1">
      <alignment horizontal="center" vertical="center" shrinkToFit="1"/>
    </xf>
    <xf numFmtId="176" fontId="224"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1"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3" fillId="26" borderId="19" xfId="0" applyFont="1" applyFill="1" applyBorder="1" applyAlignment="1">
      <alignment horizontal="center" vertical="center"/>
    </xf>
    <xf numFmtId="0" fontId="233" fillId="26" borderId="0" xfId="0" applyFont="1" applyFill="1" applyAlignment="1">
      <alignment horizontal="center" vertical="center"/>
    </xf>
    <xf numFmtId="0" fontId="234" fillId="0" borderId="0" xfId="0" applyFont="1" applyFill="1" applyAlignment="1">
      <alignment vertical="center"/>
    </xf>
    <xf numFmtId="0" fontId="233" fillId="26" borderId="19" xfId="0" applyFont="1" applyFill="1" applyBorder="1" applyAlignment="1">
      <alignment horizontal="center" vertical="center"/>
    </xf>
    <xf numFmtId="0" fontId="234" fillId="0" borderId="0" xfId="0" applyFont="1" applyBorder="1">
      <alignment vertical="center"/>
    </xf>
    <xf numFmtId="0" fontId="235"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2" fillId="0" borderId="18" xfId="21" applyFont="1" applyBorder="1">
      <alignment vertical="center"/>
    </xf>
    <xf numFmtId="0" fontId="231"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5" xfId="21" applyFont="1" applyFill="1" applyBorder="1" applyAlignment="1">
      <alignment horizontal="center" vertical="center"/>
    </xf>
    <xf numFmtId="0" fontId="170" fillId="0" borderId="326" xfId="21" applyFont="1" applyFill="1" applyBorder="1" applyAlignment="1">
      <alignment horizontal="center" vertical="center"/>
    </xf>
    <xf numFmtId="0" fontId="233"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1" fillId="0" borderId="0" xfId="21" applyFont="1">
      <alignment vertical="center"/>
    </xf>
    <xf numFmtId="0" fontId="252" fillId="20" borderId="88" xfId="21" applyFont="1" applyFill="1" applyBorder="1" applyAlignment="1">
      <alignment horizontal="center" vertical="center" shrinkToFit="1"/>
    </xf>
    <xf numFmtId="0" fontId="252" fillId="20" borderId="317" xfId="21" applyFont="1" applyFill="1" applyBorder="1" applyAlignment="1">
      <alignment horizontal="center" vertical="center" shrinkToFit="1"/>
    </xf>
    <xf numFmtId="0" fontId="255" fillId="0" borderId="0" xfId="21" applyFont="1" applyFill="1" applyAlignment="1">
      <alignment vertical="center" wrapText="1"/>
    </xf>
    <xf numFmtId="0" fontId="247"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2" xfId="21" applyBorder="1">
      <alignment vertical="center"/>
    </xf>
    <xf numFmtId="0" fontId="80" fillId="0" borderId="11" xfId="21" applyBorder="1">
      <alignment vertical="center"/>
    </xf>
    <xf numFmtId="0" fontId="261" fillId="0" borderId="0" xfId="21" applyFont="1">
      <alignment vertical="center"/>
    </xf>
    <xf numFmtId="0" fontId="178" fillId="37" borderId="0" xfId="0" applyFont="1" applyFill="1" applyBorder="1" applyAlignment="1">
      <alignment horizontal="left" vertical="center" wrapText="1"/>
    </xf>
    <xf numFmtId="0" fontId="260" fillId="0" borderId="0" xfId="21" applyFont="1" applyFill="1" applyBorder="1" applyAlignment="1">
      <alignment vertical="center" wrapText="1"/>
    </xf>
    <xf numFmtId="0" fontId="262"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70"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5" xfId="0" applyFont="1" applyFill="1" applyBorder="1" applyAlignment="1">
      <alignment vertical="center" wrapText="1"/>
    </xf>
    <xf numFmtId="0" fontId="178" fillId="37" borderId="335" xfId="0" applyFont="1" applyFill="1" applyBorder="1" applyAlignment="1">
      <alignment horizontal="left" vertical="center" wrapText="1"/>
    </xf>
    <xf numFmtId="0" fontId="211" fillId="0" borderId="0" xfId="0" applyFont="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8" fillId="0" borderId="0" xfId="21" applyFont="1" applyFill="1" applyAlignment="1">
      <alignment horizontal="center" vertical="center" wrapText="1"/>
    </xf>
    <xf numFmtId="0" fontId="269" fillId="0" borderId="0" xfId="21" applyFont="1" applyFill="1" applyBorder="1" applyAlignment="1">
      <alignment horizontal="center" vertical="center" wrapText="1"/>
    </xf>
    <xf numFmtId="0" fontId="267"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3" fillId="0" borderId="0" xfId="21" applyFont="1">
      <alignment vertical="center"/>
    </xf>
    <xf numFmtId="0" fontId="283" fillId="0" borderId="0" xfId="21" applyFont="1" applyAlignment="1">
      <alignment horizontal="right" vertical="center"/>
    </xf>
    <xf numFmtId="0" fontId="283"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4" xfId="21" applyNumberFormat="1" applyFont="1" applyBorder="1" applyAlignment="1">
      <alignment horizontal="center" vertical="center"/>
    </xf>
    <xf numFmtId="0" fontId="289" fillId="0" borderId="0" xfId="21" applyFont="1">
      <alignment vertical="center"/>
    </xf>
    <xf numFmtId="176" fontId="289" fillId="0" borderId="0" xfId="0" applyNumberFormat="1" applyFont="1" applyBorder="1" applyAlignment="1"/>
    <xf numFmtId="176" fontId="289" fillId="0" borderId="0" xfId="0" applyNumberFormat="1" applyFont="1" applyBorder="1" applyAlignment="1">
      <alignment horizontal="center"/>
    </xf>
    <xf numFmtId="176" fontId="289" fillId="0" borderId="0" xfId="0" applyNumberFormat="1" applyFont="1" applyBorder="1" applyAlignment="1">
      <alignment vertical="center" shrinkToFit="1"/>
    </xf>
    <xf numFmtId="176" fontId="289" fillId="0" borderId="0" xfId="0" applyNumberFormat="1" applyFont="1" applyBorder="1">
      <alignment vertical="center"/>
    </xf>
    <xf numFmtId="176" fontId="289" fillId="0" borderId="0" xfId="0" applyNumberFormat="1" applyFont="1">
      <alignment vertical="center"/>
    </xf>
    <xf numFmtId="176" fontId="290" fillId="0" borderId="0" xfId="0" applyNumberFormat="1" applyFont="1" applyFill="1">
      <alignment vertical="center"/>
    </xf>
    <xf numFmtId="0" fontId="289" fillId="0" borderId="0" xfId="0" applyFont="1" applyAlignment="1">
      <alignment horizontal="center" vertical="center"/>
    </xf>
    <xf numFmtId="176" fontId="289" fillId="0" borderId="177" xfId="0" applyNumberFormat="1" applyFont="1" applyFill="1" applyBorder="1" applyAlignment="1">
      <alignment horizontal="center" shrinkToFit="1"/>
    </xf>
    <xf numFmtId="176" fontId="289" fillId="0" borderId="349" xfId="0" applyNumberFormat="1" applyFont="1" applyFill="1" applyBorder="1" applyAlignment="1"/>
    <xf numFmtId="176" fontId="289" fillId="0" borderId="350" xfId="0" applyNumberFormat="1" applyFont="1" applyFill="1" applyBorder="1" applyAlignment="1">
      <alignment vertical="center" shrinkToFit="1"/>
    </xf>
    <xf numFmtId="176" fontId="289" fillId="0" borderId="351" xfId="0" applyNumberFormat="1" applyFont="1" applyFill="1" applyBorder="1" applyAlignment="1"/>
    <xf numFmtId="176" fontId="289" fillId="12" borderId="169" xfId="0" applyNumberFormat="1" applyFont="1" applyFill="1" applyBorder="1">
      <alignment vertical="center"/>
    </xf>
    <xf numFmtId="176" fontId="289" fillId="12" borderId="186" xfId="0" applyNumberFormat="1" applyFont="1" applyFill="1" applyBorder="1">
      <alignment vertical="center"/>
    </xf>
    <xf numFmtId="176" fontId="289" fillId="12" borderId="188" xfId="0" applyNumberFormat="1" applyFont="1" applyFill="1" applyBorder="1">
      <alignment vertical="center"/>
    </xf>
    <xf numFmtId="176" fontId="289" fillId="7" borderId="169" xfId="0" applyNumberFormat="1" applyFont="1" applyFill="1" applyBorder="1">
      <alignment vertical="center"/>
    </xf>
    <xf numFmtId="176" fontId="289" fillId="7" borderId="186" xfId="0" applyNumberFormat="1" applyFont="1" applyFill="1" applyBorder="1">
      <alignment vertical="center"/>
    </xf>
    <xf numFmtId="176" fontId="289" fillId="7" borderId="188" xfId="0" applyNumberFormat="1" applyFont="1" applyFill="1" applyBorder="1">
      <alignment vertical="center"/>
    </xf>
    <xf numFmtId="176" fontId="289" fillId="0" borderId="174" xfId="0" applyNumberFormat="1" applyFont="1" applyFill="1" applyBorder="1" applyAlignment="1">
      <alignment horizontal="center" shrinkToFit="1"/>
    </xf>
    <xf numFmtId="0" fontId="104" fillId="0" borderId="0" xfId="21" applyFont="1" applyAlignment="1">
      <alignment horizontal="center" vertical="center"/>
    </xf>
    <xf numFmtId="0" fontId="293" fillId="0" borderId="0" xfId="21" applyFont="1" applyBorder="1" applyAlignment="1">
      <alignment horizontal="center" vertical="center"/>
    </xf>
    <xf numFmtId="176" fontId="289" fillId="0" borderId="44" xfId="0" applyNumberFormat="1" applyFont="1" applyFill="1" applyBorder="1" applyAlignment="1">
      <alignment horizontal="center" vertical="center"/>
    </xf>
    <xf numFmtId="176" fontId="289" fillId="0" borderId="19" xfId="0" applyNumberFormat="1" applyFont="1" applyFill="1" applyBorder="1" applyAlignment="1">
      <alignment horizontal="center" vertical="center"/>
    </xf>
    <xf numFmtId="176" fontId="289" fillId="0" borderId="363" xfId="0" applyNumberFormat="1" applyFont="1" applyFill="1" applyBorder="1" applyAlignment="1"/>
    <xf numFmtId="176" fontId="290" fillId="7" borderId="364" xfId="0" applyNumberFormat="1" applyFont="1" applyFill="1" applyBorder="1" applyAlignment="1">
      <alignment horizontal="center" vertical="center"/>
    </xf>
    <xf numFmtId="176" fontId="290" fillId="7" borderId="360" xfId="0" applyNumberFormat="1" applyFont="1" applyFill="1" applyBorder="1" applyAlignment="1">
      <alignment horizontal="center" vertical="center"/>
    </xf>
    <xf numFmtId="176" fontId="289" fillId="0" borderId="366" xfId="0" applyNumberFormat="1" applyFont="1" applyFill="1" applyBorder="1" applyAlignment="1"/>
    <xf numFmtId="176" fontId="289" fillId="0" borderId="368" xfId="0" applyNumberFormat="1" applyFont="1" applyFill="1" applyBorder="1" applyAlignment="1"/>
    <xf numFmtId="176" fontId="289" fillId="0" borderId="370" xfId="0" applyNumberFormat="1" applyFont="1" applyFill="1" applyBorder="1" applyAlignment="1"/>
    <xf numFmtId="176" fontId="289" fillId="0" borderId="372" xfId="0" applyNumberFormat="1" applyFont="1" applyFill="1" applyBorder="1" applyAlignment="1"/>
    <xf numFmtId="176" fontId="289" fillId="7" borderId="373" xfId="0" applyNumberFormat="1" applyFont="1" applyFill="1" applyBorder="1">
      <alignment vertical="center"/>
    </xf>
    <xf numFmtId="176" fontId="289" fillId="0" borderId="34" xfId="0" applyNumberFormat="1" applyFont="1" applyFill="1" applyBorder="1" applyAlignment="1">
      <alignment vertical="top"/>
    </xf>
    <xf numFmtId="176" fontId="289" fillId="0" borderId="13" xfId="0" applyNumberFormat="1" applyFont="1" applyFill="1" applyBorder="1">
      <alignment vertical="center"/>
    </xf>
    <xf numFmtId="176" fontId="289" fillId="0" borderId="348" xfId="0" applyNumberFormat="1" applyFont="1" applyFill="1" applyBorder="1">
      <alignment vertical="center"/>
    </xf>
    <xf numFmtId="176" fontId="289" fillId="0" borderId="158" xfId="0" applyNumberFormat="1" applyFont="1" applyFill="1" applyBorder="1" applyAlignment="1"/>
    <xf numFmtId="176" fontId="289" fillId="0" borderId="158" xfId="0" applyNumberFormat="1" applyFont="1" applyFill="1" applyBorder="1">
      <alignment vertical="center"/>
    </xf>
    <xf numFmtId="176" fontId="289" fillId="0" borderId="118" xfId="0" applyNumberFormat="1" applyFont="1" applyFill="1" applyBorder="1">
      <alignment vertical="center"/>
    </xf>
    <xf numFmtId="176" fontId="290" fillId="7" borderId="365" xfId="0" applyNumberFormat="1" applyFont="1" applyFill="1" applyBorder="1" applyAlignment="1">
      <alignment horizontal="center" vertical="center"/>
    </xf>
    <xf numFmtId="176" fontId="289" fillId="7" borderId="367" xfId="0" applyNumberFormat="1" applyFont="1" applyFill="1" applyBorder="1">
      <alignment vertical="center"/>
    </xf>
    <xf numFmtId="176" fontId="289" fillId="7" borderId="369" xfId="0" applyNumberFormat="1" applyFont="1" applyFill="1" applyBorder="1">
      <alignment vertical="center"/>
    </xf>
    <xf numFmtId="176" fontId="289" fillId="7" borderId="371" xfId="0" applyNumberFormat="1" applyFont="1" applyFill="1" applyBorder="1">
      <alignment vertical="center"/>
    </xf>
    <xf numFmtId="176" fontId="289" fillId="7" borderId="374" xfId="0" applyNumberFormat="1" applyFont="1" applyFill="1" applyBorder="1">
      <alignment vertical="center"/>
    </xf>
    <xf numFmtId="176" fontId="289" fillId="0" borderId="375" xfId="0" applyNumberFormat="1" applyFont="1" applyFill="1" applyBorder="1" applyAlignment="1"/>
    <xf numFmtId="176" fontId="289" fillId="0" borderId="369" xfId="0" applyNumberFormat="1" applyFont="1" applyFill="1" applyBorder="1" applyAlignment="1">
      <alignment vertical="center" shrinkToFit="1"/>
    </xf>
    <xf numFmtId="176" fontId="289" fillId="0" borderId="376" xfId="0" applyNumberFormat="1" applyFont="1" applyFill="1" applyBorder="1" applyAlignment="1">
      <alignment vertical="center" shrinkToFit="1"/>
    </xf>
    <xf numFmtId="176" fontId="289" fillId="0" borderId="378" xfId="0" applyNumberFormat="1" applyFont="1" applyFill="1" applyBorder="1" applyAlignment="1"/>
    <xf numFmtId="176" fontId="289" fillId="0" borderId="379" xfId="0" applyNumberFormat="1" applyFont="1" applyFill="1" applyBorder="1" applyAlignment="1">
      <alignment vertical="center" shrinkToFit="1"/>
    </xf>
    <xf numFmtId="176" fontId="289" fillId="0" borderId="374" xfId="0" applyNumberFormat="1" applyFont="1" applyFill="1" applyBorder="1" applyAlignment="1">
      <alignment vertical="center" shrinkToFit="1"/>
    </xf>
    <xf numFmtId="176" fontId="289" fillId="0" borderId="380" xfId="0" applyNumberFormat="1" applyFont="1" applyBorder="1" applyAlignment="1"/>
    <xf numFmtId="176" fontId="289" fillId="0" borderId="381" xfId="0" applyNumberFormat="1" applyFont="1" applyBorder="1" applyAlignment="1"/>
    <xf numFmtId="176" fontId="289" fillId="0" borderId="382" xfId="0" applyNumberFormat="1" applyFont="1" applyBorder="1" applyAlignment="1"/>
    <xf numFmtId="176" fontId="289" fillId="0" borderId="383" xfId="0" applyNumberFormat="1" applyFont="1" applyBorder="1" applyAlignment="1"/>
    <xf numFmtId="0" fontId="80" fillId="0" borderId="141" xfId="21" applyNumberFormat="1" applyBorder="1" applyAlignment="1">
      <alignment horizontal="center" vertical="center" shrinkToFit="1"/>
    </xf>
    <xf numFmtId="0" fontId="80" fillId="0" borderId="175" xfId="21" applyBorder="1" applyAlignment="1">
      <alignment horizontal="center" vertical="center"/>
    </xf>
    <xf numFmtId="0" fontId="80" fillId="0" borderId="170" xfId="21" applyNumberFormat="1" applyBorder="1" applyAlignment="1">
      <alignment horizontal="center" vertical="center"/>
    </xf>
    <xf numFmtId="0" fontId="80" fillId="0" borderId="173" xfId="21" applyBorder="1" applyAlignment="1">
      <alignment horizontal="center" vertical="center"/>
    </xf>
    <xf numFmtId="176" fontId="80" fillId="0" borderId="171" xfId="21" applyNumberFormat="1" applyBorder="1" applyAlignment="1">
      <alignment horizontal="center" vertical="center"/>
    </xf>
    <xf numFmtId="176" fontId="80" fillId="0" borderId="169" xfId="21" applyNumberFormat="1" applyBorder="1" applyAlignment="1">
      <alignment horizontal="center" vertical="center" shrinkToFit="1"/>
    </xf>
    <xf numFmtId="176" fontId="80" fillId="0" borderId="172" xfId="21" applyNumberFormat="1" applyBorder="1" applyAlignment="1">
      <alignment horizontal="center" vertical="center"/>
    </xf>
    <xf numFmtId="176" fontId="80" fillId="0" borderId="173" xfId="21" applyNumberFormat="1" applyBorder="1" applyAlignment="1">
      <alignment horizontal="center" vertical="center"/>
    </xf>
    <xf numFmtId="176" fontId="80" fillId="0" borderId="174" xfId="21" applyNumberFormat="1" applyBorder="1" applyAlignment="1">
      <alignment horizontal="center" vertical="center" shrinkToFit="1"/>
    </xf>
    <xf numFmtId="176" fontId="80" fillId="0" borderId="175" xfId="21" applyNumberFormat="1" applyBorder="1" applyAlignment="1">
      <alignment horizontal="center" vertical="center"/>
    </xf>
    <xf numFmtId="176" fontId="290" fillId="12" borderId="365" xfId="0" applyNumberFormat="1" applyFont="1" applyFill="1" applyBorder="1" applyAlignment="1">
      <alignment horizontal="center" vertical="center"/>
    </xf>
    <xf numFmtId="176" fontId="289" fillId="12" borderId="367" xfId="0" applyNumberFormat="1" applyFont="1" applyFill="1" applyBorder="1">
      <alignment vertical="center"/>
    </xf>
    <xf numFmtId="176" fontId="289" fillId="12" borderId="369" xfId="0" applyNumberFormat="1" applyFont="1" applyFill="1" applyBorder="1">
      <alignment vertical="center"/>
    </xf>
    <xf numFmtId="176" fontId="289" fillId="12" borderId="371" xfId="0" applyNumberFormat="1" applyFont="1" applyFill="1" applyBorder="1">
      <alignment vertical="center"/>
    </xf>
    <xf numFmtId="176" fontId="289" fillId="12" borderId="374" xfId="0" applyNumberFormat="1" applyFont="1" applyFill="1" applyBorder="1">
      <alignment vertical="center"/>
    </xf>
    <xf numFmtId="176" fontId="290" fillId="12" borderId="364" xfId="0" applyNumberFormat="1" applyFont="1" applyFill="1" applyBorder="1" applyAlignment="1">
      <alignment horizontal="center" vertical="center"/>
    </xf>
    <xf numFmtId="176" fontId="289" fillId="12" borderId="373" xfId="0" applyNumberFormat="1" applyFont="1" applyFill="1" applyBorder="1">
      <alignment vertical="center"/>
    </xf>
    <xf numFmtId="0" fontId="7" fillId="0" borderId="177"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5" xfId="21" applyNumberFormat="1" applyBorder="1" applyAlignment="1">
      <alignment vertical="center" shrinkToFit="1"/>
    </xf>
    <xf numFmtId="176" fontId="80" fillId="0" borderId="181" xfId="21" applyNumberFormat="1" applyBorder="1" applyAlignment="1">
      <alignment vertical="center" shrinkToFit="1"/>
    </xf>
    <xf numFmtId="176" fontId="80" fillId="0" borderId="172" xfId="21" applyNumberFormat="1" applyBorder="1" applyAlignment="1">
      <alignment vertical="center" shrinkToFit="1"/>
    </xf>
    <xf numFmtId="0" fontId="80" fillId="0" borderId="0" xfId="21" applyAlignment="1">
      <alignment horizontal="right" vertical="center"/>
    </xf>
    <xf numFmtId="176" fontId="289" fillId="0" borderId="141" xfId="0" applyNumberFormat="1" applyFont="1" applyFill="1" applyBorder="1" applyAlignment="1">
      <alignment horizontal="center" vertical="center" shrinkToFit="1"/>
    </xf>
    <xf numFmtId="176" fontId="289" fillId="0" borderId="177" xfId="0" applyNumberFormat="1" applyFont="1" applyFill="1" applyBorder="1" applyAlignment="1">
      <alignment horizontal="center" vertical="center" shrinkToFit="1"/>
    </xf>
    <xf numFmtId="176" fontId="291" fillId="0" borderId="361" xfId="0" applyNumberFormat="1" applyFont="1" applyFill="1" applyBorder="1" applyAlignment="1">
      <alignment horizontal="center" vertical="center"/>
    </xf>
    <xf numFmtId="176" fontId="294" fillId="0" borderId="154" xfId="0" applyNumberFormat="1" applyFont="1" applyFill="1" applyBorder="1" applyAlignment="1">
      <alignment horizontal="center" vertical="center"/>
    </xf>
    <xf numFmtId="176" fontId="291" fillId="0" borderId="364" xfId="0" applyNumberFormat="1" applyFont="1" applyFill="1" applyBorder="1" applyAlignment="1">
      <alignment horizontal="center" shrinkToFit="1"/>
    </xf>
    <xf numFmtId="176" fontId="291" fillId="0" borderId="138" xfId="0" applyNumberFormat="1" applyFont="1" applyFill="1" applyBorder="1" applyAlignment="1">
      <alignment horizontal="center" vertical="center"/>
    </xf>
    <xf numFmtId="176" fontId="291" fillId="0" borderId="362" xfId="0" applyNumberFormat="1" applyFont="1" applyFill="1" applyBorder="1" applyAlignment="1">
      <alignment horizontal="center"/>
    </xf>
    <xf numFmtId="176" fontId="291" fillId="0" borderId="91" xfId="0" applyNumberFormat="1" applyFont="1" applyFill="1" applyBorder="1" applyAlignment="1">
      <alignment horizontal="center"/>
    </xf>
    <xf numFmtId="176" fontId="294" fillId="0" borderId="91" xfId="0" applyNumberFormat="1" applyFont="1" applyFill="1" applyBorder="1" applyAlignment="1">
      <alignment horizontal="center" vertical="center"/>
    </xf>
    <xf numFmtId="176" fontId="289" fillId="0" borderId="29" xfId="0" applyNumberFormat="1" applyFont="1" applyFill="1" applyBorder="1" applyAlignment="1">
      <alignment horizontal="center" vertical="center"/>
    </xf>
    <xf numFmtId="176" fontId="294" fillId="0" borderId="138" xfId="0" applyNumberFormat="1" applyFont="1" applyFill="1" applyBorder="1" applyAlignment="1">
      <alignment horizontal="center" vertical="center"/>
    </xf>
    <xf numFmtId="176" fontId="294" fillId="0" borderId="365" xfId="0" applyNumberFormat="1" applyFont="1" applyFill="1" applyBorder="1" applyAlignment="1">
      <alignment horizontal="center" shrinkToFit="1"/>
    </xf>
    <xf numFmtId="176" fontId="90" fillId="44" borderId="294" xfId="0" applyNumberFormat="1" applyFont="1" applyFill="1" applyBorder="1" applyAlignment="1">
      <alignment horizontal="right"/>
    </xf>
    <xf numFmtId="176" fontId="90" fillId="44" borderId="384" xfId="0" applyNumberFormat="1" applyFont="1" applyFill="1" applyBorder="1" applyAlignment="1">
      <alignment horizontal="right"/>
    </xf>
    <xf numFmtId="176" fontId="90" fillId="44" borderId="385" xfId="0" applyNumberFormat="1" applyFont="1" applyFill="1" applyBorder="1" applyAlignment="1">
      <alignment horizontal="right"/>
    </xf>
    <xf numFmtId="176" fontId="90" fillId="44" borderId="293" xfId="0" applyNumberFormat="1" applyFont="1" applyFill="1" applyBorder="1" applyAlignment="1">
      <alignment horizontal="right"/>
    </xf>
    <xf numFmtId="41" fontId="90" fillId="0" borderId="284" xfId="0" applyNumberFormat="1" applyFont="1" applyBorder="1" applyAlignment="1">
      <alignment horizontal="right"/>
    </xf>
    <xf numFmtId="176" fontId="90" fillId="43" borderId="283" xfId="0" applyNumberFormat="1" applyFont="1" applyFill="1" applyBorder="1" applyAlignment="1">
      <alignment horizontal="right"/>
    </xf>
    <xf numFmtId="176" fontId="90" fillId="43" borderId="263" xfId="0" applyNumberFormat="1" applyFont="1" applyFill="1" applyBorder="1" applyAlignment="1">
      <alignment horizontal="right"/>
    </xf>
    <xf numFmtId="176" fontId="90" fillId="43" borderId="262" xfId="0" applyNumberFormat="1" applyFont="1" applyFill="1" applyBorder="1" applyAlignment="1">
      <alignment horizontal="right"/>
    </xf>
    <xf numFmtId="176" fontId="90" fillId="43" borderId="266" xfId="0" applyNumberFormat="1" applyFont="1" applyFill="1" applyBorder="1" applyAlignment="1">
      <alignment horizontal="right"/>
    </xf>
    <xf numFmtId="176" fontId="90" fillId="43" borderId="282" xfId="0" applyNumberFormat="1" applyFont="1" applyFill="1" applyBorder="1" applyAlignment="1">
      <alignment horizontal="right"/>
    </xf>
    <xf numFmtId="41" fontId="90" fillId="0" borderId="261" xfId="0" applyNumberFormat="1" applyFont="1" applyBorder="1" applyAlignment="1">
      <alignment horizontal="right"/>
    </xf>
    <xf numFmtId="176" fontId="90" fillId="0" borderId="264"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2" xfId="0" applyNumberFormat="1" applyFont="1" applyBorder="1" applyAlignment="1">
      <alignment horizontal="right"/>
    </xf>
    <xf numFmtId="176" fontId="90" fillId="41" borderId="281"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41" borderId="279" xfId="0" applyNumberFormat="1" applyFont="1" applyFill="1" applyBorder="1" applyAlignment="1">
      <alignment horizontal="right"/>
    </xf>
    <xf numFmtId="176" fontId="90" fillId="41" borderId="258" xfId="0" applyNumberFormat="1" applyFont="1" applyFill="1" applyBorder="1" applyAlignment="1">
      <alignment horizontal="right"/>
    </xf>
    <xf numFmtId="41" fontId="90" fillId="41" borderId="257" xfId="0" applyNumberFormat="1" applyFont="1" applyFill="1" applyBorder="1" applyAlignment="1">
      <alignment horizontal="right"/>
    </xf>
    <xf numFmtId="176" fontId="90" fillId="0" borderId="278"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3"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5" xfId="0" applyNumberFormat="1" applyFont="1" applyBorder="1" applyAlignment="1">
      <alignment horizontal="right"/>
    </xf>
    <xf numFmtId="0" fontId="0" fillId="0" borderId="18" xfId="0" applyBorder="1">
      <alignment vertical="center"/>
    </xf>
    <xf numFmtId="176" fontId="90" fillId="0" borderId="253" xfId="0" applyNumberFormat="1" applyFont="1" applyBorder="1" applyAlignment="1">
      <alignment horizontal="right"/>
    </xf>
    <xf numFmtId="176" fontId="90" fillId="0" borderId="274" xfId="0" applyNumberFormat="1" applyFont="1" applyBorder="1" applyAlignment="1">
      <alignment horizontal="right"/>
    </xf>
    <xf numFmtId="176" fontId="90" fillId="0" borderId="117" xfId="0" applyNumberFormat="1" applyFont="1" applyBorder="1" applyAlignment="1">
      <alignment horizontal="right"/>
    </xf>
    <xf numFmtId="176" fontId="90" fillId="44" borderId="269" xfId="0" applyNumberFormat="1" applyFont="1" applyFill="1" applyBorder="1" applyAlignment="1">
      <alignment horizontal="right"/>
    </xf>
    <xf numFmtId="176" fontId="90" fillId="44" borderId="267" xfId="0" applyNumberFormat="1" applyFont="1" applyFill="1" applyBorder="1" applyAlignment="1">
      <alignment horizontal="right"/>
    </xf>
    <xf numFmtId="176" fontId="90" fillId="44" borderId="268"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3"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2"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49" xfId="0" applyNumberFormat="1" applyFont="1" applyBorder="1" applyAlignment="1">
      <alignment horizontal="right"/>
    </xf>
    <xf numFmtId="41" fontId="90" fillId="0" borderId="246" xfId="0" applyNumberFormat="1" applyFont="1" applyBorder="1" applyAlignment="1">
      <alignment horizontal="right"/>
    </xf>
    <xf numFmtId="41" fontId="90" fillId="0" borderId="59" xfId="0" applyNumberFormat="1" applyFont="1" applyBorder="1" applyAlignment="1">
      <alignment horizontal="right"/>
    </xf>
    <xf numFmtId="176" fontId="90" fillId="44" borderId="292" xfId="0" applyNumberFormat="1" applyFont="1" applyFill="1" applyBorder="1" applyAlignment="1">
      <alignment horizontal="right"/>
    </xf>
    <xf numFmtId="176" fontId="90" fillId="43" borderId="291" xfId="0" applyNumberFormat="1" applyFont="1" applyFill="1" applyBorder="1" applyAlignment="1">
      <alignment horizontal="right"/>
    </xf>
    <xf numFmtId="176" fontId="90" fillId="41" borderId="290" xfId="0" applyNumberFormat="1" applyFont="1" applyFill="1" applyBorder="1" applyAlignment="1">
      <alignment horizontal="right"/>
    </xf>
    <xf numFmtId="176" fontId="90" fillId="41" borderId="260" xfId="0" applyNumberFormat="1" applyFont="1" applyFill="1" applyBorder="1" applyAlignment="1">
      <alignment horizontal="right"/>
    </xf>
    <xf numFmtId="176" fontId="90" fillId="0" borderId="289" xfId="0" applyNumberFormat="1" applyFont="1" applyBorder="1" applyAlignment="1">
      <alignment horizontal="right"/>
    </xf>
    <xf numFmtId="176" fontId="90" fillId="0" borderId="258" xfId="0" applyNumberFormat="1" applyFont="1" applyBorder="1" applyAlignment="1">
      <alignment horizontal="right"/>
    </xf>
    <xf numFmtId="41" fontId="90" fillId="0" borderId="287" xfId="0" applyNumberFormat="1" applyFont="1" applyBorder="1" applyAlignment="1">
      <alignment horizontal="right"/>
    </xf>
    <xf numFmtId="41" fontId="90" fillId="0" borderId="286"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41"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6" xfId="0" applyNumberFormat="1" applyFont="1" applyBorder="1" applyAlignment="1">
      <alignment horizontal="right"/>
    </xf>
    <xf numFmtId="176" fontId="90" fillId="0" borderId="386" xfId="0" applyNumberFormat="1" applyFont="1" applyBorder="1" applyAlignment="1">
      <alignment horizontal="right"/>
    </xf>
    <xf numFmtId="176" fontId="90" fillId="0" borderId="304"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7" xfId="0" applyNumberFormat="1" applyFont="1" applyBorder="1" applyAlignment="1">
      <alignment horizontal="right"/>
    </xf>
    <xf numFmtId="176" fontId="90" fillId="0" borderId="388" xfId="0" applyNumberFormat="1" applyFont="1" applyBorder="1" applyAlignment="1">
      <alignment horizontal="right"/>
    </xf>
    <xf numFmtId="0" fontId="90" fillId="0" borderId="120" xfId="21" applyFont="1" applyBorder="1" applyAlignment="1">
      <alignment vertical="center"/>
    </xf>
    <xf numFmtId="0" fontId="80" fillId="0" borderId="316" xfId="21" applyBorder="1" applyAlignment="1"/>
    <xf numFmtId="0" fontId="80" fillId="0" borderId="137" xfId="21" applyBorder="1" applyAlignment="1"/>
    <xf numFmtId="0" fontId="295" fillId="0" borderId="145" xfId="21" applyFont="1" applyBorder="1" applyAlignment="1">
      <alignment horizontal="right" vertical="center"/>
    </xf>
    <xf numFmtId="0" fontId="296" fillId="0" borderId="0" xfId="21" applyFont="1" applyBorder="1" applyAlignment="1">
      <alignment horizontal="right" vertical="center"/>
    </xf>
    <xf numFmtId="0" fontId="297" fillId="60" borderId="398"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3" fillId="0" borderId="6" xfId="0" applyFont="1" applyFill="1" applyBorder="1" applyAlignment="1">
      <alignment horizontal="left" vertical="center" wrapText="1"/>
    </xf>
    <xf numFmtId="0" fontId="13" fillId="0" borderId="0" xfId="21" applyFont="1">
      <alignment vertical="center"/>
    </xf>
    <xf numFmtId="0" fontId="301"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5"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4"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4" fillId="59" borderId="394" xfId="0" applyFont="1" applyFill="1" applyBorder="1" applyAlignment="1">
      <alignment horizontal="right" vertical="center"/>
    </xf>
    <xf numFmtId="0" fontId="311" fillId="0" borderId="0" xfId="0" applyFont="1" applyFill="1" applyBorder="1" applyAlignment="1">
      <alignment vertical="center" wrapText="1"/>
    </xf>
    <xf numFmtId="0" fontId="312" fillId="0" borderId="0" xfId="0" applyFont="1" applyAlignment="1">
      <alignment vertical="center" wrapText="1"/>
    </xf>
    <xf numFmtId="0" fontId="312"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6" xfId="0" applyNumberFormat="1" applyFont="1" applyBorder="1" applyAlignment="1">
      <alignment horizontal="right"/>
    </xf>
    <xf numFmtId="0" fontId="320" fillId="8" borderId="237" xfId="0" applyFont="1" applyFill="1" applyBorder="1" applyAlignment="1" applyProtection="1">
      <alignment vertical="center"/>
    </xf>
    <xf numFmtId="0" fontId="320" fillId="8" borderId="148" xfId="0" applyFont="1" applyFill="1" applyBorder="1" applyAlignment="1" applyProtection="1">
      <alignment vertical="center"/>
    </xf>
    <xf numFmtId="0" fontId="320" fillId="8" borderId="400" xfId="0" applyFont="1" applyFill="1" applyBorder="1" applyAlignment="1" applyProtection="1">
      <alignment vertical="center"/>
    </xf>
    <xf numFmtId="3" fontId="320" fillId="8" borderId="236" xfId="0" applyNumberFormat="1" applyFont="1" applyFill="1" applyBorder="1" applyAlignment="1" applyProtection="1">
      <alignment vertical="center"/>
    </xf>
    <xf numFmtId="0" fontId="320" fillId="8" borderId="149" xfId="0" applyFont="1" applyFill="1" applyBorder="1" applyAlignment="1" applyProtection="1">
      <alignment vertical="center"/>
    </xf>
    <xf numFmtId="3" fontId="321" fillId="8" borderId="417" xfId="0" applyNumberFormat="1" applyFont="1" applyFill="1" applyBorder="1" applyAlignment="1" applyProtection="1">
      <alignment vertical="center"/>
    </xf>
    <xf numFmtId="196" fontId="322" fillId="8" borderId="408" xfId="0" applyNumberFormat="1" applyFont="1" applyFill="1" applyBorder="1" applyAlignment="1" applyProtection="1">
      <alignment horizontal="center" vertical="center"/>
    </xf>
    <xf numFmtId="196" fontId="322" fillId="8" borderId="410" xfId="0" applyNumberFormat="1" applyFont="1" applyFill="1" applyBorder="1" applyAlignment="1" applyProtection="1">
      <alignment horizontal="center" vertical="center"/>
    </xf>
    <xf numFmtId="0" fontId="312" fillId="0" borderId="16" xfId="0" applyFont="1" applyBorder="1">
      <alignment vertical="center"/>
    </xf>
    <xf numFmtId="0" fontId="312" fillId="0" borderId="0" xfId="0" applyFont="1" applyAlignment="1">
      <alignment horizontal="left" vertical="center"/>
    </xf>
    <xf numFmtId="0" fontId="312" fillId="0" borderId="0" xfId="0" applyFont="1" applyBorder="1">
      <alignment vertical="center"/>
    </xf>
    <xf numFmtId="0" fontId="325" fillId="0" borderId="0" xfId="1" applyFont="1" applyBorder="1" applyAlignment="1">
      <alignment horizontal="left"/>
    </xf>
    <xf numFmtId="0" fontId="325" fillId="0" borderId="0" xfId="1" applyFont="1" applyFill="1" applyBorder="1" applyAlignment="1">
      <alignment horizontal="left"/>
    </xf>
    <xf numFmtId="0" fontId="325" fillId="0" borderId="0" xfId="1" applyFont="1" applyAlignment="1"/>
    <xf numFmtId="0" fontId="325" fillId="0" borderId="0" xfId="1" applyFont="1">
      <alignment vertical="center"/>
    </xf>
    <xf numFmtId="0" fontId="326" fillId="0" borderId="0" xfId="1" applyFont="1">
      <alignment vertical="center"/>
    </xf>
    <xf numFmtId="0" fontId="231" fillId="0" borderId="0" xfId="0" applyFont="1" applyBorder="1" applyAlignment="1">
      <alignment vertical="center" wrapText="1"/>
    </xf>
    <xf numFmtId="0" fontId="311" fillId="0" borderId="0" xfId="0" applyFont="1" applyBorder="1" applyAlignment="1">
      <alignment vertical="center" wrapText="1"/>
    </xf>
    <xf numFmtId="0" fontId="327" fillId="0" borderId="0" xfId="0" applyFont="1" applyBorder="1" applyAlignment="1">
      <alignment vertical="center" wrapText="1"/>
    </xf>
    <xf numFmtId="0" fontId="311" fillId="0" borderId="0" xfId="0" applyFont="1" applyFill="1" applyBorder="1" applyAlignment="1">
      <alignment horizontal="left" vertical="center"/>
    </xf>
    <xf numFmtId="0" fontId="328" fillId="0" borderId="0" xfId="0" applyFont="1" applyFill="1" applyBorder="1" applyAlignment="1">
      <alignment horizontal="center" vertical="center"/>
    </xf>
    <xf numFmtId="0" fontId="312" fillId="0" borderId="0" xfId="0" applyFont="1" applyFill="1">
      <alignment vertical="center"/>
    </xf>
    <xf numFmtId="0" fontId="311" fillId="0" borderId="0" xfId="0" applyFont="1" applyFill="1" applyBorder="1" applyAlignment="1">
      <alignment horizontal="center" vertical="center"/>
    </xf>
    <xf numFmtId="0" fontId="329" fillId="0" borderId="402" xfId="0" applyFont="1" applyBorder="1" applyAlignment="1">
      <alignment horizontal="center" vertical="center"/>
    </xf>
    <xf numFmtId="189" fontId="323" fillId="8" borderId="2" xfId="0" applyNumberFormat="1" applyFont="1" applyFill="1" applyBorder="1" applyAlignment="1" applyProtection="1">
      <alignment horizontal="right" vertical="center" shrinkToFit="1"/>
    </xf>
    <xf numFmtId="189" fontId="323" fillId="8" borderId="14" xfId="0" applyNumberFormat="1" applyFont="1" applyFill="1" applyBorder="1" applyAlignment="1" applyProtection="1">
      <alignment horizontal="right" vertical="center" shrinkToFit="1"/>
    </xf>
    <xf numFmtId="189" fontId="323" fillId="8" borderId="12" xfId="0" applyNumberFormat="1" applyFont="1" applyFill="1" applyBorder="1" applyAlignment="1" applyProtection="1">
      <alignment horizontal="right" vertical="center" shrinkToFit="1"/>
    </xf>
    <xf numFmtId="0" fontId="320" fillId="8" borderId="426" xfId="0" applyFont="1" applyFill="1" applyBorder="1" applyAlignment="1" applyProtection="1">
      <alignment vertical="center"/>
    </xf>
    <xf numFmtId="0" fontId="320" fillId="8" borderId="420" xfId="0" applyFont="1" applyFill="1" applyBorder="1" applyAlignment="1" applyProtection="1">
      <alignment vertical="center"/>
    </xf>
    <xf numFmtId="0" fontId="320" fillId="8" borderId="427" xfId="0" applyFont="1" applyFill="1" applyBorder="1" applyAlignment="1" applyProtection="1">
      <alignment vertical="center"/>
    </xf>
    <xf numFmtId="3" fontId="321" fillId="8" borderId="428" xfId="0" applyNumberFormat="1" applyFont="1" applyFill="1" applyBorder="1" applyAlignment="1" applyProtection="1">
      <alignment vertical="center"/>
    </xf>
    <xf numFmtId="196" fontId="322" fillId="8" borderId="421" xfId="0" applyNumberFormat="1" applyFont="1" applyFill="1" applyBorder="1" applyAlignment="1" applyProtection="1">
      <alignment horizontal="center" vertical="center"/>
    </xf>
    <xf numFmtId="3" fontId="320" fillId="8" borderId="420" xfId="0" applyNumberFormat="1" applyFont="1" applyFill="1" applyBorder="1" applyAlignment="1" applyProtection="1">
      <alignment vertical="center"/>
    </xf>
    <xf numFmtId="196" fontId="322" fillId="8" borderId="429" xfId="0" applyNumberFormat="1" applyFont="1" applyFill="1" applyBorder="1" applyAlignment="1" applyProtection="1">
      <alignment horizontal="center" vertical="center"/>
    </xf>
    <xf numFmtId="0" fontId="320" fillId="8" borderId="430" xfId="0" applyFont="1" applyFill="1" applyBorder="1" applyAlignment="1" applyProtection="1">
      <alignment vertical="center"/>
    </xf>
    <xf numFmtId="0" fontId="138" fillId="0" borderId="404" xfId="0" applyFont="1" applyBorder="1" applyAlignment="1">
      <alignment horizontal="center" vertical="center"/>
    </xf>
    <xf numFmtId="0" fontId="320" fillId="8" borderId="431" xfId="0" applyFont="1" applyFill="1" applyBorder="1" applyAlignment="1" applyProtection="1">
      <alignment vertical="center"/>
    </xf>
    <xf numFmtId="0" fontId="320" fillId="8" borderId="432" xfId="0" applyFont="1" applyFill="1" applyBorder="1" applyAlignment="1" applyProtection="1">
      <alignment horizontal="right" vertical="center"/>
    </xf>
    <xf numFmtId="0" fontId="321" fillId="64" borderId="431" xfId="1" applyFont="1" applyFill="1" applyBorder="1" applyAlignment="1" applyProtection="1">
      <alignment vertical="center" wrapText="1"/>
    </xf>
    <xf numFmtId="0" fontId="321" fillId="64" borderId="433" xfId="1" applyFont="1" applyFill="1" applyBorder="1" applyAlignment="1" applyProtection="1">
      <alignment vertical="center"/>
    </xf>
    <xf numFmtId="0" fontId="321" fillId="64" borderId="431" xfId="1" applyFont="1" applyFill="1" applyBorder="1" applyAlignment="1" applyProtection="1">
      <alignment horizontal="right" vertical="center" wrapText="1"/>
    </xf>
    <xf numFmtId="0" fontId="321" fillId="8" borderId="433" xfId="1" applyFont="1" applyFill="1" applyBorder="1" applyAlignment="1" applyProtection="1">
      <alignment vertical="center" wrapText="1"/>
    </xf>
    <xf numFmtId="0" fontId="321" fillId="8" borderId="433" xfId="1" applyFont="1" applyFill="1" applyBorder="1" applyAlignment="1" applyProtection="1">
      <alignment vertical="center"/>
    </xf>
    <xf numFmtId="0" fontId="321" fillId="8" borderId="433" xfId="1" applyFont="1" applyFill="1" applyBorder="1" applyAlignment="1" applyProtection="1">
      <alignment horizontal="right" vertical="center" wrapText="1"/>
    </xf>
    <xf numFmtId="0" fontId="321" fillId="64" borderId="433" xfId="1" applyFont="1" applyFill="1" applyBorder="1" applyAlignment="1" applyProtection="1">
      <alignment vertical="center" wrapText="1"/>
    </xf>
    <xf numFmtId="0" fontId="321" fillId="64" borderId="434" xfId="1" applyFont="1" applyFill="1" applyBorder="1" applyAlignment="1" applyProtection="1">
      <alignment vertical="center" wrapText="1"/>
    </xf>
    <xf numFmtId="0" fontId="330" fillId="0" borderId="435" xfId="0" applyFont="1" applyBorder="1" applyAlignment="1">
      <alignment horizontal="center" vertical="center"/>
    </xf>
    <xf numFmtId="0" fontId="2" fillId="0" borderId="407"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399" xfId="0" applyFont="1" applyBorder="1" applyAlignment="1">
      <alignment horizontal="center" vertical="center" shrinkToFit="1"/>
    </xf>
    <xf numFmtId="0" fontId="137" fillId="0" borderId="418" xfId="0" applyFont="1" applyBorder="1" applyAlignment="1">
      <alignment horizontal="center" vertical="center" shrinkToFit="1"/>
    </xf>
    <xf numFmtId="0" fontId="137" fillId="0" borderId="408" xfId="0" applyFont="1" applyBorder="1" applyAlignment="1">
      <alignment horizontal="center" shrinkToFit="1"/>
    </xf>
    <xf numFmtId="0" fontId="137" fillId="0" borderId="409" xfId="0" applyFont="1" applyBorder="1" applyAlignment="1">
      <alignment horizontal="center" shrinkToFit="1"/>
    </xf>
    <xf numFmtId="0" fontId="137" fillId="0" borderId="406"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6" xfId="0" applyFont="1" applyFill="1" applyBorder="1" applyAlignment="1" applyProtection="1">
      <alignment horizontal="center" vertical="center" shrinkToFit="1"/>
    </xf>
    <xf numFmtId="0" fontId="14" fillId="60" borderId="396" xfId="0" applyFont="1" applyFill="1" applyBorder="1" applyAlignment="1">
      <alignment vertical="center" wrapText="1"/>
    </xf>
    <xf numFmtId="0" fontId="14" fillId="60" borderId="397" xfId="0" applyFont="1" applyFill="1" applyBorder="1" applyAlignment="1">
      <alignment vertical="center" wrapText="1"/>
    </xf>
    <xf numFmtId="0" fontId="14" fillId="57" borderId="0" xfId="0" applyFont="1" applyFill="1" applyBorder="1" applyAlignment="1">
      <alignment vertical="center" wrapText="1"/>
    </xf>
    <xf numFmtId="0" fontId="14" fillId="57" borderId="392" xfId="0" applyFont="1" applyFill="1" applyBorder="1" applyAlignment="1">
      <alignment vertical="center" wrapText="1"/>
    </xf>
    <xf numFmtId="197" fontId="90" fillId="0" borderId="265" xfId="21" applyNumberFormat="1" applyFont="1" applyBorder="1" applyAlignment="1">
      <alignment horizontal="center" vertical="top"/>
    </xf>
    <xf numFmtId="197" fontId="90" fillId="0" borderId="250" xfId="21" applyNumberFormat="1" applyFont="1" applyBorder="1" applyAlignment="1">
      <alignment horizontal="center" vertical="top"/>
    </xf>
    <xf numFmtId="0" fontId="333" fillId="0" borderId="0" xfId="0" applyFont="1" applyAlignment="1">
      <alignment vertical="center"/>
    </xf>
    <xf numFmtId="0" fontId="80" fillId="0" borderId="437" xfId="21" applyBorder="1">
      <alignment vertical="center"/>
    </xf>
    <xf numFmtId="0" fontId="253" fillId="0" borderId="407" xfId="0" applyFont="1" applyBorder="1" applyAlignment="1">
      <alignment horizontal="center" vertical="top" shrinkToFit="1"/>
    </xf>
    <xf numFmtId="0" fontId="300" fillId="0" borderId="0" xfId="1" applyFont="1" applyBorder="1" applyAlignment="1">
      <alignment vertical="center"/>
    </xf>
    <xf numFmtId="1" fontId="339" fillId="0" borderId="4" xfId="0" applyNumberFormat="1" applyFont="1" applyBorder="1" applyAlignment="1">
      <alignment horizontal="right" vertical="top"/>
    </xf>
    <xf numFmtId="0" fontId="305"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7" fillId="0" borderId="169" xfId="0" applyNumberFormat="1" applyFont="1" applyFill="1" applyBorder="1" applyAlignment="1">
      <alignment vertical="center" shrinkToFit="1"/>
    </xf>
    <xf numFmtId="42" fontId="337" fillId="17" borderId="169" xfId="0" applyNumberFormat="1" applyFont="1" applyFill="1" applyBorder="1" applyAlignment="1">
      <alignment vertical="center" shrinkToFit="1"/>
    </xf>
    <xf numFmtId="42" fontId="337" fillId="0" borderId="13" xfId="0" applyNumberFormat="1" applyFont="1" applyFill="1" applyBorder="1" applyAlignment="1" applyProtection="1">
      <alignment vertical="center" shrinkToFit="1"/>
    </xf>
    <xf numFmtId="3" fontId="338" fillId="0" borderId="0" xfId="0" applyNumberFormat="1" applyFont="1" applyBorder="1" applyAlignment="1">
      <alignment vertical="center" shrinkToFit="1"/>
    </xf>
    <xf numFmtId="3" fontId="338" fillId="17" borderId="0" xfId="0" applyNumberFormat="1" applyFont="1" applyFill="1" applyBorder="1" applyAlignment="1">
      <alignment vertical="center" shrinkToFit="1"/>
    </xf>
    <xf numFmtId="3" fontId="338" fillId="0" borderId="0" xfId="0" applyNumberFormat="1" applyFont="1" applyFill="1" applyBorder="1" applyAlignment="1">
      <alignment vertical="center" shrinkToFit="1"/>
    </xf>
    <xf numFmtId="0" fontId="337" fillId="0" borderId="13" xfId="0" applyFont="1" applyFill="1" applyBorder="1" applyAlignment="1">
      <alignment vertical="center" shrinkToFit="1"/>
    </xf>
    <xf numFmtId="0" fontId="337" fillId="0" borderId="1" xfId="0" applyFont="1" applyFill="1" applyBorder="1" applyAlignment="1">
      <alignment vertical="center" shrinkToFit="1"/>
    </xf>
    <xf numFmtId="0" fontId="337" fillId="17" borderId="13" xfId="0" applyFont="1" applyFill="1" applyBorder="1" applyAlignment="1">
      <alignment vertical="center" shrinkToFit="1"/>
    </xf>
    <xf numFmtId="0" fontId="337" fillId="0" borderId="141" xfId="0" applyNumberFormat="1" applyFont="1" applyBorder="1" applyAlignment="1">
      <alignment vertical="center" shrinkToFit="1"/>
    </xf>
    <xf numFmtId="0" fontId="299" fillId="0" borderId="14" xfId="0" applyFont="1" applyBorder="1" applyAlignment="1">
      <alignment horizontal="center" wrapText="1"/>
    </xf>
    <xf numFmtId="0" fontId="299" fillId="0" borderId="9" xfId="0" applyFont="1" applyBorder="1" applyAlignment="1">
      <alignment horizontal="center" wrapText="1"/>
    </xf>
    <xf numFmtId="0" fontId="299" fillId="17" borderId="14" xfId="0" applyFont="1" applyFill="1" applyBorder="1" applyAlignment="1">
      <alignment horizontal="center" wrapText="1"/>
    </xf>
    <xf numFmtId="0" fontId="299" fillId="17" borderId="9" xfId="0" applyFont="1" applyFill="1" applyBorder="1" applyAlignment="1">
      <alignment horizontal="center" wrapText="1"/>
    </xf>
    <xf numFmtId="0" fontId="299" fillId="0" borderId="14" xfId="0" applyNumberFormat="1" applyFont="1" applyBorder="1" applyAlignment="1">
      <alignment vertical="center"/>
    </xf>
    <xf numFmtId="0" fontId="299" fillId="0" borderId="14" xfId="0" applyFont="1" applyFill="1" applyBorder="1" applyAlignment="1">
      <alignment horizontal="center" wrapText="1"/>
    </xf>
    <xf numFmtId="0" fontId="299" fillId="0" borderId="0" xfId="0" applyFont="1" applyAlignment="1">
      <alignment horizontal="center" wrapText="1"/>
    </xf>
    <xf numFmtId="0" fontId="299" fillId="17" borderId="0" xfId="0" applyFont="1" applyFill="1" applyAlignment="1">
      <alignment horizontal="center" wrapText="1"/>
    </xf>
    <xf numFmtId="0" fontId="118" fillId="0" borderId="0" xfId="1" applyFont="1" applyBorder="1" applyAlignment="1">
      <alignment vertical="center" wrapText="1"/>
    </xf>
    <xf numFmtId="0" fontId="299" fillId="0" borderId="0" xfId="0" applyFont="1" applyBorder="1" applyAlignment="1">
      <alignment horizontal="center" wrapText="1"/>
    </xf>
    <xf numFmtId="0" fontId="49" fillId="17" borderId="9" xfId="0" applyFont="1" applyFill="1" applyBorder="1" applyAlignment="1">
      <alignment vertical="top" textRotation="255"/>
    </xf>
    <xf numFmtId="42" fontId="337" fillId="0" borderId="140" xfId="0" applyNumberFormat="1" applyFont="1" applyFill="1" applyBorder="1" applyAlignment="1">
      <alignment horizontal="left" vertical="center" shrinkToFit="1"/>
    </xf>
    <xf numFmtId="0" fontId="337" fillId="0" borderId="13" xfId="0" applyFont="1" applyFill="1" applyBorder="1" applyAlignment="1" applyProtection="1">
      <alignment horizontal="right" vertical="center" shrinkToFit="1"/>
    </xf>
    <xf numFmtId="0" fontId="299" fillId="0" borderId="14" xfId="0" applyFont="1" applyBorder="1" applyAlignment="1">
      <alignment horizontal="center" shrinkToFit="1"/>
    </xf>
    <xf numFmtId="0" fontId="299" fillId="0" borderId="9" xfId="0" applyFont="1" applyBorder="1" applyAlignment="1">
      <alignment horizontal="center" shrinkToFit="1"/>
    </xf>
    <xf numFmtId="0" fontId="306" fillId="17" borderId="439" xfId="1" applyFont="1" applyFill="1" applyBorder="1" applyAlignment="1">
      <alignment horizontal="center" vertical="center" shrinkToFit="1"/>
    </xf>
    <xf numFmtId="0" fontId="306" fillId="17" borderId="154" xfId="1" applyFont="1" applyFill="1" applyBorder="1" applyAlignment="1">
      <alignment horizontal="center" vertical="center" shrinkToFit="1"/>
    </xf>
    <xf numFmtId="0" fontId="306" fillId="0" borderId="438" xfId="1" applyFont="1" applyBorder="1" applyAlignment="1">
      <alignment horizontal="center" vertical="center" shrinkToFit="1"/>
    </xf>
    <xf numFmtId="0" fontId="306" fillId="0" borderId="439" xfId="1" applyFont="1" applyBorder="1" applyAlignment="1">
      <alignment horizontal="center" vertical="center" shrinkToFit="1"/>
    </xf>
    <xf numFmtId="0" fontId="306" fillId="0" borderId="154" xfId="1" applyFont="1" applyBorder="1" applyAlignment="1">
      <alignment horizontal="center" vertical="center" shrinkToFit="1"/>
    </xf>
    <xf numFmtId="0" fontId="306" fillId="17" borderId="438" xfId="1" applyFont="1" applyFill="1" applyBorder="1" applyAlignment="1">
      <alignment horizontal="center" vertical="center" shrinkToFit="1"/>
    </xf>
    <xf numFmtId="42" fontId="341" fillId="17" borderId="140" xfId="1" applyNumberFormat="1" applyFont="1" applyFill="1" applyBorder="1" applyAlignment="1">
      <alignment horizontal="left" vertical="center" shrinkToFit="1"/>
    </xf>
    <xf numFmtId="42" fontId="337" fillId="0" borderId="140" xfId="21" applyNumberFormat="1" applyFont="1" applyBorder="1" applyAlignment="1">
      <alignment horizontal="left" vertical="center" shrinkToFit="1"/>
    </xf>
    <xf numFmtId="0" fontId="128" fillId="0" borderId="1" xfId="0" applyFont="1" applyBorder="1">
      <alignment vertical="center"/>
    </xf>
    <xf numFmtId="0" fontId="306" fillId="0" borderId="7" xfId="1" applyFont="1" applyBorder="1" applyAlignment="1">
      <alignment horizontal="center" wrapText="1"/>
    </xf>
    <xf numFmtId="0" fontId="306" fillId="0" borderId="5" xfId="1" applyFont="1" applyBorder="1" applyAlignment="1">
      <alignment horizontal="center" wrapText="1"/>
    </xf>
    <xf numFmtId="0" fontId="306" fillId="0" borderId="14" xfId="1" applyFont="1" applyBorder="1" applyAlignment="1">
      <alignment horizontal="center" wrapText="1"/>
    </xf>
    <xf numFmtId="0" fontId="307" fillId="0" borderId="0" xfId="0" applyFont="1" applyFill="1" applyAlignment="1">
      <alignment vertical="center"/>
    </xf>
    <xf numFmtId="0" fontId="307" fillId="0" borderId="0" xfId="0" applyFont="1" applyAlignment="1">
      <alignment vertical="center"/>
    </xf>
    <xf numFmtId="0" fontId="299" fillId="17" borderId="0" xfId="0" applyFont="1" applyFill="1" applyBorder="1" applyAlignment="1">
      <alignment horizontal="center" wrapText="1"/>
    </xf>
    <xf numFmtId="0" fontId="306" fillId="0" borderId="0" xfId="1" applyFont="1" applyBorder="1" applyAlignment="1">
      <alignment horizontal="center" wrapText="1"/>
    </xf>
    <xf numFmtId="0" fontId="306" fillId="17" borderId="0" xfId="1" applyFont="1" applyFill="1" applyBorder="1" applyAlignment="1">
      <alignment horizontal="center" wrapText="1"/>
    </xf>
    <xf numFmtId="0" fontId="49" fillId="0" borderId="0" xfId="0" applyFont="1" applyBorder="1" applyAlignment="1">
      <alignment horizontal="center" vertical="center" wrapText="1"/>
    </xf>
    <xf numFmtId="3" fontId="341" fillId="17" borderId="0" xfId="1" applyNumberFormat="1" applyFont="1" applyFill="1" applyBorder="1" applyAlignment="1">
      <alignment vertical="center" shrinkToFit="1"/>
    </xf>
    <xf numFmtId="3" fontId="341" fillId="0" borderId="0" xfId="1" applyNumberFormat="1" applyFont="1" applyBorder="1" applyAlignment="1">
      <alignment vertical="center" shrinkToFit="1"/>
    </xf>
    <xf numFmtId="0" fontId="341" fillId="17" borderId="141" xfId="1" applyFont="1" applyFill="1" applyBorder="1" applyAlignment="1">
      <alignment horizontal="right" vertical="center" shrinkToFit="1"/>
    </xf>
    <xf numFmtId="0" fontId="341" fillId="0" borderId="174" xfId="1" applyFont="1" applyBorder="1" applyAlignment="1">
      <alignment vertical="center" shrinkToFit="1"/>
    </xf>
    <xf numFmtId="0" fontId="341" fillId="17" borderId="174" xfId="1" applyFont="1" applyFill="1" applyBorder="1" applyAlignment="1">
      <alignment vertical="center" shrinkToFit="1"/>
    </xf>
    <xf numFmtId="0" fontId="341" fillId="17" borderId="141" xfId="1" applyFont="1" applyFill="1" applyBorder="1" applyAlignment="1">
      <alignment vertical="center" shrinkToFit="1"/>
    </xf>
    <xf numFmtId="3" fontId="341" fillId="17" borderId="225" xfId="1" applyNumberFormat="1" applyFont="1" applyFill="1" applyBorder="1" applyAlignment="1">
      <alignment vertical="center" shrinkToFit="1"/>
    </xf>
    <xf numFmtId="0" fontId="306" fillId="17" borderId="225" xfId="1" applyFont="1" applyFill="1" applyBorder="1" applyAlignment="1">
      <alignment horizontal="center" wrapText="1"/>
    </xf>
    <xf numFmtId="0" fontId="109" fillId="0" borderId="0" xfId="21" applyFont="1" applyBorder="1" applyAlignment="1">
      <alignment horizontal="center"/>
    </xf>
    <xf numFmtId="0" fontId="299" fillId="0" borderId="154" xfId="0" applyFont="1" applyBorder="1" applyAlignment="1">
      <alignment horizontal="center" vertical="center" shrinkToFit="1"/>
    </xf>
    <xf numFmtId="0" fontId="299" fillId="0" borderId="171" xfId="0" applyFont="1" applyBorder="1" applyAlignment="1">
      <alignment horizontal="center" vertical="center" shrinkToFit="1"/>
    </xf>
    <xf numFmtId="0" fontId="299" fillId="0" borderId="438" xfId="0" applyFont="1" applyBorder="1" applyAlignment="1">
      <alignment horizontal="center" vertical="center" shrinkToFit="1"/>
    </xf>
    <xf numFmtId="0" fontId="299" fillId="17" borderId="438" xfId="0" applyFont="1" applyFill="1" applyBorder="1" applyAlignment="1">
      <alignment horizontal="center" vertical="center" shrinkToFit="1"/>
    </xf>
    <xf numFmtId="0" fontId="299" fillId="17" borderId="154" xfId="0" applyFont="1" applyFill="1" applyBorder="1" applyAlignment="1">
      <alignment horizontal="center" vertical="center" shrinkToFit="1"/>
    </xf>
    <xf numFmtId="0" fontId="299" fillId="17" borderId="171" xfId="0" applyFont="1" applyFill="1" applyBorder="1" applyAlignment="1">
      <alignment horizontal="center" vertical="center" shrinkToFit="1"/>
    </xf>
    <xf numFmtId="0" fontId="342" fillId="17" borderId="7" xfId="0" applyFont="1" applyFill="1" applyBorder="1" applyAlignment="1">
      <alignment textRotation="255"/>
    </xf>
    <xf numFmtId="0" fontId="122" fillId="0" borderId="440"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4" fillId="25" borderId="3" xfId="0" applyNumberFormat="1" applyFont="1" applyFill="1" applyBorder="1" applyAlignment="1">
      <alignment horizontal="center" vertical="center"/>
    </xf>
    <xf numFmtId="0" fontId="344" fillId="25" borderId="0" xfId="0" applyNumberFormat="1" applyFont="1" applyFill="1" applyBorder="1" applyAlignment="1">
      <alignment horizontal="center" vertical="center" wrapText="1"/>
    </xf>
    <xf numFmtId="0" fontId="344" fillId="25" borderId="6" xfId="0" applyNumberFormat="1" applyFont="1" applyFill="1" applyBorder="1" applyAlignment="1">
      <alignment horizontal="center" vertical="center" wrapText="1"/>
    </xf>
    <xf numFmtId="0" fontId="344" fillId="25" borderId="6" xfId="0" applyNumberFormat="1" applyFont="1" applyFill="1" applyBorder="1" applyAlignment="1">
      <alignment horizontal="center" vertical="center"/>
    </xf>
    <xf numFmtId="176" fontId="255"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5"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5"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5"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7" fillId="0" borderId="0" xfId="0" applyFont="1" applyBorder="1" applyAlignment="1">
      <alignment horizontal="right" vertical="center" wrapText="1"/>
    </xf>
    <xf numFmtId="176" fontId="349"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8" fillId="0" borderId="0" xfId="0" applyNumberFormat="1" applyFont="1" applyBorder="1" applyAlignment="1">
      <alignment vertical="center" wrapText="1"/>
    </xf>
    <xf numFmtId="0" fontId="293" fillId="0" borderId="0" xfId="1" applyFont="1">
      <alignment vertical="center"/>
    </xf>
    <xf numFmtId="0" fontId="351" fillId="0" borderId="0" xfId="1" applyFont="1" applyBorder="1" applyAlignment="1">
      <alignment horizontal="left"/>
    </xf>
    <xf numFmtId="0" fontId="351" fillId="0" borderId="0" xfId="1" applyFont="1" applyFill="1" applyBorder="1" applyAlignment="1">
      <alignment horizontal="left"/>
    </xf>
    <xf numFmtId="0" fontId="351" fillId="0" borderId="0" xfId="1" applyFont="1" applyBorder="1" applyAlignment="1">
      <alignment vertical="center"/>
    </xf>
    <xf numFmtId="186" fontId="325" fillId="11" borderId="22" xfId="0" applyNumberFormat="1" applyFont="1" applyFill="1" applyBorder="1" applyAlignment="1">
      <alignment horizontal="center" vertical="center" shrinkToFit="1"/>
    </xf>
    <xf numFmtId="186" fontId="325" fillId="11" borderId="11" xfId="0" applyNumberFormat="1" applyFont="1" applyFill="1" applyBorder="1" applyAlignment="1">
      <alignment vertical="center" shrinkToFit="1"/>
    </xf>
    <xf numFmtId="186" fontId="325"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10" xfId="1" applyNumberFormat="1" applyFont="1" applyFill="1" applyBorder="1" applyAlignment="1" applyProtection="1"/>
    <xf numFmtId="0" fontId="9" fillId="0" borderId="211"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206" fillId="0" borderId="218" xfId="1" applyNumberFormat="1" applyFont="1" applyFill="1" applyBorder="1" applyAlignment="1" applyProtection="1"/>
    <xf numFmtId="0" fontId="9" fillId="0" borderId="11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2"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3" fillId="0" borderId="0" xfId="21" applyFont="1" applyAlignment="1"/>
    <xf numFmtId="0" fontId="283" fillId="0" borderId="0" xfId="21" applyFont="1" applyAlignment="1">
      <alignment vertical="center"/>
    </xf>
    <xf numFmtId="0" fontId="285"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2"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4" fillId="0" borderId="0" xfId="21" applyNumberFormat="1" applyFont="1" applyFill="1" applyBorder="1" applyAlignment="1" applyProtection="1">
      <alignment horizontal="center" vertical="center"/>
    </xf>
    <xf numFmtId="176" fontId="225" fillId="11" borderId="0" xfId="21" applyNumberFormat="1" applyFont="1" applyFill="1" applyBorder="1" applyAlignment="1" applyProtection="1">
      <alignment horizontal="center" vertical="center" shrinkToFit="1"/>
    </xf>
    <xf numFmtId="176" fontId="224"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6" fillId="0" borderId="0" xfId="21" applyNumberFormat="1" applyFont="1" applyFill="1" applyBorder="1" applyAlignment="1" applyProtection="1">
      <alignment horizontal="left" vertical="top" wrapText="1" shrinkToFit="1"/>
    </xf>
    <xf numFmtId="0" fontId="0" fillId="0" borderId="221" xfId="0" applyBorder="1" applyProtection="1">
      <alignment vertical="center"/>
    </xf>
    <xf numFmtId="0" fontId="0" fillId="0" borderId="234" xfId="0" applyBorder="1" applyProtection="1">
      <alignment vertical="center"/>
    </xf>
    <xf numFmtId="0" fontId="0" fillId="0" borderId="233" xfId="0" applyBorder="1" applyProtection="1">
      <alignment vertical="center"/>
    </xf>
    <xf numFmtId="0" fontId="0" fillId="0" borderId="232" xfId="0" applyBorder="1" applyProtection="1">
      <alignment vertical="center"/>
    </xf>
    <xf numFmtId="0" fontId="215" fillId="0" borderId="227" xfId="0" applyFont="1" applyBorder="1" applyProtection="1">
      <alignment vertical="center"/>
    </xf>
    <xf numFmtId="0" fontId="215" fillId="0" borderId="223" xfId="0" applyFont="1" applyBorder="1" applyProtection="1">
      <alignment vertical="center"/>
    </xf>
    <xf numFmtId="0" fontId="215" fillId="0" borderId="0" xfId="0" applyFont="1" applyBorder="1" applyProtection="1">
      <alignment vertical="center"/>
    </xf>
    <xf numFmtId="0" fontId="215" fillId="0" borderId="235" xfId="0" applyFont="1" applyBorder="1" applyProtection="1">
      <alignment vertical="center"/>
    </xf>
    <xf numFmtId="0" fontId="215" fillId="0" borderId="0" xfId="0" applyFont="1" applyBorder="1" applyAlignment="1" applyProtection="1">
      <alignment horizontal="center" vertical="center"/>
    </xf>
    <xf numFmtId="0" fontId="215" fillId="0" borderId="234" xfId="0" applyFont="1" applyBorder="1" applyProtection="1">
      <alignment vertical="center"/>
    </xf>
    <xf numFmtId="0" fontId="215" fillId="0" borderId="233" xfId="0" applyFont="1" applyBorder="1" applyProtection="1">
      <alignment vertical="center"/>
    </xf>
    <xf numFmtId="0" fontId="215" fillId="0" borderId="232" xfId="0" applyFont="1" applyBorder="1" applyProtection="1">
      <alignment vertical="center"/>
    </xf>
    <xf numFmtId="0" fontId="215" fillId="0" borderId="222" xfId="0" applyFont="1" applyBorder="1" applyProtection="1">
      <alignment vertical="center"/>
    </xf>
    <xf numFmtId="0" fontId="215" fillId="0" borderId="221" xfId="0" applyFont="1" applyBorder="1" applyProtection="1">
      <alignment vertical="center"/>
    </xf>
    <xf numFmtId="0" fontId="215" fillId="0" borderId="220"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1"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2" fillId="0" borderId="6" xfId="21" applyFont="1" applyFill="1" applyBorder="1" applyProtection="1">
      <alignment vertical="center"/>
    </xf>
    <xf numFmtId="0" fontId="222" fillId="0" borderId="0" xfId="21" applyFont="1" applyFill="1" applyBorder="1" applyProtection="1">
      <alignment vertical="center"/>
    </xf>
    <xf numFmtId="0" fontId="222" fillId="0" borderId="4" xfId="21" applyFont="1" applyFill="1" applyBorder="1" applyProtection="1">
      <alignment vertical="center"/>
    </xf>
    <xf numFmtId="0" fontId="222" fillId="0" borderId="3" xfId="21" applyFont="1" applyFill="1" applyBorder="1" applyProtection="1">
      <alignment vertical="center"/>
    </xf>
    <xf numFmtId="0" fontId="142" fillId="0" borderId="0" xfId="21" applyFont="1" applyBorder="1" applyAlignment="1">
      <alignment vertical="center"/>
    </xf>
    <xf numFmtId="0" fontId="271" fillId="0" borderId="6" xfId="21" applyFont="1" applyBorder="1" applyAlignment="1">
      <alignment horizontal="left" vertical="center" wrapText="1"/>
    </xf>
    <xf numFmtId="0" fontId="358" fillId="0" borderId="0" xfId="0" applyFont="1" applyFill="1" applyBorder="1" applyAlignment="1">
      <alignment vertical="center"/>
    </xf>
    <xf numFmtId="0" fontId="358" fillId="0" borderId="0" xfId="0" applyFont="1" applyBorder="1" applyAlignment="1">
      <alignment vertical="center"/>
    </xf>
    <xf numFmtId="0" fontId="359" fillId="0" borderId="0" xfId="0" applyFont="1">
      <alignment vertical="center"/>
    </xf>
    <xf numFmtId="0" fontId="360" fillId="0" borderId="0" xfId="0" applyFont="1" applyFill="1" applyBorder="1" applyAlignment="1">
      <alignment horizontal="center" vertical="center"/>
    </xf>
    <xf numFmtId="0" fontId="359" fillId="0" borderId="0" xfId="0" applyFont="1" applyBorder="1">
      <alignment vertical="center"/>
    </xf>
    <xf numFmtId="181" fontId="361" fillId="0" borderId="0" xfId="1" applyNumberFormat="1" applyFont="1" applyBorder="1" applyAlignment="1">
      <alignment horizontal="left"/>
    </xf>
    <xf numFmtId="0" fontId="362" fillId="0" borderId="0" xfId="1" applyFont="1">
      <alignment vertical="center"/>
    </xf>
    <xf numFmtId="0" fontId="363" fillId="0" borderId="0" xfId="1" applyFont="1" applyBorder="1" applyAlignment="1">
      <alignment horizontal="center"/>
    </xf>
    <xf numFmtId="0" fontId="363" fillId="0" borderId="0" xfId="1" applyFont="1" applyBorder="1" applyAlignment="1">
      <alignment horizontal="left" vertical="center"/>
    </xf>
    <xf numFmtId="0" fontId="363" fillId="0" borderId="0" xfId="1" applyFont="1" applyFill="1" applyBorder="1" applyAlignment="1">
      <alignment horizontal="left" vertical="center"/>
    </xf>
    <xf numFmtId="0" fontId="363" fillId="0" borderId="0" xfId="1" applyFont="1" applyBorder="1" applyAlignment="1">
      <alignment horizontal="left"/>
    </xf>
    <xf numFmtId="0" fontId="363" fillId="0" borderId="0" xfId="1" applyFont="1" applyFill="1" applyBorder="1" applyAlignment="1">
      <alignment horizontal="left"/>
    </xf>
    <xf numFmtId="0" fontId="363" fillId="0" borderId="0" xfId="1" applyFont="1" applyBorder="1" applyAlignment="1">
      <alignment horizontal="left" vertical="top"/>
    </xf>
    <xf numFmtId="0" fontId="363" fillId="0" borderId="0" xfId="1" applyFont="1" applyFill="1" applyBorder="1" applyAlignment="1">
      <alignment horizontal="left" vertical="top"/>
    </xf>
    <xf numFmtId="0" fontId="363" fillId="0" borderId="0" xfId="1" applyFont="1" applyBorder="1" applyAlignment="1">
      <alignment horizontal="center" vertical="top"/>
    </xf>
    <xf numFmtId="0" fontId="363" fillId="0" borderId="0" xfId="1" applyFont="1" applyBorder="1" applyAlignment="1">
      <alignment vertical="top"/>
    </xf>
    <xf numFmtId="0" fontId="360" fillId="0" borderId="0" xfId="1" applyFont="1" applyBorder="1" applyAlignment="1">
      <alignment horizontal="left"/>
    </xf>
    <xf numFmtId="0" fontId="363"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10" xfId="1" applyNumberFormat="1" applyFont="1" applyFill="1" applyBorder="1" applyAlignment="1" applyProtection="1">
      <alignment horizontal="center"/>
      <protection locked="0"/>
    </xf>
    <xf numFmtId="0" fontId="9" fillId="0" borderId="211" xfId="1" applyFont="1" applyFill="1" applyBorder="1" applyAlignment="1">
      <alignment horizontal="center"/>
    </xf>
    <xf numFmtId="0" fontId="9" fillId="0" borderId="102" xfId="1" applyFont="1" applyFill="1" applyBorder="1" applyAlignment="1">
      <alignment horizontal="center"/>
    </xf>
    <xf numFmtId="0" fontId="149" fillId="0" borderId="11" xfId="1" applyNumberFormat="1" applyFont="1" applyFill="1" applyBorder="1" applyAlignment="1" applyProtection="1">
      <alignment horizontal="center"/>
      <protection locked="0"/>
    </xf>
    <xf numFmtId="0" fontId="9" fillId="0" borderId="21" xfId="1" applyFont="1" applyFill="1" applyBorder="1" applyAlignment="1">
      <alignment horizontal="center"/>
    </xf>
    <xf numFmtId="0" fontId="9" fillId="0" borderId="30"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2" fillId="0" borderId="0" xfId="0" applyFont="1" applyAlignment="1">
      <alignment horizontal="left"/>
    </xf>
    <xf numFmtId="0" fontId="178" fillId="0" borderId="0" xfId="0" applyFont="1" applyAlignment="1">
      <alignment horizontal="left" vertical="top" wrapText="1"/>
    </xf>
    <xf numFmtId="0" fontId="282"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5" xfId="21" applyFont="1" applyFill="1" applyBorder="1" applyAlignment="1" applyProtection="1">
      <alignment horizontal="center" vertical="center"/>
    </xf>
    <xf numFmtId="0" fontId="170" fillId="0" borderId="326" xfId="21" applyFont="1" applyFill="1" applyBorder="1" applyAlignment="1" applyProtection="1">
      <alignment horizontal="center" vertical="center"/>
    </xf>
    <xf numFmtId="176" fontId="283" fillId="0" borderId="0" xfId="21" applyNumberFormat="1" applyFont="1" applyBorder="1" applyAlignment="1">
      <alignment horizontal="left" vertical="center"/>
    </xf>
    <xf numFmtId="0" fontId="368" fillId="0" borderId="0" xfId="21" applyFont="1" applyBorder="1" applyAlignment="1">
      <alignment vertical="center"/>
    </xf>
    <xf numFmtId="0" fontId="369" fillId="0" borderId="0" xfId="21" applyFont="1" applyBorder="1" applyAlignment="1">
      <alignment horizontal="center" vertical="center"/>
    </xf>
    <xf numFmtId="0" fontId="367" fillId="0" borderId="0" xfId="21" applyFont="1" applyBorder="1" applyAlignment="1">
      <alignment vertical="center"/>
    </xf>
    <xf numFmtId="0" fontId="284" fillId="0" borderId="0" xfId="0" applyFont="1" applyFill="1" applyAlignment="1">
      <alignment vertical="center" wrapText="1"/>
    </xf>
    <xf numFmtId="0" fontId="178" fillId="0" borderId="0" xfId="0" applyFont="1" applyAlignment="1">
      <alignment vertical="top" wrapText="1"/>
    </xf>
    <xf numFmtId="0" fontId="80" fillId="0" borderId="335" xfId="21" applyBorder="1">
      <alignment vertical="center"/>
    </xf>
    <xf numFmtId="0" fontId="80" fillId="0" borderId="335" xfId="21" applyBorder="1" applyAlignment="1"/>
    <xf numFmtId="0" fontId="164" fillId="0" borderId="1" xfId="21" applyFont="1" applyFill="1" applyBorder="1" applyProtection="1">
      <alignment vertical="center"/>
    </xf>
    <xf numFmtId="0" fontId="375" fillId="0" borderId="0" xfId="21" applyFont="1">
      <alignment vertical="center"/>
    </xf>
    <xf numFmtId="0" fontId="376" fillId="0" borderId="0" xfId="21" applyFont="1">
      <alignment vertical="center"/>
    </xf>
    <xf numFmtId="0" fontId="377"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5" fillId="0" borderId="0" xfId="0" applyFont="1" applyFill="1">
      <alignment vertical="center"/>
    </xf>
    <xf numFmtId="0" fontId="325" fillId="0" borderId="0" xfId="0" applyFont="1" applyFill="1" applyBorder="1" applyAlignment="1">
      <alignment horizontal="center" vertical="center" wrapText="1"/>
    </xf>
    <xf numFmtId="0" fontId="325" fillId="0" borderId="0" xfId="0" applyFont="1" applyFill="1" applyBorder="1" applyAlignment="1">
      <alignment vertical="center" wrapText="1"/>
    </xf>
    <xf numFmtId="0" fontId="325" fillId="0" borderId="0" xfId="0" applyFont="1" applyFill="1" applyBorder="1" applyAlignment="1">
      <alignment horizontal="left" vertical="center"/>
    </xf>
    <xf numFmtId="0" fontId="325" fillId="0" borderId="0" xfId="0" applyFont="1" applyFill="1" applyBorder="1" applyAlignment="1">
      <alignment horizontal="center" vertical="center"/>
    </xf>
    <xf numFmtId="0" fontId="325" fillId="0" borderId="0" xfId="0" applyFont="1" applyFill="1" applyBorder="1" applyAlignment="1">
      <alignment horizontal="left" vertical="center" wrapText="1"/>
    </xf>
    <xf numFmtId="0" fontId="325" fillId="0" borderId="0" xfId="21" applyFont="1" applyFill="1" applyBorder="1" applyAlignment="1">
      <alignment vertical="center" wrapText="1"/>
    </xf>
    <xf numFmtId="0" fontId="378"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19"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2" fillId="0" borderId="88" xfId="21" applyFont="1" applyFill="1" applyBorder="1" applyAlignment="1" applyProtection="1">
      <alignment horizontal="center" vertical="center" shrinkToFit="1"/>
    </xf>
    <xf numFmtId="0" fontId="252" fillId="0" borderId="317" xfId="21" applyFont="1" applyFill="1" applyBorder="1" applyAlignment="1" applyProtection="1">
      <alignment horizontal="center" vertical="center" shrinkToFit="1"/>
    </xf>
    <xf numFmtId="176" fontId="255" fillId="0" borderId="12" xfId="21" applyNumberFormat="1" applyFont="1" applyBorder="1" applyAlignment="1">
      <alignment horizontal="center" vertical="center"/>
    </xf>
    <xf numFmtId="0" fontId="380" fillId="37" borderId="0" xfId="0" applyFont="1" applyFill="1" applyAlignment="1">
      <alignment horizontal="left" vertical="center"/>
    </xf>
    <xf numFmtId="0" fontId="164" fillId="0" borderId="0" xfId="21" applyFont="1" applyFill="1" applyBorder="1" applyAlignment="1" applyProtection="1">
      <alignment vertical="center"/>
    </xf>
    <xf numFmtId="0" fontId="289"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69"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8" fillId="0" borderId="0" xfId="21" applyFont="1" applyAlignment="1">
      <alignment horizontal="center" vertical="center"/>
    </xf>
    <xf numFmtId="0" fontId="384" fillId="0" borderId="0" xfId="21" applyFont="1" applyAlignment="1">
      <alignment horizontal="left" vertical="center" shrinkToFit="1"/>
    </xf>
    <xf numFmtId="0" fontId="222" fillId="0" borderId="0" xfId="21" applyFont="1" applyFill="1" applyBorder="1" applyAlignment="1" applyProtection="1">
      <alignment vertical="center"/>
    </xf>
    <xf numFmtId="0" fontId="222" fillId="0" borderId="6" xfId="21" applyFont="1" applyFill="1" applyBorder="1" applyAlignment="1" applyProtection="1">
      <alignment vertical="center"/>
    </xf>
    <xf numFmtId="0" fontId="356" fillId="0" borderId="0" xfId="21" applyFont="1" applyFill="1" applyBorder="1" applyAlignment="1" applyProtection="1">
      <alignment vertical="center"/>
    </xf>
    <xf numFmtId="0" fontId="365" fillId="0" borderId="0" xfId="21" applyFont="1" applyFill="1" applyBorder="1" applyAlignment="1" applyProtection="1">
      <alignment vertical="center"/>
    </xf>
    <xf numFmtId="0" fontId="164" fillId="0" borderId="0" xfId="21" applyFont="1" applyBorder="1" applyAlignment="1" applyProtection="1">
      <alignment vertical="center"/>
    </xf>
    <xf numFmtId="0" fontId="222" fillId="0" borderId="4" xfId="21" applyFont="1" applyFill="1" applyBorder="1" applyAlignment="1" applyProtection="1">
      <alignment vertical="center"/>
    </xf>
    <xf numFmtId="0" fontId="353" fillId="0" borderId="0" xfId="21" applyFont="1" applyBorder="1" applyAlignment="1" applyProtection="1">
      <alignment vertical="center"/>
    </xf>
    <xf numFmtId="0" fontId="354" fillId="0" borderId="78" xfId="21" applyFont="1" applyFill="1" applyBorder="1" applyAlignment="1" applyProtection="1">
      <alignment vertical="center" shrinkToFit="1"/>
    </xf>
    <xf numFmtId="0" fontId="354" fillId="0" borderId="0" xfId="21" applyFont="1" applyFill="1" applyBorder="1" applyAlignment="1" applyProtection="1">
      <alignment horizontal="center" vertical="center" shrinkToFit="1"/>
    </xf>
    <xf numFmtId="0" fontId="354" fillId="0" borderId="1" xfId="21" applyFont="1" applyFill="1" applyBorder="1" applyAlignment="1" applyProtection="1">
      <alignment vertical="center" shrinkToFit="1"/>
    </xf>
    <xf numFmtId="0" fontId="354" fillId="0" borderId="9" xfId="21" applyFont="1" applyFill="1" applyBorder="1" applyAlignment="1" applyProtection="1">
      <alignment vertical="center" shrinkToFit="1"/>
    </xf>
    <xf numFmtId="0" fontId="354" fillId="0" borderId="4" xfId="21" applyFont="1" applyFill="1" applyBorder="1" applyAlignment="1" applyProtection="1">
      <alignment horizontal="center" vertical="center" shrinkToFit="1"/>
    </xf>
    <xf numFmtId="0" fontId="354" fillId="0" borderId="0" xfId="0" applyFont="1" applyFill="1" applyBorder="1" applyAlignment="1" applyProtection="1">
      <alignment horizontal="right" vertical="center" shrinkToFit="1"/>
    </xf>
    <xf numFmtId="0" fontId="354" fillId="0" borderId="4" xfId="0" applyFont="1" applyFill="1" applyBorder="1" applyAlignment="1" applyProtection="1">
      <alignment vertical="center" shrinkToFit="1"/>
    </xf>
    <xf numFmtId="0" fontId="354" fillId="0" borderId="0" xfId="21" applyFont="1" applyFill="1" applyBorder="1" applyAlignment="1" applyProtection="1">
      <alignment vertical="center" shrinkToFit="1"/>
    </xf>
    <xf numFmtId="0" fontId="354" fillId="0" borderId="0" xfId="0" applyFont="1" applyFill="1" applyBorder="1" applyAlignment="1" applyProtection="1">
      <alignment vertical="center" shrinkToFit="1"/>
    </xf>
    <xf numFmtId="0" fontId="354" fillId="0" borderId="0" xfId="21" applyFont="1" applyFill="1" applyBorder="1" applyAlignment="1" applyProtection="1">
      <alignment vertical="top" shrinkToFit="1"/>
    </xf>
    <xf numFmtId="0" fontId="354" fillId="0" borderId="0" xfId="21" applyFont="1" applyFill="1" applyBorder="1" applyAlignment="1" applyProtection="1">
      <alignment horizontal="left" vertical="top" shrinkToFit="1"/>
    </xf>
    <xf numFmtId="0" fontId="354" fillId="0" borderId="4" xfId="21" applyFont="1" applyFill="1" applyBorder="1" applyAlignment="1" applyProtection="1">
      <alignment vertical="center" shrinkToFit="1"/>
    </xf>
    <xf numFmtId="0" fontId="354" fillId="0" borderId="4" xfId="0" applyFont="1" applyFill="1" applyBorder="1" applyAlignment="1" applyProtection="1">
      <alignment horizontal="right" vertical="center" shrinkToFit="1"/>
    </xf>
    <xf numFmtId="0" fontId="354" fillId="0" borderId="0" xfId="0" applyFont="1" applyFill="1" applyBorder="1" applyAlignment="1" applyProtection="1">
      <alignment horizontal="left" vertical="center" shrinkToFit="1"/>
    </xf>
    <xf numFmtId="0" fontId="354" fillId="0" borderId="3" xfId="21" applyFont="1" applyFill="1" applyBorder="1" applyAlignment="1" applyProtection="1">
      <alignment vertical="center" shrinkToFit="1"/>
    </xf>
    <xf numFmtId="0" fontId="354" fillId="0" borderId="6" xfId="21" applyFont="1" applyFill="1" applyBorder="1" applyAlignment="1" applyProtection="1">
      <alignment vertical="center" shrinkToFit="1"/>
    </xf>
    <xf numFmtId="0" fontId="354" fillId="0" borderId="77" xfId="21" applyFont="1" applyFill="1" applyBorder="1" applyAlignment="1" applyProtection="1">
      <alignment vertical="center" shrinkToFit="1"/>
    </xf>
    <xf numFmtId="0" fontId="354" fillId="0" borderId="441" xfId="21" applyFont="1" applyFill="1" applyBorder="1" applyAlignment="1" applyProtection="1">
      <alignment vertical="center" shrinkToFit="1"/>
    </xf>
    <xf numFmtId="0" fontId="354" fillId="0" borderId="8" xfId="21" applyFont="1" applyFill="1" applyBorder="1" applyAlignment="1" applyProtection="1">
      <alignment vertical="center" shrinkToFit="1"/>
    </xf>
    <xf numFmtId="0" fontId="354" fillId="0" borderId="61" xfId="21" applyFont="1" applyFill="1" applyBorder="1" applyAlignment="1" applyProtection="1">
      <alignment vertical="center" shrinkToFit="1"/>
    </xf>
    <xf numFmtId="0" fontId="354"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7" fillId="0" borderId="0" xfId="0" applyFont="1" applyBorder="1" applyAlignment="1">
      <alignment vertical="center" wrapText="1"/>
    </xf>
    <xf numFmtId="0" fontId="277" fillId="0" borderId="0" xfId="0" applyFont="1" applyBorder="1" applyAlignment="1">
      <alignment vertical="center"/>
    </xf>
    <xf numFmtId="0" fontId="370" fillId="0" borderId="0" xfId="0" applyFont="1" applyFill="1" applyAlignment="1">
      <alignment vertical="center" wrapText="1"/>
    </xf>
    <xf numFmtId="0" fontId="171" fillId="53" borderId="0" xfId="0" applyFont="1" applyFill="1" applyBorder="1" applyAlignment="1">
      <alignment vertical="center"/>
    </xf>
    <xf numFmtId="0" fontId="386" fillId="0" borderId="0" xfId="0" applyFont="1" applyBorder="1" applyAlignment="1" applyProtection="1">
      <alignment vertical="center"/>
      <protection locked="0"/>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3" fillId="0" borderId="0" xfId="0" applyFont="1" applyFill="1" applyBorder="1" applyAlignment="1">
      <alignment vertical="center" wrapText="1"/>
    </xf>
    <xf numFmtId="0" fontId="274" fillId="55" borderId="20" xfId="0" applyFont="1" applyFill="1" applyBorder="1" applyAlignment="1">
      <alignment vertical="center"/>
    </xf>
    <xf numFmtId="0" fontId="274" fillId="55" borderId="454" xfId="0" applyFont="1" applyFill="1" applyBorder="1" applyAlignment="1">
      <alignment vertical="center"/>
    </xf>
    <xf numFmtId="176" fontId="281" fillId="2" borderId="455" xfId="0" applyNumberFormat="1" applyFont="1" applyFill="1" applyBorder="1" applyAlignment="1" applyProtection="1">
      <alignment vertical="center"/>
      <protection locked="0"/>
    </xf>
    <xf numFmtId="0" fontId="274" fillId="37" borderId="38" xfId="21" applyFont="1" applyFill="1" applyBorder="1" applyAlignment="1">
      <alignment vertical="center"/>
    </xf>
    <xf numFmtId="0" fontId="238" fillId="0" borderId="23" xfId="0" applyFont="1" applyBorder="1" applyAlignment="1">
      <alignment horizontal="center" vertical="center"/>
    </xf>
    <xf numFmtId="176" fontId="281" fillId="2" borderId="457"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2" fillId="0" borderId="1" xfId="21" applyNumberFormat="1" applyFont="1" applyBorder="1" applyAlignment="1" applyProtection="1">
      <alignment vertical="center" shrinkToFit="1"/>
    </xf>
    <xf numFmtId="176" fontId="352"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2" fillId="0" borderId="2" xfId="0" applyFont="1" applyFill="1" applyBorder="1" applyAlignment="1" applyProtection="1">
      <alignment horizontal="center" vertical="center" shrinkToFit="1"/>
    </xf>
    <xf numFmtId="0" fontId="352"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6"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4" fillId="0" borderId="78" xfId="0" applyFont="1" applyBorder="1" applyAlignment="1" applyProtection="1">
      <alignment vertical="center" shrinkToFit="1"/>
    </xf>
    <xf numFmtId="0" fontId="354" fillId="11" borderId="1" xfId="21" applyFont="1" applyFill="1" applyBorder="1" applyAlignment="1" applyProtection="1">
      <alignment vertical="center" shrinkToFit="1"/>
    </xf>
    <xf numFmtId="0" fontId="222" fillId="0" borderId="12" xfId="21" applyFont="1" applyBorder="1" applyProtection="1">
      <alignment vertical="center"/>
    </xf>
    <xf numFmtId="0" fontId="222" fillId="0" borderId="13" xfId="21" applyFont="1" applyBorder="1" applyProtection="1">
      <alignment vertical="center"/>
    </xf>
    <xf numFmtId="0" fontId="222" fillId="0" borderId="13" xfId="21" applyFont="1" applyBorder="1" applyAlignment="1" applyProtection="1">
      <alignment vertical="center"/>
    </xf>
    <xf numFmtId="0" fontId="222" fillId="0" borderId="13" xfId="21" applyFont="1" applyBorder="1" applyAlignment="1" applyProtection="1">
      <alignment horizontal="center" vertical="center"/>
    </xf>
    <xf numFmtId="0" fontId="222" fillId="0" borderId="14" xfId="21" applyFont="1" applyBorder="1" applyProtection="1">
      <alignment vertical="center"/>
    </xf>
    <xf numFmtId="0" fontId="222" fillId="0" borderId="5" xfId="21" applyFont="1" applyBorder="1" applyAlignment="1" applyProtection="1">
      <alignment horizontal="center" vertical="center"/>
    </xf>
    <xf numFmtId="0" fontId="222" fillId="0" borderId="9" xfId="21" applyFont="1" applyBorder="1" applyProtection="1">
      <alignment vertical="center"/>
    </xf>
    <xf numFmtId="0" fontId="222" fillId="0" borderId="1" xfId="21" applyFont="1" applyBorder="1" applyProtection="1">
      <alignment vertical="center"/>
    </xf>
    <xf numFmtId="0" fontId="222" fillId="0" borderId="8" xfId="21" applyFont="1" applyBorder="1" applyProtection="1">
      <alignment vertical="center"/>
    </xf>
    <xf numFmtId="0" fontId="222" fillId="0" borderId="10" xfId="21" applyFont="1" applyBorder="1" applyProtection="1">
      <alignment vertical="center"/>
    </xf>
    <xf numFmtId="176" fontId="281" fillId="2" borderId="457" xfId="0" applyNumberFormat="1" applyFont="1" applyFill="1" applyBorder="1" applyAlignment="1" applyProtection="1">
      <alignment horizontal="center" vertical="center"/>
      <protection locked="0"/>
    </xf>
    <xf numFmtId="176" fontId="281" fillId="2" borderId="455"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4" fillId="2" borderId="0" xfId="21" applyFont="1" applyFill="1" applyBorder="1" applyAlignment="1" applyProtection="1">
      <alignment vertical="center" shrinkToFit="1"/>
    </xf>
    <xf numFmtId="0" fontId="354" fillId="0" borderId="7" xfId="21" applyFont="1" applyFill="1" applyBorder="1" applyAlignment="1" applyProtection="1">
      <alignment vertical="center" shrinkToFit="1"/>
    </xf>
    <xf numFmtId="183" fontId="354" fillId="0" borderId="62" xfId="21" applyNumberFormat="1" applyFont="1" applyBorder="1" applyAlignment="1" applyProtection="1">
      <alignment horizontal="center" vertical="center"/>
    </xf>
    <xf numFmtId="0" fontId="354" fillId="0" borderId="62" xfId="21" applyFont="1" applyFill="1" applyBorder="1" applyAlignment="1" applyProtection="1">
      <alignment vertical="top" textRotation="255" shrinkToFit="1"/>
    </xf>
    <xf numFmtId="184" fontId="354" fillId="0" borderId="62" xfId="21" applyNumberFormat="1" applyFont="1" applyFill="1" applyBorder="1" applyAlignment="1" applyProtection="1">
      <alignment horizontal="center" vertical="center" shrinkToFit="1"/>
    </xf>
    <xf numFmtId="0" fontId="354" fillId="0" borderId="4" xfId="0" applyFont="1" applyFill="1" applyBorder="1" applyAlignment="1" applyProtection="1">
      <alignment horizontal="center" vertical="center" shrinkToFit="1"/>
    </xf>
    <xf numFmtId="0" fontId="354" fillId="0" borderId="0" xfId="0" applyFont="1" applyFill="1" applyBorder="1" applyAlignment="1" applyProtection="1">
      <alignment horizontal="center" vertical="center" shrinkToFit="1"/>
    </xf>
    <xf numFmtId="0" fontId="222" fillId="0" borderId="5" xfId="21" applyFont="1" applyBorder="1" applyAlignment="1" applyProtection="1">
      <alignment horizontal="center" vertical="center"/>
    </xf>
    <xf numFmtId="0" fontId="354" fillId="2" borderId="6" xfId="21" applyFont="1" applyFill="1" applyBorder="1" applyAlignment="1" applyProtection="1">
      <alignment vertical="center" shrinkToFit="1"/>
      <protection locked="0"/>
    </xf>
    <xf numFmtId="0" fontId="354" fillId="2" borderId="62" xfId="21" applyFont="1" applyFill="1" applyBorder="1" applyAlignment="1" applyProtection="1">
      <alignment vertical="center" shrinkToFit="1"/>
      <protection locked="0"/>
    </xf>
    <xf numFmtId="0" fontId="354" fillId="2" borderId="8" xfId="21" applyFont="1" applyFill="1" applyBorder="1" applyAlignment="1" applyProtection="1">
      <alignment vertical="center" shrinkToFit="1"/>
      <protection locked="0"/>
    </xf>
    <xf numFmtId="0" fontId="183" fillId="2" borderId="453"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2"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2"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2" fillId="0" borderId="0" xfId="0" applyFont="1" applyAlignment="1" applyProtection="1">
      <alignment horizontal="left" vertical="center"/>
    </xf>
    <xf numFmtId="0" fontId="80" fillId="0" borderId="0" xfId="21" applyFont="1" applyAlignment="1" applyProtection="1">
      <alignment horizontal="left" vertical="center"/>
    </xf>
    <xf numFmtId="0" fontId="273" fillId="0" borderId="0" xfId="0" applyFont="1" applyFill="1" applyBorder="1" applyAlignment="1" applyProtection="1">
      <alignment vertical="center" wrapText="1"/>
    </xf>
    <xf numFmtId="0" fontId="274" fillId="53" borderId="38" xfId="0" applyFont="1" applyFill="1" applyBorder="1" applyAlignment="1" applyProtection="1">
      <alignment vertical="center"/>
    </xf>
    <xf numFmtId="0" fontId="274" fillId="53" borderId="456" xfId="0" applyFont="1" applyFill="1" applyBorder="1" applyAlignment="1" applyProtection="1">
      <alignment vertical="center"/>
    </xf>
    <xf numFmtId="0" fontId="274" fillId="37" borderId="38" xfId="21" applyFont="1" applyFill="1" applyBorder="1" applyAlignment="1" applyProtection="1">
      <alignment vertical="center"/>
    </xf>
    <xf numFmtId="0" fontId="238" fillId="0" borderId="23" xfId="0" applyFont="1" applyBorder="1" applyAlignment="1" applyProtection="1">
      <alignment horizontal="center" vertical="center"/>
    </xf>
    <xf numFmtId="0" fontId="277" fillId="0" borderId="0" xfId="0" applyFont="1" applyBorder="1" applyAlignment="1" applyProtection="1">
      <alignment vertical="center"/>
    </xf>
    <xf numFmtId="0" fontId="277"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4" fillId="55" borderId="20" xfId="0" applyFont="1" applyFill="1" applyBorder="1" applyAlignment="1" applyProtection="1">
      <alignment vertical="center"/>
    </xf>
    <xf numFmtId="0" fontId="274" fillId="55" borderId="454"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5"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70" fillId="0" borderId="0" xfId="0" applyFont="1" applyFill="1" applyAlignment="1" applyProtection="1">
      <alignment vertical="center" wrapText="1"/>
    </xf>
    <xf numFmtId="0" fontId="80" fillId="0" borderId="0" xfId="21" applyFill="1" applyProtection="1">
      <alignment vertical="center"/>
    </xf>
    <xf numFmtId="0" fontId="284"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4"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5" fillId="0" borderId="0" xfId="0" applyFont="1" applyFill="1" applyAlignment="1" applyProtection="1">
      <alignment horizontal="left" vertical="center" wrapText="1"/>
    </xf>
    <xf numFmtId="0" fontId="233"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5"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4"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3"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3" fillId="0" borderId="0" xfId="21" applyNumberFormat="1" applyFont="1" applyBorder="1" applyAlignment="1" applyProtection="1">
      <alignment horizontal="left" vertical="center"/>
    </xf>
    <xf numFmtId="0" fontId="283"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5" fillId="0" borderId="0" xfId="21" applyFont="1" applyBorder="1" applyAlignment="1" applyProtection="1">
      <alignment horizontal="left" vertical="center"/>
    </xf>
    <xf numFmtId="0" fontId="255"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8" fillId="0" borderId="0" xfId="21" applyFont="1" applyBorder="1" applyAlignment="1" applyProtection="1">
      <alignment vertical="center"/>
    </xf>
    <xf numFmtId="0" fontId="368"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69"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69" fillId="0" borderId="0" xfId="21" applyFont="1" applyBorder="1" applyAlignment="1" applyProtection="1">
      <alignment vertical="center" shrinkToFit="1"/>
    </xf>
    <xf numFmtId="0" fontId="367" fillId="0" borderId="0" xfId="21" applyFont="1" applyBorder="1" applyAlignment="1" applyProtection="1">
      <alignment vertical="center"/>
    </xf>
    <xf numFmtId="0" fontId="367"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1"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2" fillId="0" borderId="62" xfId="21" applyNumberFormat="1" applyFont="1" applyBorder="1" applyAlignment="1" applyProtection="1">
      <alignment horizontal="center" vertical="center"/>
    </xf>
    <xf numFmtId="0" fontId="271"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Alignment="1" applyProtection="1">
      <alignment vertical="center" wrapText="1"/>
    </xf>
    <xf numFmtId="0" fontId="102" fillId="0" borderId="0" xfId="21" applyFont="1" applyAlignment="1" applyProtection="1">
      <alignment horizontal="left" vertical="center" wrapText="1"/>
    </xf>
    <xf numFmtId="0" fontId="80" fillId="0" borderId="0" xfId="21" applyFont="1" applyAlignment="1" applyProtection="1">
      <alignment horizontal="left" vertical="center" wrapText="1"/>
    </xf>
    <xf numFmtId="0" fontId="80" fillId="0" borderId="0" xfId="21" applyAlignment="1" applyProtection="1">
      <alignment horizontal="left" vertical="center" wrapText="1"/>
    </xf>
    <xf numFmtId="0" fontId="3" fillId="0" borderId="0" xfId="21" applyFont="1" applyBorder="1" applyAlignment="1" applyProtection="1">
      <alignment horizontal="left" vertical="center" wrapText="1"/>
    </xf>
    <xf numFmtId="0" fontId="222" fillId="0" borderId="0" xfId="21" applyFont="1" applyBorder="1" applyAlignment="1" applyProtection="1">
      <alignment horizontal="center" vertical="center"/>
    </xf>
    <xf numFmtId="0" fontId="234" fillId="0" borderId="0" xfId="0" applyFont="1">
      <alignment vertical="center"/>
    </xf>
    <xf numFmtId="49" fontId="275" fillId="0" borderId="0" xfId="0" applyNumberFormat="1" applyFont="1" applyFill="1" applyBorder="1" applyAlignment="1">
      <alignment horizontal="left" vertical="center" wrapText="1"/>
    </xf>
    <xf numFmtId="49" fontId="275" fillId="0" borderId="0" xfId="0" applyNumberFormat="1" applyFont="1" applyFill="1" applyBorder="1" applyAlignment="1" applyProtection="1">
      <alignment horizontal="left" vertical="center" wrapText="1"/>
    </xf>
    <xf numFmtId="0" fontId="387" fillId="0" borderId="0" xfId="0" applyFont="1" applyBorder="1" applyAlignment="1">
      <alignment horizontal="left" vertical="center" wrapText="1"/>
    </xf>
    <xf numFmtId="0" fontId="387" fillId="0" borderId="0" xfId="0" applyFont="1" applyBorder="1" applyAlignment="1" applyProtection="1">
      <alignment horizontal="left" vertical="center" wrapText="1"/>
    </xf>
    <xf numFmtId="0" fontId="80" fillId="0" borderId="4" xfId="21" applyBorder="1" applyProtection="1">
      <alignment vertical="center"/>
    </xf>
    <xf numFmtId="176" fontId="352" fillId="0" borderId="0" xfId="21" applyNumberFormat="1" applyFont="1" applyBorder="1" applyAlignment="1" applyProtection="1">
      <alignment vertical="center" shrinkToFit="1"/>
    </xf>
    <xf numFmtId="176" fontId="352" fillId="0" borderId="7" xfId="21" applyNumberFormat="1" applyFont="1" applyBorder="1" applyAlignment="1" applyProtection="1">
      <alignment vertical="center" shrinkToFit="1"/>
    </xf>
    <xf numFmtId="0" fontId="109" fillId="0" borderId="0" xfId="21" applyFont="1" applyBorder="1" applyAlignment="1" applyProtection="1"/>
    <xf numFmtId="0" fontId="109" fillId="0" borderId="0" xfId="21" applyFont="1" applyBorder="1" applyAlignment="1" applyProtection="1">
      <alignment horizontal="left"/>
    </xf>
    <xf numFmtId="0" fontId="352" fillId="0" borderId="0" xfId="0" applyFont="1" applyFill="1" applyBorder="1" applyAlignment="1" applyProtection="1">
      <alignment horizontal="center" vertical="center" shrinkToFit="1"/>
    </xf>
    <xf numFmtId="0" fontId="222" fillId="0" borderId="0" xfId="21" applyFont="1" applyBorder="1" applyProtection="1">
      <alignment vertical="center"/>
    </xf>
    <xf numFmtId="0" fontId="222" fillId="0" borderId="0" xfId="21" applyFont="1" applyBorder="1" applyAlignment="1" applyProtection="1">
      <alignment vertical="center"/>
    </xf>
    <xf numFmtId="0" fontId="115" fillId="0" borderId="0" xfId="21" applyFont="1" applyBorder="1" applyAlignment="1" applyProtection="1">
      <alignment vertical="center" wrapText="1"/>
    </xf>
    <xf numFmtId="0" fontId="115" fillId="0" borderId="0" xfId="21" applyFont="1" applyBorder="1" applyAlignment="1" applyProtection="1">
      <alignment horizontal="center" vertical="center"/>
    </xf>
    <xf numFmtId="0" fontId="115" fillId="0" borderId="0" xfId="21" applyFont="1" applyFill="1" applyBorder="1" applyAlignment="1" applyProtection="1">
      <alignment horizontal="center" vertical="center"/>
    </xf>
    <xf numFmtId="183" fontId="354" fillId="0" borderId="0" xfId="21" applyNumberFormat="1" applyFont="1" applyBorder="1" applyAlignment="1" applyProtection="1">
      <alignment horizontal="center" vertical="center"/>
    </xf>
    <xf numFmtId="0" fontId="354" fillId="0" borderId="0" xfId="21" applyFont="1" applyFill="1" applyBorder="1" applyAlignment="1" applyProtection="1">
      <alignment vertical="top" textRotation="255" shrinkToFit="1"/>
    </xf>
    <xf numFmtId="184" fontId="354" fillId="0" borderId="0" xfId="21" applyNumberFormat="1" applyFont="1" applyFill="1" applyBorder="1" applyAlignment="1" applyProtection="1">
      <alignment horizontal="center" vertical="center" shrinkToFit="1"/>
    </xf>
    <xf numFmtId="0" fontId="354" fillId="2" borderId="0" xfId="21" applyFont="1" applyFill="1" applyBorder="1" applyAlignment="1" applyProtection="1">
      <alignment vertical="center" shrinkToFit="1"/>
      <protection locked="0"/>
    </xf>
    <xf numFmtId="0" fontId="354" fillId="0" borderId="0" xfId="0" applyFont="1" applyBorder="1" applyAlignment="1" applyProtection="1">
      <alignment vertical="center" shrinkToFit="1"/>
    </xf>
    <xf numFmtId="0" fontId="354" fillId="11" borderId="0" xfId="21" applyFont="1" applyFill="1" applyBorder="1" applyAlignment="1" applyProtection="1">
      <alignment vertical="center" shrinkToFit="1"/>
    </xf>
    <xf numFmtId="183" fontId="115" fillId="0" borderId="0" xfId="21" applyNumberFormat="1" applyFont="1" applyBorder="1" applyAlignment="1" applyProtection="1">
      <alignment horizontal="center" vertical="center"/>
    </xf>
    <xf numFmtId="0" fontId="115" fillId="0" borderId="0" xfId="21" applyFont="1" applyFill="1" applyBorder="1" applyAlignment="1" applyProtection="1">
      <alignment vertical="top" textRotation="255" shrinkToFit="1"/>
    </xf>
    <xf numFmtId="184" fontId="115" fillId="0" borderId="0" xfId="21" applyNumberFormat="1" applyFont="1" applyFill="1" applyBorder="1" applyAlignment="1" applyProtection="1">
      <alignment horizontal="center" vertical="center" shrinkToFit="1"/>
    </xf>
    <xf numFmtId="183" fontId="222" fillId="0" borderId="0" xfId="21" applyNumberFormat="1" applyFont="1" applyBorder="1" applyAlignment="1" applyProtection="1">
      <alignment horizontal="center" vertical="center"/>
    </xf>
    <xf numFmtId="184" fontId="8" fillId="0" borderId="22" xfId="0" applyNumberFormat="1" applyFont="1" applyBorder="1" applyAlignment="1">
      <alignment horizontal="center" vertical="center" shrinkToFit="1"/>
    </xf>
    <xf numFmtId="0" fontId="354" fillId="0" borderId="4" xfId="0" applyFont="1" applyFill="1" applyBorder="1" applyAlignment="1" applyProtection="1">
      <alignment horizontal="center" vertical="center" shrinkToFit="1"/>
    </xf>
    <xf numFmtId="0" fontId="354" fillId="0" borderId="0" xfId="0" applyFont="1" applyFill="1" applyBorder="1" applyAlignment="1" applyProtection="1">
      <alignment horizontal="center" vertical="center" shrinkToFit="1"/>
    </xf>
    <xf numFmtId="0" fontId="354" fillId="0" borderId="5" xfId="0" applyFont="1" applyFill="1" applyBorder="1" applyAlignment="1" applyProtection="1">
      <alignment vertical="center" shrinkToFit="1"/>
    </xf>
    <xf numFmtId="0" fontId="354" fillId="0" borderId="7" xfId="0" applyFont="1" applyFill="1" applyBorder="1" applyAlignment="1" applyProtection="1">
      <alignment vertical="center" shrinkToFit="1"/>
    </xf>
    <xf numFmtId="0" fontId="354" fillId="0" borderId="76" xfId="0" applyFont="1" applyBorder="1" applyAlignment="1" applyProtection="1">
      <alignment vertical="center" shrinkToFit="1"/>
    </xf>
    <xf numFmtId="0" fontId="354" fillId="0" borderId="9" xfId="0" applyFont="1" applyBorder="1" applyAlignment="1" applyProtection="1">
      <alignment vertical="center" shrinkToFit="1"/>
    </xf>
    <xf numFmtId="0" fontId="222" fillId="0" borderId="6" xfId="21" applyFont="1" applyBorder="1" applyProtection="1">
      <alignment vertical="center"/>
    </xf>
    <xf numFmtId="0" fontId="222" fillId="0" borderId="7" xfId="21" applyFont="1" applyBorder="1" applyProtection="1">
      <alignment vertical="center"/>
    </xf>
    <xf numFmtId="0" fontId="354" fillId="0" borderId="1" xfId="0" applyFont="1" applyFill="1" applyBorder="1" applyAlignment="1" applyProtection="1">
      <alignment vertical="center" shrinkToFit="1"/>
    </xf>
    <xf numFmtId="0" fontId="354" fillId="0" borderId="9" xfId="0" applyFont="1" applyFill="1" applyBorder="1" applyAlignment="1" applyProtection="1">
      <alignment vertical="center" shrinkToFit="1"/>
    </xf>
    <xf numFmtId="0" fontId="354" fillId="0" borderId="1" xfId="0" applyFont="1" applyFill="1" applyBorder="1" applyAlignment="1" applyProtection="1">
      <alignment horizontal="center" vertical="center" shrinkToFit="1"/>
    </xf>
    <xf numFmtId="0" fontId="354" fillId="0" borderId="1" xfId="0" applyFont="1" applyBorder="1" applyAlignment="1" applyProtection="1">
      <alignment vertical="center" shrinkToFit="1"/>
    </xf>
    <xf numFmtId="0" fontId="391" fillId="0" borderId="2" xfId="0" applyFont="1" applyBorder="1" applyAlignment="1" applyProtection="1">
      <alignment horizontal="left" vertical="center" wrapText="1" shrinkToFit="1"/>
      <protection locked="0"/>
    </xf>
    <xf numFmtId="0" fontId="391" fillId="0" borderId="13" xfId="0" applyFont="1" applyBorder="1" applyAlignment="1" applyProtection="1">
      <alignment horizontal="left" vertical="center" wrapText="1" shrinkToFit="1"/>
      <protection locked="0"/>
    </xf>
    <xf numFmtId="0" fontId="392" fillId="0" borderId="2" xfId="0" applyFont="1" applyBorder="1" applyAlignment="1" applyProtection="1">
      <alignment horizontal="left" vertical="center" wrapText="1" shrinkToFit="1"/>
      <protection locked="0"/>
    </xf>
    <xf numFmtId="0" fontId="393" fillId="0" borderId="13" xfId="0" applyFont="1" applyBorder="1" applyAlignment="1" applyProtection="1">
      <alignment horizontal="left" vertical="center" wrapText="1" shrinkToFit="1"/>
      <protection locked="0"/>
    </xf>
    <xf numFmtId="0" fontId="392" fillId="0" borderId="13" xfId="0" applyFont="1" applyBorder="1" applyAlignment="1" applyProtection="1">
      <alignment horizontal="left" vertical="center" wrapText="1" shrinkToFit="1"/>
      <protection locked="0"/>
    </xf>
    <xf numFmtId="20" fontId="392" fillId="0" borderId="2" xfId="0" applyNumberFormat="1" applyFont="1" applyBorder="1" applyAlignment="1" applyProtection="1">
      <alignment horizontal="left" vertical="center" wrapText="1" shrinkToFit="1"/>
      <protection locked="0"/>
    </xf>
    <xf numFmtId="0" fontId="392" fillId="0" borderId="14" xfId="0" applyFont="1" applyBorder="1" applyAlignment="1" applyProtection="1">
      <alignment horizontal="left" vertical="center" wrapText="1" shrinkToFit="1"/>
      <protection locked="0"/>
    </xf>
    <xf numFmtId="0" fontId="393" fillId="0" borderId="459" xfId="0" applyFont="1" applyBorder="1" applyAlignment="1" applyProtection="1">
      <alignment horizontal="left" vertical="center" wrapText="1"/>
      <protection locked="0"/>
    </xf>
    <xf numFmtId="0" fontId="393" fillId="0" borderId="103" xfId="0" applyFont="1" applyBorder="1" applyAlignment="1" applyProtection="1">
      <alignment horizontal="left" vertical="center" wrapText="1"/>
      <protection locked="0"/>
    </xf>
    <xf numFmtId="0" fontId="393" fillId="0" borderId="459" xfId="0" applyFont="1" applyBorder="1" applyAlignment="1" applyProtection="1">
      <alignment vertical="center" wrapText="1"/>
      <protection locked="0"/>
    </xf>
    <xf numFmtId="0" fontId="393" fillId="0" borderId="460" xfId="0" applyFont="1" applyBorder="1" applyAlignment="1" applyProtection="1">
      <alignment vertical="center" wrapText="1"/>
      <protection locked="0"/>
    </xf>
    <xf numFmtId="0" fontId="393" fillId="0" borderId="351" xfId="21" applyFont="1" applyBorder="1" applyAlignment="1" applyProtection="1">
      <alignment horizontal="left" vertical="center" wrapText="1"/>
      <protection locked="0"/>
    </xf>
    <xf numFmtId="0" fontId="393" fillId="0" borderId="158" xfId="21" applyFont="1" applyBorder="1" applyAlignment="1" applyProtection="1">
      <alignment horizontal="left" vertical="center" wrapText="1"/>
      <protection locked="0"/>
    </xf>
    <xf numFmtId="0" fontId="393" fillId="0" borderId="351" xfId="21" applyFont="1" applyBorder="1" applyAlignment="1" applyProtection="1">
      <alignment vertical="center" wrapText="1"/>
      <protection locked="0"/>
    </xf>
    <xf numFmtId="0" fontId="393" fillId="0" borderId="167" xfId="21" applyFont="1" applyBorder="1" applyAlignment="1" applyProtection="1">
      <alignment vertical="center" wrapText="1"/>
      <protection locked="0"/>
    </xf>
    <xf numFmtId="0" fontId="393" fillId="0" borderId="351" xfId="0" applyFont="1" applyBorder="1" applyAlignment="1" applyProtection="1">
      <alignment horizontal="left" vertical="center" wrapText="1"/>
      <protection locked="0"/>
    </xf>
    <xf numFmtId="0" fontId="393" fillId="0" borderId="158" xfId="0" applyFont="1" applyBorder="1" applyAlignment="1" applyProtection="1">
      <alignment horizontal="left" vertical="center" wrapText="1"/>
      <protection locked="0"/>
    </xf>
    <xf numFmtId="176" fontId="393" fillId="0" borderId="351" xfId="21" applyNumberFormat="1" applyFont="1" applyBorder="1" applyAlignment="1" applyProtection="1">
      <alignment horizontal="left" vertical="center" wrapText="1"/>
      <protection locked="0"/>
    </xf>
    <xf numFmtId="0" fontId="393" fillId="0" borderId="461" xfId="21" applyFont="1" applyBorder="1" applyAlignment="1" applyProtection="1">
      <alignment horizontal="left" vertical="center" wrapText="1"/>
      <protection locked="0"/>
    </xf>
    <xf numFmtId="0" fontId="393" fillId="0" borderId="462" xfId="21" applyFont="1" applyBorder="1" applyAlignment="1" applyProtection="1">
      <alignment horizontal="left" vertical="center" wrapText="1"/>
      <protection locked="0"/>
    </xf>
    <xf numFmtId="0" fontId="393" fillId="0" borderId="461" xfId="21" applyFont="1" applyBorder="1" applyAlignment="1" applyProtection="1">
      <alignment vertical="center" wrapText="1"/>
      <protection locked="0"/>
    </xf>
    <xf numFmtId="0" fontId="393" fillId="0" borderId="170" xfId="21" applyFont="1" applyBorder="1" applyAlignment="1" applyProtection="1">
      <alignment vertical="center" wrapText="1"/>
      <protection locked="0"/>
    </xf>
    <xf numFmtId="0" fontId="393" fillId="0" borderId="2" xfId="21" applyFont="1" applyBorder="1" applyAlignment="1" applyProtection="1">
      <alignment horizontal="left" vertical="center" wrapText="1"/>
      <protection locked="0"/>
    </xf>
    <xf numFmtId="0" fontId="393" fillId="0" borderId="2" xfId="21" applyFont="1" applyBorder="1" applyAlignment="1" applyProtection="1">
      <alignment vertical="center" wrapText="1"/>
      <protection locked="0"/>
    </xf>
    <xf numFmtId="0" fontId="3" fillId="0" borderId="2" xfId="21" applyFont="1" applyBorder="1" applyAlignment="1" applyProtection="1">
      <alignment horizontal="left" vertical="center" wrapText="1"/>
      <protection locked="0"/>
    </xf>
    <xf numFmtId="0" fontId="367" fillId="0" borderId="2" xfId="21" applyFont="1" applyBorder="1" applyAlignment="1" applyProtection="1">
      <alignment horizontal="left" vertical="center" wrapText="1"/>
      <protection locked="0"/>
    </xf>
    <xf numFmtId="0" fontId="80" fillId="0" borderId="2" xfId="21" applyBorder="1" applyAlignment="1" applyProtection="1">
      <alignment horizontal="left" vertical="center" wrapText="1"/>
      <protection locked="0"/>
    </xf>
    <xf numFmtId="0" fontId="80" fillId="0" borderId="2" xfId="21" applyFont="1" applyBorder="1" applyAlignment="1" applyProtection="1">
      <alignment horizontal="left" vertical="center" wrapText="1"/>
      <protection locked="0"/>
    </xf>
    <xf numFmtId="0" fontId="80" fillId="0" borderId="2" xfId="21" applyBorder="1" applyAlignment="1" applyProtection="1">
      <alignment vertical="center" wrapText="1"/>
      <protection locked="0"/>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8" xfId="21" applyNumberFormat="1" applyFont="1" applyBorder="1" applyAlignment="1">
      <alignment horizontal="right" shrinkToFit="1"/>
    </xf>
    <xf numFmtId="176" fontId="80" fillId="0" borderId="173" xfId="21" applyNumberFormat="1" applyFont="1" applyBorder="1" applyAlignment="1">
      <alignment horizontal="right" shrinkToFit="1"/>
    </xf>
    <xf numFmtId="0" fontId="80" fillId="0" borderId="166" xfId="21" applyFont="1" applyBorder="1" applyAlignment="1">
      <alignment horizontal="center"/>
    </xf>
    <xf numFmtId="0" fontId="80" fillId="0" borderId="167" xfId="21" applyFont="1" applyBorder="1" applyAlignment="1">
      <alignment horizontal="center"/>
    </xf>
    <xf numFmtId="176" fontId="80" fillId="0" borderId="239" xfId="21" applyNumberFormat="1" applyFont="1" applyBorder="1" applyAlignment="1">
      <alignment horizontal="right" shrinkToFit="1"/>
    </xf>
    <xf numFmtId="176" fontId="80" fillId="0" borderId="181" xfId="21" applyNumberFormat="1" applyFont="1" applyBorder="1" applyAlignment="1">
      <alignment horizontal="right" shrinkToFit="1"/>
    </xf>
    <xf numFmtId="176" fontId="80" fillId="7" borderId="166" xfId="21" applyNumberFormat="1" applyFont="1" applyFill="1" applyBorder="1" applyAlignment="1">
      <alignment horizontal="right" shrinkToFit="1"/>
    </xf>
    <xf numFmtId="176" fontId="80" fillId="7" borderId="196" xfId="21" applyNumberFormat="1" applyFont="1" applyFill="1" applyBorder="1" applyAlignment="1">
      <alignment horizontal="right" shrinkToFit="1"/>
    </xf>
    <xf numFmtId="176" fontId="80" fillId="0" borderId="167"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2" xfId="21" applyFont="1" applyBorder="1" applyAlignment="1">
      <alignment horizontal="center"/>
    </xf>
    <xf numFmtId="0" fontId="80" fillId="0" borderId="173" xfId="21" applyFont="1" applyBorder="1" applyAlignment="1">
      <alignment horizontal="center"/>
    </xf>
    <xf numFmtId="176" fontId="80" fillId="0" borderId="353" xfId="21" applyNumberFormat="1" applyFont="1" applyBorder="1" applyAlignment="1">
      <alignment horizontal="right" shrinkToFit="1"/>
    </xf>
    <xf numFmtId="176" fontId="80" fillId="0" borderId="172" xfId="21" applyNumberFormat="1" applyFont="1" applyBorder="1" applyAlignment="1">
      <alignment horizontal="right" shrinkToFit="1"/>
    </xf>
    <xf numFmtId="0" fontId="80" fillId="0" borderId="166" xfId="21" applyBorder="1" applyAlignment="1">
      <alignment horizontal="center"/>
    </xf>
    <xf numFmtId="0" fontId="80" fillId="0" borderId="167" xfId="21" applyBorder="1" applyAlignment="1">
      <alignment horizontal="center"/>
    </xf>
    <xf numFmtId="0" fontId="80" fillId="0" borderId="178" xfId="21" applyBorder="1" applyAlignment="1">
      <alignment horizontal="center"/>
    </xf>
    <xf numFmtId="0" fontId="80" fillId="0" borderId="179" xfId="21" applyBorder="1" applyAlignment="1">
      <alignment horizontal="center"/>
    </xf>
    <xf numFmtId="176" fontId="80" fillId="0" borderId="194" xfId="21" applyNumberFormat="1" applyFont="1" applyBorder="1" applyAlignment="1">
      <alignment horizontal="right" shrinkToFit="1"/>
    </xf>
    <xf numFmtId="176" fontId="80" fillId="0" borderId="195" xfId="21" applyNumberFormat="1" applyFont="1" applyBorder="1" applyAlignment="1">
      <alignment horizontal="right" shrinkToFit="1"/>
    </xf>
    <xf numFmtId="176" fontId="80" fillId="0" borderId="179" xfId="21" applyNumberFormat="1" applyFont="1" applyBorder="1" applyAlignment="1">
      <alignment horizontal="right" shrinkToFit="1"/>
    </xf>
    <xf numFmtId="0" fontId="80" fillId="0" borderId="182" xfId="21" applyBorder="1" applyAlignment="1">
      <alignment horizontal="center"/>
    </xf>
    <xf numFmtId="0" fontId="80" fillId="0" borderId="173"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2"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2" xfId="21" applyFont="1" applyFill="1" applyBorder="1" applyAlignment="1">
      <alignment horizontal="right" shrinkToFit="1"/>
    </xf>
    <xf numFmtId="0" fontId="80" fillId="0" borderId="2" xfId="21" applyBorder="1" applyAlignment="1">
      <alignment horizontal="center"/>
    </xf>
    <xf numFmtId="41" fontId="80" fillId="0" borderId="0" xfId="21" applyNumberFormat="1" applyBorder="1" applyAlignment="1">
      <alignment vertical="center"/>
    </xf>
    <xf numFmtId="41" fontId="80" fillId="0" borderId="138" xfId="21" applyNumberFormat="1" applyBorder="1" applyAlignment="1">
      <alignment vertical="center"/>
    </xf>
    <xf numFmtId="41" fontId="80" fillId="0" borderId="7" xfId="21" applyNumberFormat="1" applyBorder="1" applyAlignment="1">
      <alignment vertical="center"/>
    </xf>
    <xf numFmtId="41" fontId="80" fillId="0" borderId="182" xfId="21" applyNumberFormat="1" applyBorder="1" applyAlignment="1">
      <alignment vertical="center"/>
    </xf>
    <xf numFmtId="41" fontId="80" fillId="0" borderId="172"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158" xfId="21" applyNumberFormat="1" applyBorder="1" applyAlignment="1">
      <alignment vertical="center"/>
    </xf>
    <xf numFmtId="41" fontId="80" fillId="0" borderId="181" xfId="21" applyNumberFormat="1" applyBorder="1" applyAlignment="1">
      <alignment vertical="center"/>
    </xf>
    <xf numFmtId="41" fontId="80" fillId="0" borderId="240" xfId="21" applyNumberFormat="1" applyBorder="1" applyAlignment="1">
      <alignment vertical="center"/>
    </xf>
    <xf numFmtId="41" fontId="80" fillId="0" borderId="167" xfId="21" applyNumberFormat="1" applyBorder="1" applyAlignment="1">
      <alignment vertical="center"/>
    </xf>
    <xf numFmtId="41" fontId="80" fillId="0" borderId="104" xfId="21" applyNumberFormat="1" applyBorder="1" applyAlignment="1">
      <alignment vertical="center"/>
    </xf>
    <xf numFmtId="41" fontId="80" fillId="0" borderId="179" xfId="21" applyNumberFormat="1" applyBorder="1" applyAlignment="1">
      <alignment vertical="center"/>
    </xf>
    <xf numFmtId="41" fontId="80" fillId="0" borderId="348" xfId="21" applyNumberFormat="1" applyBorder="1" applyAlignment="1">
      <alignment vertical="center"/>
    </xf>
    <xf numFmtId="41" fontId="80" fillId="0" borderId="195"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8" xfId="21" applyNumberFormat="1" applyBorder="1" applyAlignment="1">
      <alignment horizontal="right" vertical="center"/>
    </xf>
    <xf numFmtId="176" fontId="80" fillId="0" borderId="179" xfId="21" applyNumberFormat="1" applyBorder="1" applyAlignment="1">
      <alignment vertic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4" borderId="61" xfId="21" applyFill="1" applyBorder="1" applyAlignment="1">
      <alignment horizontal="center"/>
    </xf>
    <xf numFmtId="0" fontId="80" fillId="0" borderId="61" xfId="21" applyBorder="1" applyAlignment="1">
      <alignment horizontal="right" vertical="center"/>
    </xf>
    <xf numFmtId="0" fontId="80" fillId="4" borderId="2" xfId="21" applyFill="1" applyBorder="1" applyAlignment="1">
      <alignment horizont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78" xfId="21" applyBorder="1" applyAlignment="1">
      <alignment horizontal="right" vertical="center"/>
    </xf>
    <xf numFmtId="0" fontId="80" fillId="0" borderId="179" xfId="21" applyBorder="1" applyAlignment="1">
      <alignment vertical="center"/>
    </xf>
    <xf numFmtId="0" fontId="80" fillId="0" borderId="176" xfId="21" applyBorder="1" applyAlignment="1">
      <alignment horizontal="center"/>
    </xf>
    <xf numFmtId="41" fontId="80" fillId="0" borderId="178"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0" fontId="80" fillId="0" borderId="0" xfId="21" applyAlignment="1">
      <alignment horizontal="right" vertical="center"/>
    </xf>
    <xf numFmtId="0" fontId="300" fillId="0" borderId="0" xfId="1" applyFont="1" applyBorder="1" applyAlignment="1">
      <alignment horizontal="center" vertical="center" wrapText="1"/>
    </xf>
    <xf numFmtId="0" fontId="305" fillId="17" borderId="62" xfId="1" applyFont="1" applyFill="1" applyBorder="1" applyAlignment="1">
      <alignment horizontal="center" vertical="center" textRotation="255" wrapText="1"/>
    </xf>
    <xf numFmtId="0" fontId="305" fillId="17" borderId="10" xfId="1" applyFont="1" applyFill="1" applyBorder="1" applyAlignment="1">
      <alignment horizontal="center" vertical="center" textRotation="255" wrapText="1"/>
    </xf>
    <xf numFmtId="0" fontId="305" fillId="0" borderId="61" xfId="1" applyFont="1" applyBorder="1" applyAlignment="1">
      <alignment horizontal="center" vertical="center" textRotation="255" wrapText="1"/>
    </xf>
    <xf numFmtId="0" fontId="305" fillId="0" borderId="62" xfId="1" applyFont="1" applyBorder="1" applyAlignment="1">
      <alignment horizontal="center" vertical="center" textRotation="255" wrapText="1"/>
    </xf>
    <xf numFmtId="0" fontId="305" fillId="0" borderId="10" xfId="1" applyFont="1" applyBorder="1" applyAlignment="1">
      <alignment horizontal="center" vertical="center" textRotation="255" wrapText="1"/>
    </xf>
    <xf numFmtId="0" fontId="305" fillId="17" borderId="61" xfId="1" applyFont="1" applyFill="1" applyBorder="1" applyAlignment="1">
      <alignment horizontal="center" vertical="center" textRotation="255" wrapText="1"/>
    </xf>
    <xf numFmtId="0" fontId="49" fillId="0" borderId="229" xfId="0" applyFont="1" applyBorder="1" applyAlignment="1">
      <alignment horizontal="center" vertical="center" wrapText="1"/>
    </xf>
    <xf numFmtId="0" fontId="49" fillId="0" borderId="224" xfId="0" applyFont="1" applyBorder="1" applyAlignment="1">
      <alignment horizontal="center" vertical="center" wrapText="1"/>
    </xf>
    <xf numFmtId="3" fontId="340" fillId="0" borderId="152" xfId="1" applyNumberFormat="1" applyFont="1" applyBorder="1" applyAlignment="1">
      <alignment horizontal="right" vertical="center" shrinkToFit="1"/>
    </xf>
    <xf numFmtId="3" fontId="340" fillId="0" borderId="0" xfId="1" applyNumberFormat="1" applyFont="1" applyBorder="1" applyAlignment="1">
      <alignment horizontal="right" vertical="center" shrinkToFit="1"/>
    </xf>
    <xf numFmtId="3" fontId="340" fillId="0" borderId="226" xfId="1" applyNumberFormat="1" applyFont="1" applyBorder="1" applyAlignment="1">
      <alignment horizontal="right" vertical="center" shrinkToFit="1"/>
    </xf>
    <xf numFmtId="3" fontId="340" fillId="0" borderId="225"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39"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3" fontId="340" fillId="0" borderId="231" xfId="21" applyNumberFormat="1" applyFont="1" applyBorder="1" applyAlignment="1">
      <alignment horizontal="right" vertical="center" shrinkToFit="1"/>
    </xf>
    <xf numFmtId="3" fontId="340" fillId="0" borderId="230" xfId="21" applyNumberFormat="1" applyFont="1" applyBorder="1" applyAlignment="1">
      <alignment horizontal="right" vertical="center" shrinkToFit="1"/>
    </xf>
    <xf numFmtId="3" fontId="340" fillId="0" borderId="226" xfId="21" applyNumberFormat="1" applyFont="1" applyBorder="1" applyAlignment="1">
      <alignment horizontal="right" vertical="center" shrinkToFit="1"/>
    </xf>
    <xf numFmtId="3" fontId="340" fillId="0" borderId="225" xfId="21" applyNumberFormat="1" applyFont="1" applyBorder="1" applyAlignment="1">
      <alignment horizontal="right" vertical="center" shrinkToFit="1"/>
    </xf>
    <xf numFmtId="0" fontId="300" fillId="0" borderId="0" xfId="1" applyFont="1" applyBorder="1" applyAlignment="1">
      <alignment horizontal="right" vertical="center"/>
    </xf>
    <xf numFmtId="0" fontId="300" fillId="0" borderId="228" xfId="1" applyFont="1" applyBorder="1" applyAlignment="1">
      <alignment horizontal="right" vertical="center"/>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5"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8" fillId="0" borderId="0" xfId="0" applyFont="1" applyBorder="1" applyAlignment="1">
      <alignment horizontal="center" vertical="top"/>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59" fillId="0" borderId="411" xfId="21" applyFont="1" applyBorder="1" applyAlignment="1">
      <alignment horizontal="center" vertical="center"/>
    </xf>
    <xf numFmtId="0" fontId="332" fillId="0" borderId="413" xfId="21" applyFont="1" applyBorder="1" applyAlignment="1">
      <alignment horizontal="center" vertical="center"/>
    </xf>
    <xf numFmtId="0" fontId="147" fillId="0" borderId="0" xfId="21" applyFont="1" applyBorder="1" applyAlignment="1">
      <alignment horizontal="left" vertical="center"/>
    </xf>
    <xf numFmtId="0" fontId="80" fillId="0" borderId="11" xfId="21" applyFill="1" applyBorder="1" applyAlignment="1">
      <alignment horizontal="left"/>
    </xf>
    <xf numFmtId="0" fontId="220" fillId="0" borderId="11" xfId="21" applyFont="1" applyBorder="1" applyAlignment="1">
      <alignment horizontal="left" vertical="center"/>
    </xf>
    <xf numFmtId="0" fontId="14" fillId="61" borderId="396" xfId="0" applyFont="1" applyFill="1" applyBorder="1" applyAlignment="1">
      <alignment horizontal="right" vertical="center"/>
    </xf>
    <xf numFmtId="0" fontId="298" fillId="62" borderId="396" xfId="0" applyFont="1" applyFill="1" applyBorder="1" applyAlignment="1">
      <alignment horizontal="center" vertical="center"/>
    </xf>
    <xf numFmtId="0" fontId="14" fillId="60" borderId="396" xfId="0" applyFont="1" applyFill="1" applyBorder="1" applyAlignment="1">
      <alignment horizontal="right" vertical="center"/>
    </xf>
    <xf numFmtId="0" fontId="14" fillId="58" borderId="0" xfId="0" applyFont="1" applyFill="1" applyBorder="1" applyAlignment="1">
      <alignment horizontal="right" vertical="center"/>
    </xf>
    <xf numFmtId="0" fontId="298" fillId="59" borderId="0" xfId="0" applyFont="1" applyFill="1" applyBorder="1" applyAlignment="1">
      <alignment horizontal="center" vertical="center"/>
    </xf>
    <xf numFmtId="0" fontId="151" fillId="4" borderId="311" xfId="0" applyFont="1" applyFill="1" applyBorder="1" applyAlignment="1" applyProtection="1">
      <alignment horizontal="center" vertical="center"/>
      <protection locked="0"/>
    </xf>
    <xf numFmtId="0" fontId="151" fillId="4" borderId="312"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151" fillId="4" borderId="314"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5" xfId="0" applyFont="1" applyFill="1" applyBorder="1" applyAlignment="1" applyProtection="1">
      <alignment horizontal="center" vertical="center"/>
      <protection locked="0"/>
    </xf>
    <xf numFmtId="0" fontId="310" fillId="0" borderId="0" xfId="21" applyFont="1" applyAlignment="1">
      <alignment horizontal="left"/>
    </xf>
    <xf numFmtId="0" fontId="310" fillId="0" borderId="389" xfId="21" applyFont="1" applyBorder="1" applyAlignment="1">
      <alignment horizontal="left"/>
    </xf>
    <xf numFmtId="0" fontId="309" fillId="0" borderId="0" xfId="21" applyFont="1" applyBorder="1" applyAlignment="1">
      <alignment horizontal="left" vertical="top"/>
    </xf>
    <xf numFmtId="0" fontId="165" fillId="65" borderId="413" xfId="21" applyFont="1" applyFill="1" applyBorder="1" applyAlignment="1">
      <alignment horizontal="center" vertical="center" shrinkToFit="1"/>
    </xf>
    <xf numFmtId="0" fontId="165" fillId="65" borderId="412" xfId="21" applyFont="1" applyFill="1" applyBorder="1" applyAlignment="1">
      <alignment horizontal="center" vertical="center" shrinkToFit="1"/>
    </xf>
    <xf numFmtId="0" fontId="14" fillId="57" borderId="391" xfId="0" applyFont="1" applyFill="1" applyBorder="1" applyAlignment="1">
      <alignment horizontal="right" vertical="center"/>
    </xf>
    <xf numFmtId="0" fontId="298" fillId="59" borderId="436" xfId="0" applyFont="1" applyFill="1" applyBorder="1" applyAlignment="1">
      <alignment horizontal="center" vertical="center"/>
    </xf>
    <xf numFmtId="0" fontId="316" fillId="57" borderId="394" xfId="21" applyFont="1" applyFill="1" applyBorder="1" applyAlignment="1">
      <alignment horizontal="right" vertical="center"/>
    </xf>
    <xf numFmtId="0" fontId="297" fillId="57" borderId="390" xfId="21" applyFont="1" applyFill="1" applyBorder="1" applyAlignment="1">
      <alignment horizontal="center" vertical="center"/>
    </xf>
    <xf numFmtId="0" fontId="297" fillId="57" borderId="393" xfId="21" applyFont="1" applyFill="1" applyBorder="1" applyAlignment="1">
      <alignment horizontal="center" vertical="center"/>
    </xf>
    <xf numFmtId="0" fontId="49" fillId="57" borderId="394" xfId="0" applyFont="1" applyFill="1" applyBorder="1" applyAlignment="1">
      <alignment horizontal="left" vertical="center" wrapText="1"/>
    </xf>
    <xf numFmtId="0" fontId="49" fillId="57" borderId="395"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188" fontId="90" fillId="0" borderId="270" xfId="21" applyNumberFormat="1" applyFont="1" applyBorder="1" applyAlignment="1">
      <alignment horizontal="center" vertical="center"/>
    </xf>
    <xf numFmtId="188" fontId="90" fillId="0" borderId="254" xfId="21" applyNumberFormat="1" applyFont="1" applyBorder="1" applyAlignment="1">
      <alignment horizontal="center" vertical="center"/>
    </xf>
    <xf numFmtId="188" fontId="90" fillId="0" borderId="256" xfId="21" applyNumberFormat="1" applyFont="1" applyBorder="1" applyAlignment="1">
      <alignment horizontal="center" vertical="center"/>
    </xf>
    <xf numFmtId="188" fontId="90" fillId="0" borderId="250" xfId="21" applyNumberFormat="1" applyFont="1" applyBorder="1" applyAlignment="1">
      <alignment horizontal="center" vertical="center"/>
    </xf>
    <xf numFmtId="188" fontId="90" fillId="0" borderId="243" xfId="21" applyNumberFormat="1" applyFont="1" applyBorder="1" applyAlignment="1">
      <alignment horizontal="center" vertical="center"/>
    </xf>
    <xf numFmtId="188" fontId="90" fillId="0" borderId="265" xfId="21" applyNumberFormat="1" applyFont="1" applyBorder="1" applyAlignment="1">
      <alignment horizontal="center" vertical="center"/>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71" xfId="0" applyNumberFormat="1" applyFont="1" applyFill="1" applyBorder="1" applyAlignment="1">
      <alignment horizontal="right"/>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90" fillId="0" borderId="248" xfId="21" applyFont="1" applyBorder="1" applyAlignment="1">
      <alignment horizontal="center" vertical="center" textRotation="255"/>
    </xf>
    <xf numFmtId="0" fontId="90" fillId="0" borderId="285" xfId="21" applyFont="1" applyBorder="1" applyAlignment="1">
      <alignment horizontal="center" vertical="center" wrapText="1"/>
    </xf>
    <xf numFmtId="0" fontId="90" fillId="0" borderId="272" xfId="21" applyFont="1" applyBorder="1" applyAlignment="1">
      <alignment horizontal="center" vertical="center" wrapText="1"/>
    </xf>
    <xf numFmtId="0" fontId="90" fillId="0" borderId="275"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80" fillId="0" borderId="62" xfId="21" applyBorder="1" applyAlignment="1">
      <alignment horizontal="center" vertical="center" textRotation="255"/>
    </xf>
    <xf numFmtId="0" fontId="90" fillId="0" borderId="251" xfId="21" applyFont="1" applyBorder="1" applyAlignment="1">
      <alignment horizontal="center" vertical="center" textRotation="255"/>
    </xf>
    <xf numFmtId="0" fontId="90" fillId="0" borderId="245" xfId="21" applyFont="1" applyBorder="1" applyAlignment="1">
      <alignment horizontal="center" vertical="center" textRotation="255"/>
    </xf>
    <xf numFmtId="0" fontId="90" fillId="0" borderId="271"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0" fontId="90" fillId="0" borderId="251" xfId="21" applyFont="1" applyBorder="1" applyAlignment="1">
      <alignment horizontal="center" vertical="center" textRotation="255" shrinkToFit="1"/>
    </xf>
    <xf numFmtId="0" fontId="90" fillId="0" borderId="248" xfId="21" applyFont="1" applyBorder="1" applyAlignment="1">
      <alignment horizontal="center" vertical="center" textRotation="255" shrinkToFit="1"/>
    </xf>
    <xf numFmtId="0" fontId="90" fillId="0" borderId="245"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72" xfId="21" applyFont="1" applyBorder="1" applyAlignment="1">
      <alignment horizontal="center" vertical="center" wrapText="1" shrinkToFit="1"/>
    </xf>
    <xf numFmtId="0" fontId="90" fillId="0" borderId="54" xfId="21" applyFont="1" applyBorder="1" applyAlignment="1">
      <alignment horizontal="center" vertical="center"/>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53"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90" fillId="0" borderId="244"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277"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8"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0" xfId="21" applyFont="1" applyBorder="1" applyAlignment="1">
      <alignment horizontal="center" vertical="center"/>
    </xf>
    <xf numFmtId="0" fontId="90" fillId="0" borderId="55" xfId="21" applyFont="1" applyBorder="1" applyAlignment="1">
      <alignment horizontal="center" vertical="center"/>
    </xf>
    <xf numFmtId="0" fontId="90" fillId="0" borderId="11"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 xfId="21" applyFont="1" applyBorder="1" applyAlignment="1">
      <alignment horizontal="center" vertical="center" wrapText="1"/>
    </xf>
    <xf numFmtId="0" fontId="90" fillId="0" borderId="7" xfId="2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70" xfId="21" applyNumberFormat="1" applyFont="1" applyBorder="1" applyAlignment="1">
      <alignment horizontal="center" vertical="center" wrapText="1"/>
    </xf>
    <xf numFmtId="0" fontId="90" fillId="0" borderId="254" xfId="21" applyNumberFormat="1" applyFont="1" applyBorder="1" applyAlignment="1">
      <alignment horizontal="center" vertical="center"/>
    </xf>
    <xf numFmtId="0" fontId="90" fillId="0" borderId="243"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41" xfId="21" applyFont="1" applyBorder="1" applyAlignment="1">
      <alignment horizontal="center" vertical="center"/>
    </xf>
    <xf numFmtId="188" fontId="90" fillId="0" borderId="288" xfId="21" applyNumberFormat="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379" fillId="0" borderId="11" xfId="21" applyNumberFormat="1" applyFont="1" applyBorder="1" applyAlignment="1">
      <alignment horizontal="lef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68" xfId="0" applyNumberFormat="1" applyFont="1" applyFill="1" applyBorder="1" applyAlignment="1">
      <alignment horizontal="right"/>
    </xf>
    <xf numFmtId="1" fontId="179" fillId="0" borderId="0" xfId="0" applyNumberFormat="1" applyFont="1" applyBorder="1" applyAlignment="1">
      <alignment horizontal="center" vertical="center" wrapText="1"/>
    </xf>
    <xf numFmtId="0" fontId="345" fillId="20" borderId="2" xfId="21" applyFont="1" applyFill="1" applyBorder="1" applyAlignment="1">
      <alignment horizontal="center" vertical="center"/>
    </xf>
    <xf numFmtId="0" fontId="346"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5"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49" fillId="0" borderId="0" xfId="0" applyNumberFormat="1" applyFont="1" applyBorder="1" applyAlignment="1">
      <alignment horizontal="center" vertical="center" wrapText="1"/>
    </xf>
    <xf numFmtId="191" fontId="350" fillId="0" borderId="0" xfId="0" applyNumberFormat="1" applyFont="1" applyBorder="1" applyAlignment="1">
      <alignment horizontal="left" vertical="center" wrapText="1"/>
    </xf>
    <xf numFmtId="0" fontId="348" fillId="0" borderId="155" xfId="0" applyNumberFormat="1" applyFont="1" applyBorder="1" applyAlignment="1">
      <alignment horizontal="left" vertical="center" wrapText="1"/>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3" xfId="0" applyFont="1" applyBorder="1" applyAlignment="1">
      <alignment horizontal="center" vertical="center"/>
    </xf>
    <xf numFmtId="0" fontId="3" fillId="0" borderId="404"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401"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0" fontId="136" fillId="0" borderId="414" xfId="0" applyFont="1" applyBorder="1" applyAlignment="1">
      <alignment horizontal="center" vertical="center"/>
    </xf>
    <xf numFmtId="0" fontId="136" fillId="0" borderId="415" xfId="0" applyFont="1" applyBorder="1" applyAlignment="1">
      <alignment horizontal="center" vertical="center"/>
    </xf>
    <xf numFmtId="0" fontId="136" fillId="0" borderId="419" xfId="0" applyFont="1" applyBorder="1" applyAlignment="1">
      <alignment horizontal="center" vertical="center"/>
    </xf>
    <xf numFmtId="0" fontId="302" fillId="0" borderId="403" xfId="0" applyFont="1" applyBorder="1" applyAlignment="1">
      <alignment horizontal="center" vertical="center"/>
    </xf>
    <xf numFmtId="0" fontId="302" fillId="0" borderId="404" xfId="0" applyFont="1" applyBorder="1" applyAlignment="1">
      <alignment horizontal="center" vertical="center"/>
    </xf>
    <xf numFmtId="0" fontId="395" fillId="0" borderId="12" xfId="0" applyFont="1" applyBorder="1" applyAlignment="1">
      <alignment horizontal="center" vertical="center"/>
    </xf>
    <xf numFmtId="0" fontId="395" fillId="0" borderId="13" xfId="0" applyFont="1" applyBorder="1" applyAlignment="1">
      <alignment horizontal="center" vertical="center"/>
    </xf>
    <xf numFmtId="0" fontId="395" fillId="0" borderId="14" xfId="0" applyFont="1" applyBorder="1" applyAlignment="1">
      <alignment horizontal="center" vertical="center"/>
    </xf>
    <xf numFmtId="0" fontId="331" fillId="8" borderId="396" xfId="0" applyFont="1" applyFill="1" applyBorder="1" applyAlignment="1" applyProtection="1">
      <alignment horizontal="center" vertical="center"/>
      <protection locked="0"/>
    </xf>
    <xf numFmtId="0" fontId="331" fillId="8" borderId="397"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59" fillId="50" borderId="338" xfId="0" applyFont="1" applyFill="1" applyBorder="1" applyAlignment="1">
      <alignment horizontal="center" vertical="center" shrinkToFit="1"/>
    </xf>
    <xf numFmtId="0" fontId="259" fillId="50" borderId="339"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29" fillId="11" borderId="334" xfId="0" applyFont="1" applyFill="1" applyBorder="1" applyAlignment="1">
      <alignment horizontal="center" vertical="center" wrapText="1"/>
    </xf>
    <xf numFmtId="0" fontId="229" fillId="11" borderId="336" xfId="0" applyFont="1" applyFill="1" applyBorder="1" applyAlignment="1">
      <alignment horizontal="center" vertical="center" wrapText="1"/>
    </xf>
    <xf numFmtId="0" fontId="229" fillId="11" borderId="335" xfId="0" applyFont="1" applyFill="1" applyBorder="1" applyAlignment="1">
      <alignment horizontal="center" vertical="center" wrapText="1"/>
    </xf>
    <xf numFmtId="0" fontId="258" fillId="51" borderId="346" xfId="0" applyFont="1" applyFill="1" applyBorder="1" applyAlignment="1">
      <alignment horizontal="center" vertical="center" wrapText="1"/>
    </xf>
    <xf numFmtId="0" fontId="258" fillId="51" borderId="337" xfId="0" applyFont="1" applyFill="1" applyBorder="1" applyAlignment="1">
      <alignment horizontal="center" vertical="center" wrapText="1"/>
    </xf>
    <xf numFmtId="0" fontId="258" fillId="51" borderId="333" xfId="0" applyFont="1" applyFill="1" applyBorder="1" applyAlignment="1">
      <alignment horizontal="center" vertical="center" wrapText="1"/>
    </xf>
    <xf numFmtId="0" fontId="258" fillId="51" borderId="347" xfId="0" applyFont="1" applyFill="1" applyBorder="1" applyAlignment="1">
      <alignment horizontal="center" vertical="center" wrapText="1"/>
    </xf>
    <xf numFmtId="0" fontId="258" fillId="51" borderId="335" xfId="0" applyFont="1" applyFill="1" applyBorder="1" applyAlignment="1">
      <alignment horizontal="center" vertical="center" wrapText="1"/>
    </xf>
    <xf numFmtId="0" fontId="258" fillId="51" borderId="336" xfId="0" applyFont="1" applyFill="1" applyBorder="1" applyAlignment="1">
      <alignment horizontal="center" vertical="center" wrapText="1"/>
    </xf>
    <xf numFmtId="0" fontId="178" fillId="50" borderId="332" xfId="0" applyFont="1" applyFill="1" applyBorder="1" applyAlignment="1">
      <alignment horizontal="center" vertical="center" wrapText="1" shrinkToFit="1"/>
    </xf>
    <xf numFmtId="0" fontId="178" fillId="50" borderId="340" xfId="0" applyFont="1" applyFill="1" applyBorder="1" applyAlignment="1">
      <alignment horizontal="center" vertical="center" wrapText="1" shrinkToFit="1"/>
    </xf>
    <xf numFmtId="0" fontId="178" fillId="50" borderId="334" xfId="0" applyFont="1" applyFill="1" applyBorder="1" applyAlignment="1">
      <alignment horizontal="center" vertical="center" wrapText="1" shrinkToFit="1"/>
    </xf>
    <xf numFmtId="0" fontId="178" fillId="50" borderId="341" xfId="0" applyFont="1" applyFill="1" applyBorder="1" applyAlignment="1">
      <alignment horizontal="center" vertical="center" wrapText="1" shrinkToFit="1"/>
    </xf>
    <xf numFmtId="0" fontId="233" fillId="26" borderId="19" xfId="0" applyFont="1" applyFill="1" applyBorder="1" applyAlignment="1">
      <alignment horizontal="center" vertical="center"/>
    </xf>
    <xf numFmtId="0" fontId="191" fillId="27" borderId="45"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5" xfId="1" applyFont="1" applyBorder="1" applyAlignment="1">
      <alignment horizontal="center" vertical="center" wrapText="1"/>
    </xf>
    <xf numFmtId="0" fontId="193" fillId="0" borderId="211" xfId="1" applyFont="1" applyBorder="1" applyAlignment="1">
      <alignment horizontal="center" vertical="center" wrapText="1"/>
    </xf>
    <xf numFmtId="188" fontId="193" fillId="0" borderId="8"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94" fillId="0" borderId="0" xfId="0" applyFont="1" applyBorder="1" applyAlignment="1">
      <alignment horizontal="left"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8" xfId="0" applyFont="1" applyBorder="1" applyAlignment="1">
      <alignment horizontal="center" vertical="center"/>
    </xf>
    <xf numFmtId="0" fontId="3" fillId="0" borderId="422" xfId="0" applyFont="1" applyBorder="1" applyAlignment="1">
      <alignment horizontal="center" vertical="center"/>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170" fillId="0" borderId="210" xfId="1" applyFont="1" applyBorder="1" applyAlignment="1">
      <alignment horizontal="center" vertical="center" wrapText="1"/>
    </xf>
    <xf numFmtId="0" fontId="170" fillId="0" borderId="214" xfId="1" applyFont="1" applyBorder="1" applyAlignment="1">
      <alignment horizontal="center" vertical="center" wrapText="1"/>
    </xf>
    <xf numFmtId="0" fontId="206" fillId="0" borderId="200" xfId="1" applyNumberFormat="1" applyFont="1" applyFill="1" applyBorder="1" applyAlignment="1" applyProtection="1">
      <alignment horizontal="center"/>
      <protection locked="0"/>
    </xf>
    <xf numFmtId="0" fontId="206" fillId="0" borderId="209" xfId="1" applyNumberFormat="1" applyFont="1" applyFill="1" applyBorder="1" applyAlignment="1" applyProtection="1">
      <alignment horizontal="center"/>
      <protection locked="0"/>
    </xf>
    <xf numFmtId="0" fontId="206" fillId="0" borderId="199" xfId="1" applyNumberFormat="1" applyFont="1" applyFill="1" applyBorder="1" applyAlignment="1" applyProtection="1">
      <alignment horizontal="center"/>
      <protection locked="0"/>
    </xf>
    <xf numFmtId="0" fontId="206" fillId="0" borderId="181" xfId="1" applyNumberFormat="1" applyFont="1" applyFill="1" applyBorder="1" applyAlignment="1" applyProtection="1">
      <alignment horizontal="center"/>
      <protection locked="0"/>
    </xf>
    <xf numFmtId="0" fontId="206" fillId="0" borderId="212" xfId="1" applyNumberFormat="1" applyFont="1" applyFill="1" applyBorder="1" applyAlignment="1" applyProtection="1">
      <alignment horizontal="center"/>
    </xf>
    <xf numFmtId="0" fontId="206" fillId="0" borderId="213" xfId="1" applyNumberFormat="1" applyFont="1" applyFill="1" applyBorder="1" applyAlignment="1" applyProtection="1">
      <alignment horizontal="center"/>
    </xf>
    <xf numFmtId="0" fontId="206" fillId="0" borderId="206" xfId="1" applyNumberFormat="1" applyFont="1" applyFill="1" applyBorder="1" applyAlignment="1" applyProtection="1">
      <alignment horizontal="center"/>
      <protection locked="0"/>
    </xf>
    <xf numFmtId="0" fontId="206" fillId="0" borderId="197" xfId="1" applyNumberFormat="1" applyFont="1" applyFill="1" applyBorder="1" applyAlignment="1" applyProtection="1">
      <alignment horizontal="center"/>
      <protection locked="0"/>
    </xf>
    <xf numFmtId="0" fontId="206" fillId="0" borderId="201" xfId="1" applyNumberFormat="1" applyFont="1" applyFill="1" applyBorder="1" applyAlignment="1" applyProtection="1">
      <alignment horizontal="center"/>
    </xf>
    <xf numFmtId="0" fontId="206" fillId="0" borderId="208" xfId="1" applyNumberFormat="1" applyFont="1" applyFill="1" applyBorder="1" applyAlignment="1" applyProtection="1">
      <alignment horizontal="center"/>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6"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6" fontId="33" fillId="0" borderId="34" xfId="0" applyNumberFormat="1" applyFont="1" applyBorder="1" applyAlignment="1">
      <alignment horizontal="right" vertical="center"/>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233" fillId="46" borderId="19" xfId="0" applyFont="1" applyFill="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206" fillId="0" borderId="201" xfId="1" applyNumberFormat="1" applyFont="1" applyFill="1" applyBorder="1" applyAlignment="1" applyProtection="1">
      <alignment horizontal="center"/>
      <protection locked="0"/>
    </xf>
    <xf numFmtId="0" fontId="206" fillId="0" borderId="208" xfId="1" applyNumberFormat="1" applyFont="1" applyFill="1" applyBorder="1" applyAlignment="1" applyProtection="1">
      <alignment horizontal="center"/>
      <protection locked="0"/>
    </xf>
    <xf numFmtId="0" fontId="279" fillId="0" borderId="0" xfId="0" applyFont="1" applyBorder="1" applyAlignment="1">
      <alignment horizontal="left" wrapText="1"/>
    </xf>
    <xf numFmtId="0" fontId="189" fillId="32" borderId="216" xfId="1" applyFont="1" applyFill="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66" xfId="1" applyFont="1" applyBorder="1" applyAlignment="1">
      <alignment horizontal="center" vertical="center" wrapText="1"/>
    </xf>
    <xf numFmtId="0" fontId="170" fillId="0" borderId="161" xfId="1" applyFont="1" applyBorder="1" applyAlignment="1">
      <alignment horizontal="center" vertical="center" wrapText="1"/>
    </xf>
    <xf numFmtId="0" fontId="193" fillId="0" borderId="165" xfId="1" applyFont="1" applyBorder="1" applyAlignment="1">
      <alignment horizontal="center" vertical="center" wrapText="1"/>
    </xf>
    <xf numFmtId="0" fontId="170" fillId="0" borderId="8" xfId="1" applyFont="1" applyBorder="1" applyAlignment="1">
      <alignment horizontal="center" vertical="center" wrapText="1"/>
    </xf>
    <xf numFmtId="0" fontId="170" fillId="0" borderId="51" xfId="1" applyFont="1" applyBorder="1" applyAlignment="1">
      <alignment horizontal="center" vertical="center" wrapText="1"/>
    </xf>
    <xf numFmtId="0" fontId="170" fillId="0" borderId="27" xfId="1" applyFont="1" applyBorder="1" applyAlignment="1">
      <alignment horizontal="center" vertical="center" wrapText="1"/>
    </xf>
    <xf numFmtId="0" fontId="170" fillId="0" borderId="49" xfId="1" applyFont="1" applyBorder="1" applyAlignment="1">
      <alignment horizontal="center" vertical="center" wrapText="1"/>
    </xf>
    <xf numFmtId="188" fontId="193" fillId="0" borderId="55" xfId="1" applyNumberFormat="1" applyFont="1" applyBorder="1" applyAlignment="1">
      <alignment horizontal="center" vertical="center"/>
    </xf>
    <xf numFmtId="188" fontId="193" fillId="0" borderId="21" xfId="1" applyNumberFormat="1" applyFont="1" applyBorder="1" applyAlignment="1">
      <alignment horizontal="center" vertical="center"/>
    </xf>
    <xf numFmtId="0" fontId="206" fillId="0" borderId="168" xfId="1" applyNumberFormat="1" applyFont="1" applyFill="1" applyBorder="1" applyAlignment="1" applyProtection="1">
      <alignment horizontal="center"/>
      <protection locked="0"/>
    </xf>
    <xf numFmtId="0" fontId="206" fillId="0" borderId="172" xfId="1" applyNumberFormat="1" applyFont="1" applyFill="1" applyBorder="1" applyAlignment="1" applyProtection="1">
      <alignment horizontal="center"/>
      <protection locked="0"/>
    </xf>
    <xf numFmtId="0" fontId="191" fillId="27" borderId="6" xfId="1" applyFont="1" applyFill="1" applyBorder="1" applyAlignment="1">
      <alignment horizontal="center" vertical="center" wrapText="1"/>
    </xf>
    <xf numFmtId="0" fontId="191" fillId="27" borderId="0" xfId="1" applyFont="1" applyFill="1" applyAlignment="1">
      <alignment horizontal="center" vertical="center" wrapText="1"/>
    </xf>
    <xf numFmtId="0" fontId="191" fillId="27" borderId="19"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2" xfId="1" applyFont="1" applyBorder="1" applyAlignment="1">
      <alignment horizontal="center" vertical="center"/>
    </xf>
    <xf numFmtId="188" fontId="193" fillId="0" borderId="53" xfId="1" applyNumberFormat="1" applyFont="1" applyBorder="1" applyAlignment="1">
      <alignment horizontal="center" vertical="center" wrapText="1"/>
    </xf>
    <xf numFmtId="0" fontId="126" fillId="2" borderId="34" xfId="0"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xf>
    <xf numFmtId="0" fontId="33" fillId="0" borderId="34"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88" fontId="193" fillId="0" borderId="160" xfId="1" applyNumberFormat="1" applyFont="1" applyBorder="1" applyAlignment="1">
      <alignment horizontal="center" vertical="center" wrapText="1"/>
    </xf>
    <xf numFmtId="188" fontId="193" fillId="0" borderId="159" xfId="1" applyNumberFormat="1" applyFont="1" applyBorder="1" applyAlignment="1">
      <alignment horizontal="center" vertical="center" wrapText="1"/>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7"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3"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7" xfId="0" applyFont="1" applyFill="1" applyBorder="1" applyAlignment="1">
      <alignment horizontal="center" vertical="center"/>
    </xf>
    <xf numFmtId="0" fontId="206" fillId="0" borderId="212" xfId="1" applyNumberFormat="1" applyFont="1" applyFill="1" applyBorder="1" applyAlignment="1" applyProtection="1">
      <alignment horizontal="center"/>
      <protection locked="0"/>
    </xf>
    <xf numFmtId="0" fontId="206" fillId="0" borderId="213" xfId="1" applyNumberFormat="1" applyFont="1" applyFill="1" applyBorder="1" applyAlignment="1" applyProtection="1">
      <alignment horizontal="center"/>
      <protection locked="0"/>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0" fontId="170" fillId="0" borderId="103" xfId="1" applyFont="1" applyBorder="1" applyAlignment="1">
      <alignment horizontal="center" vertical="center" wrapText="1"/>
    </xf>
    <xf numFmtId="0" fontId="170" fillId="0" borderId="162" xfId="1" applyFont="1" applyBorder="1" applyAlignment="1">
      <alignment horizontal="center" vertical="center" wrapText="1"/>
    </xf>
    <xf numFmtId="182" fontId="162" fillId="0" borderId="0" xfId="0" applyNumberFormat="1" applyFont="1" applyFill="1" applyBorder="1" applyAlignment="1">
      <alignment horizontal="center" vertical="center"/>
    </xf>
    <xf numFmtId="0" fontId="184" fillId="0" borderId="157" xfId="0" applyFont="1" applyFill="1" applyBorder="1" applyAlignment="1">
      <alignment horizontal="center" vertical="center"/>
    </xf>
    <xf numFmtId="0" fontId="184" fillId="0" borderId="207" xfId="0" applyFont="1" applyFill="1" applyBorder="1" applyAlignment="1">
      <alignment horizontal="center" vertical="center"/>
    </xf>
    <xf numFmtId="0" fontId="206" fillId="0" borderId="206" xfId="1" applyNumberFormat="1" applyFont="1" applyFill="1" applyBorder="1" applyAlignment="1" applyProtection="1">
      <alignment horizontal="center"/>
    </xf>
    <xf numFmtId="0" fontId="206" fillId="0" borderId="197" xfId="1" applyNumberFormat="1" applyFont="1" applyFill="1" applyBorder="1" applyAlignment="1" applyProtection="1">
      <alignment horizontal="center"/>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184" fillId="0" borderId="72" xfId="0" applyFont="1" applyFill="1" applyBorder="1" applyAlignment="1">
      <alignment horizontal="center" vertical="center"/>
    </xf>
    <xf numFmtId="0" fontId="184" fillId="0" borderId="217" xfId="0" applyFont="1" applyFill="1" applyBorder="1" applyAlignment="1">
      <alignment horizontal="center" vertical="center"/>
    </xf>
    <xf numFmtId="0" fontId="45" fillId="2" borderId="1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117" fillId="0" borderId="122" xfId="21" applyFont="1" applyBorder="1" applyAlignment="1">
      <alignment horizontal="right" wrapText="1"/>
    </xf>
    <xf numFmtId="0" fontId="117" fillId="0" borderId="123" xfId="21" applyFont="1" applyBorder="1" applyAlignment="1">
      <alignment horizontal="right" wrapText="1"/>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0" fontId="240" fillId="14" borderId="0" xfId="0" applyFont="1" applyFill="1" applyBorder="1" applyAlignment="1">
      <alignment horizontal="left" vertical="center"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9" fillId="0" borderId="0" xfId="1" applyFont="1" applyBorder="1" applyAlignment="1">
      <alignment horizontal="center"/>
    </xf>
    <xf numFmtId="0" fontId="313" fillId="57" borderId="424" xfId="0" applyFont="1" applyFill="1" applyBorder="1" applyAlignment="1">
      <alignment horizontal="center" vertical="center" wrapText="1"/>
    </xf>
    <xf numFmtId="0" fontId="313" fillId="57" borderId="425" xfId="0" applyFont="1" applyFill="1" applyBorder="1" applyAlignment="1">
      <alignment horizontal="center" vertical="center" wrapText="1"/>
    </xf>
    <xf numFmtId="195" fontId="165" fillId="0" borderId="394" xfId="0" applyNumberFormat="1" applyFont="1" applyBorder="1" applyAlignment="1">
      <alignment horizontal="center" vertical="center"/>
    </xf>
    <xf numFmtId="195" fontId="165" fillId="0" borderId="395"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160" fillId="0" borderId="0" xfId="0" applyFont="1" applyFill="1" applyBorder="1" applyAlignment="1">
      <alignment horizontal="left" vertical="top"/>
    </xf>
    <xf numFmtId="0" fontId="237" fillId="0" borderId="18" xfId="0" applyFont="1" applyBorder="1" applyAlignment="1">
      <alignment horizontal="left" wrapText="1"/>
    </xf>
    <xf numFmtId="0" fontId="237"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14" fontId="324" fillId="0" borderId="16" xfId="0" applyNumberFormat="1" applyFont="1" applyBorder="1" applyAlignment="1">
      <alignment horizontal="center" vertical="center"/>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0" fontId="237" fillId="0" borderId="0" xfId="0" applyFont="1" applyBorder="1" applyAlignment="1">
      <alignment horizontal="left" vertical="center"/>
    </xf>
    <xf numFmtId="14" fontId="324" fillId="0" borderId="0" xfId="0" applyNumberFormat="1" applyFont="1" applyBorder="1" applyAlignment="1">
      <alignment horizontal="center" vertical="center"/>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194" fillId="0" borderId="22" xfId="0" applyFont="1" applyBorder="1" applyAlignment="1">
      <alignment horizontal="left" wrapText="1"/>
    </xf>
    <xf numFmtId="49" fontId="10" fillId="2" borderId="127"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170" fillId="0" borderId="116" xfId="1" applyFont="1" applyBorder="1" applyAlignment="1">
      <alignment horizontal="center" vertical="center" wrapText="1"/>
    </xf>
    <xf numFmtId="0" fontId="170" fillId="0" borderId="164" xfId="1" applyFont="1" applyBorder="1" applyAlignment="1">
      <alignment horizontal="center" vertical="center" wrapText="1"/>
    </xf>
    <xf numFmtId="188" fontId="193" fillId="0" borderId="166" xfId="1" applyNumberFormat="1" applyFont="1" applyBorder="1" applyAlignment="1">
      <alignment horizontal="center" vertical="center"/>
    </xf>
    <xf numFmtId="188" fontId="193" fillId="0" borderId="159" xfId="1" applyNumberFormat="1" applyFont="1" applyBorder="1" applyAlignment="1">
      <alignment horizontal="center" vertical="center"/>
    </xf>
    <xf numFmtId="188" fontId="193" fillId="0" borderId="166" xfId="1" applyNumberFormat="1" applyFont="1" applyBorder="1" applyAlignment="1">
      <alignment horizontal="center" vertical="center" wrapText="1"/>
    </xf>
    <xf numFmtId="0" fontId="206" fillId="0" borderId="199" xfId="1" applyNumberFormat="1" applyFont="1" applyFill="1" applyBorder="1" applyAlignment="1" applyProtection="1">
      <alignment horizontal="center"/>
    </xf>
    <xf numFmtId="0" fontId="206" fillId="0" borderId="181" xfId="1" applyNumberFormat="1" applyFont="1" applyFill="1" applyBorder="1" applyAlignment="1" applyProtection="1">
      <alignment horizontal="center"/>
    </xf>
    <xf numFmtId="0" fontId="206" fillId="0" borderId="168" xfId="1" applyNumberFormat="1" applyFont="1" applyFill="1" applyBorder="1" applyAlignment="1" applyProtection="1">
      <alignment horizontal="center"/>
    </xf>
    <xf numFmtId="0" fontId="206" fillId="0" borderId="172" xfId="1" applyNumberFormat="1" applyFont="1" applyFill="1" applyBorder="1" applyAlignment="1" applyProtection="1">
      <alignment horizontal="center"/>
    </xf>
    <xf numFmtId="0" fontId="42" fillId="0" borderId="0" xfId="0" applyFont="1" applyBorder="1" applyAlignment="1">
      <alignment horizontal="left" vertical="center"/>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7" fillId="0" borderId="18" xfId="0" applyFont="1" applyBorder="1" applyAlignment="1">
      <alignment horizontal="left"/>
    </xf>
    <xf numFmtId="0" fontId="237"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4" xfId="0" applyNumberFormat="1" applyFont="1" applyBorder="1" applyAlignment="1">
      <alignment horizontal="center" vertical="center"/>
    </xf>
    <xf numFmtId="194" fontId="165" fillId="0" borderId="395" xfId="0" applyNumberFormat="1" applyFont="1" applyBorder="1" applyAlignment="1">
      <alignment horizontal="center" vertical="center"/>
    </xf>
    <xf numFmtId="0" fontId="237" fillId="0" borderId="18" xfId="0" applyFont="1" applyBorder="1" applyAlignment="1">
      <alignment horizontal="left" vertical="top" wrapText="1"/>
    </xf>
    <xf numFmtId="0" fontId="237" fillId="0" borderId="0" xfId="0" applyFont="1" applyBorder="1" applyAlignment="1">
      <alignment horizontal="left" vertical="top" wrapText="1"/>
    </xf>
    <xf numFmtId="0" fontId="364" fillId="0" borderId="0" xfId="0" applyFont="1" applyFill="1" applyBorder="1" applyAlignment="1">
      <alignment horizontal="left" vertical="center" wrapText="1"/>
    </xf>
    <xf numFmtId="182" fontId="162" fillId="35" borderId="34" xfId="0" applyNumberFormat="1" applyFont="1" applyFill="1" applyBorder="1" applyAlignment="1">
      <alignment horizontal="center" vertical="center"/>
    </xf>
    <xf numFmtId="188" fontId="193" fillId="0" borderId="163" xfId="1" applyNumberFormat="1" applyFont="1" applyBorder="1" applyAlignment="1">
      <alignment horizontal="center" vertical="center"/>
    </xf>
    <xf numFmtId="188" fontId="193" fillId="0" borderId="102" xfId="1" applyNumberFormat="1" applyFont="1" applyBorder="1" applyAlignment="1">
      <alignment horizontal="center" vertical="center"/>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37" fillId="38" borderId="24" xfId="0" applyFont="1" applyFill="1" applyBorder="1" applyAlignment="1">
      <alignment horizontal="center" vertical="center" wrapText="1"/>
    </xf>
    <xf numFmtId="0" fontId="237" fillId="0" borderId="18" xfId="0" applyFont="1" applyBorder="1" applyAlignment="1">
      <alignment horizontal="left" vertical="center"/>
    </xf>
    <xf numFmtId="0" fontId="237" fillId="0" borderId="0" xfId="0" applyFont="1" applyAlignment="1">
      <alignment horizontal="left" vertical="center"/>
    </xf>
    <xf numFmtId="0" fontId="313" fillId="57" borderId="423" xfId="0" applyFont="1" applyFill="1" applyBorder="1" applyAlignment="1">
      <alignment horizontal="center" vertical="center" wrapText="1"/>
    </xf>
    <xf numFmtId="188" fontId="314" fillId="0" borderId="393" xfId="1" applyNumberFormat="1" applyFont="1" applyBorder="1" applyAlignment="1">
      <alignment horizontal="center" vertical="center" wrapText="1"/>
    </xf>
    <xf numFmtId="188" fontId="314" fillId="0" borderId="394" xfId="1" applyNumberFormat="1" applyFont="1" applyBorder="1" applyAlignment="1">
      <alignment horizontal="center" vertical="center" wrapText="1"/>
    </xf>
    <xf numFmtId="188" fontId="314" fillId="0" borderId="395"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4"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4" fillId="0" borderId="11"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7"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6" fillId="0" borderId="200" xfId="1" applyNumberFormat="1" applyFont="1" applyFill="1" applyBorder="1" applyAlignment="1" applyProtection="1">
      <alignment horizontal="center"/>
    </xf>
    <xf numFmtId="0" fontId="206" fillId="0" borderId="209" xfId="1" applyNumberFormat="1" applyFont="1" applyFill="1" applyBorder="1" applyAlignment="1" applyProtection="1">
      <alignment horizontal="center"/>
    </xf>
    <xf numFmtId="0" fontId="189" fillId="32" borderId="15" xfId="1" applyFont="1" applyFill="1" applyBorder="1" applyAlignment="1">
      <alignment horizontal="center" vertical="center" wrapText="1"/>
    </xf>
    <xf numFmtId="0" fontId="189" fillId="32" borderId="18" xfId="1" applyFont="1" applyFill="1" applyBorder="1" applyAlignment="1">
      <alignment horizontal="center" vertical="center" wrapText="1"/>
    </xf>
    <xf numFmtId="0" fontId="189" fillId="32" borderId="20" xfId="1" applyFont="1" applyFill="1" applyBorder="1" applyAlignment="1">
      <alignment horizontal="center" vertical="center" wrapText="1"/>
    </xf>
    <xf numFmtId="0" fontId="170" fillId="0" borderId="166" xfId="1" applyFont="1" applyBorder="1" applyAlignment="1">
      <alignment horizontal="center" vertical="center"/>
    </xf>
    <xf numFmtId="0" fontId="170" fillId="0" borderId="161" xfId="1" applyFont="1" applyBorder="1" applyAlignment="1">
      <alignment horizontal="center" vertical="center"/>
    </xf>
    <xf numFmtId="188" fontId="193" fillId="0" borderId="160" xfId="1" applyNumberFormat="1" applyFont="1" applyBorder="1" applyAlignment="1">
      <alignment horizontal="center" vertical="center"/>
    </xf>
    <xf numFmtId="0" fontId="237"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266" fillId="0" borderId="0" xfId="0" applyFont="1" applyBorder="1" applyAlignment="1">
      <alignment horizontal="left" vertical="center"/>
    </xf>
    <xf numFmtId="0" fontId="266" fillId="0" borderId="0" xfId="0" applyFont="1" applyAlignment="1">
      <alignment horizontal="left" vertical="center"/>
    </xf>
    <xf numFmtId="176" fontId="289" fillId="0" borderId="239" xfId="0" applyNumberFormat="1" applyFont="1" applyBorder="1" applyAlignment="1">
      <alignment horizontal="right" shrinkToFit="1"/>
    </xf>
    <xf numFmtId="176" fontId="289" fillId="0" borderId="181" xfId="0" applyNumberFormat="1" applyFont="1" applyBorder="1" applyAlignment="1">
      <alignment horizontal="right" shrinkToFit="1"/>
    </xf>
    <xf numFmtId="176" fontId="289" fillId="0" borderId="240" xfId="0" applyNumberFormat="1" applyFont="1" applyBorder="1" applyAlignment="1">
      <alignment horizontal="right" shrinkToFit="1"/>
    </xf>
    <xf numFmtId="176" fontId="289" fillId="0" borderId="159" xfId="0" applyNumberFormat="1" applyFont="1" applyBorder="1" applyAlignment="1">
      <alignment horizontal="right" shrinkToFit="1"/>
    </xf>
    <xf numFmtId="176" fontId="289" fillId="0" borderId="201" xfId="0" applyNumberFormat="1" applyFont="1" applyBorder="1" applyAlignment="1">
      <alignment horizontal="center" vertical="center"/>
    </xf>
    <xf numFmtId="176" fontId="289" fillId="0" borderId="377" xfId="0" applyNumberFormat="1" applyFont="1" applyBorder="1" applyAlignment="1">
      <alignment horizontal="center" vertical="center"/>
    </xf>
    <xf numFmtId="176" fontId="289" fillId="0" borderId="218" xfId="0" applyNumberFormat="1" applyFont="1" applyFill="1" applyBorder="1" applyAlignment="1">
      <alignment horizontal="right" shrinkToFit="1"/>
    </xf>
    <xf numFmtId="176" fontId="289" fillId="0" borderId="119" xfId="0" applyNumberFormat="1" applyFont="1" applyFill="1" applyBorder="1" applyAlignment="1">
      <alignment horizontal="right" shrinkToFit="1"/>
    </xf>
    <xf numFmtId="176" fontId="289" fillId="7" borderId="201" xfId="0" applyNumberFormat="1" applyFont="1" applyFill="1" applyBorder="1" applyAlignment="1">
      <alignment horizontal="right" shrinkToFit="1"/>
    </xf>
    <xf numFmtId="176" fontId="289" fillId="7" borderId="358" xfId="0" applyNumberFormat="1" applyFont="1" applyFill="1" applyBorder="1" applyAlignment="1">
      <alignment horizontal="right" shrinkToFit="1"/>
    </xf>
    <xf numFmtId="176" fontId="289" fillId="0" borderId="359" xfId="0" applyNumberFormat="1" applyFont="1" applyBorder="1" applyAlignment="1">
      <alignment horizontal="right" shrinkToFit="1"/>
    </xf>
    <xf numFmtId="176" fontId="289" fillId="0" borderId="208" xfId="0" applyNumberFormat="1" applyFont="1" applyBorder="1" applyAlignment="1">
      <alignment horizontal="right" shrinkToFit="1"/>
    </xf>
    <xf numFmtId="176" fontId="289" fillId="0" borderId="37" xfId="0" applyNumberFormat="1" applyFont="1" applyBorder="1" applyAlignment="1">
      <alignment horizontal="center"/>
    </xf>
    <xf numFmtId="176" fontId="289" fillId="0" borderId="40" xfId="0" applyNumberFormat="1" applyFont="1" applyBorder="1" applyAlignment="1">
      <alignment horizontal="center"/>
    </xf>
    <xf numFmtId="176" fontId="289" fillId="7" borderId="199" xfId="0" applyNumberFormat="1" applyFont="1" applyFill="1" applyBorder="1" applyAlignment="1">
      <alignment horizontal="right" shrinkToFit="1"/>
    </xf>
    <xf numFmtId="176" fontId="289" fillId="7" borderId="196" xfId="0" applyNumberFormat="1" applyFont="1" applyFill="1" applyBorder="1" applyAlignment="1">
      <alignment horizontal="right" shrinkToFit="1"/>
    </xf>
    <xf numFmtId="176" fontId="289" fillId="0" borderId="199" xfId="0" applyNumberFormat="1" applyFont="1" applyBorder="1" applyAlignment="1">
      <alignment horizontal="center" vertical="center"/>
    </xf>
    <xf numFmtId="176" fontId="289" fillId="0" borderId="167" xfId="0" applyNumberFormat="1" applyFont="1" applyBorder="1" applyAlignment="1">
      <alignment horizontal="center" vertical="center"/>
    </xf>
    <xf numFmtId="176" fontId="289" fillId="0" borderId="354" xfId="0" applyNumberFormat="1" applyFont="1" applyBorder="1" applyAlignment="1">
      <alignment horizontal="right" shrinkToFit="1"/>
    </xf>
    <xf numFmtId="176" fontId="289" fillId="0" borderId="197" xfId="0" applyNumberFormat="1" applyFont="1" applyBorder="1" applyAlignment="1">
      <alignment horizontal="right" shrinkToFit="1"/>
    </xf>
    <xf numFmtId="176" fontId="289" fillId="0" borderId="0" xfId="0" applyNumberFormat="1" applyFont="1" applyFill="1" applyBorder="1" applyAlignment="1">
      <alignment horizontal="center" vertical="center"/>
    </xf>
    <xf numFmtId="176" fontId="289" fillId="0" borderId="106" xfId="0" applyNumberFormat="1" applyFont="1" applyBorder="1" applyAlignment="1">
      <alignment horizontal="center" vertical="center" shrinkToFit="1"/>
    </xf>
    <xf numFmtId="176" fontId="289" fillId="0" borderId="140" xfId="0" applyNumberFormat="1" applyFont="1" applyBorder="1" applyAlignment="1">
      <alignment horizontal="center" vertical="center" shrinkToFit="1"/>
    </xf>
    <xf numFmtId="176" fontId="289" fillId="7" borderId="357" xfId="0" applyNumberFormat="1" applyFont="1" applyFill="1" applyBorder="1" applyAlignment="1">
      <alignment horizontal="right" shrinkToFit="1"/>
    </xf>
    <xf numFmtId="176" fontId="289" fillId="7" borderId="352" xfId="0" applyNumberFormat="1" applyFont="1" applyFill="1" applyBorder="1" applyAlignment="1">
      <alignment horizontal="right" shrinkToFit="1"/>
    </xf>
    <xf numFmtId="176" fontId="289" fillId="0" borderId="194" xfId="0" applyNumberFormat="1" applyFont="1" applyBorder="1" applyAlignment="1">
      <alignment horizontal="right" shrinkToFit="1"/>
    </xf>
    <xf numFmtId="176" fontId="289" fillId="0" borderId="195" xfId="0" applyNumberFormat="1" applyFont="1" applyBorder="1" applyAlignment="1">
      <alignment horizontal="right" shrinkToFit="1"/>
    </xf>
    <xf numFmtId="176" fontId="289" fillId="0" borderId="104" xfId="0" applyNumberFormat="1" applyFont="1" applyBorder="1" applyAlignment="1">
      <alignment horizontal="right" shrinkToFit="1"/>
    </xf>
    <xf numFmtId="176" fontId="289" fillId="0" borderId="105" xfId="0" applyNumberFormat="1" applyFont="1" applyBorder="1" applyAlignment="1">
      <alignment horizontal="right" shrinkToFit="1"/>
    </xf>
    <xf numFmtId="176" fontId="289" fillId="0" borderId="199" xfId="0" applyNumberFormat="1" applyFont="1" applyFill="1" applyBorder="1" applyAlignment="1">
      <alignment horizontal="center"/>
    </xf>
    <xf numFmtId="176" fontId="289" fillId="0" borderId="167" xfId="0" applyNumberFormat="1" applyFont="1" applyFill="1" applyBorder="1" applyAlignment="1">
      <alignment horizontal="center"/>
    </xf>
    <xf numFmtId="41" fontId="289" fillId="0" borderId="199" xfId="0" applyNumberFormat="1" applyFont="1" applyFill="1" applyBorder="1" applyAlignment="1">
      <alignment vertical="center"/>
    </xf>
    <xf numFmtId="41" fontId="289" fillId="0" borderId="181" xfId="0" applyNumberFormat="1" applyFont="1" applyFill="1" applyBorder="1" applyAlignment="1">
      <alignment vertical="center"/>
    </xf>
    <xf numFmtId="41" fontId="289" fillId="0" borderId="166" xfId="0" applyNumberFormat="1" applyFont="1" applyFill="1" applyBorder="1" applyAlignment="1">
      <alignment vertical="center"/>
    </xf>
    <xf numFmtId="41" fontId="289" fillId="0" borderId="159" xfId="0" applyNumberFormat="1" applyFont="1" applyFill="1" applyBorder="1" applyAlignment="1">
      <alignment vertical="center"/>
    </xf>
    <xf numFmtId="41" fontId="289" fillId="0" borderId="158" xfId="0" applyNumberFormat="1" applyFont="1" applyFill="1" applyBorder="1" applyAlignment="1">
      <alignment vertical="center"/>
    </xf>
    <xf numFmtId="176" fontId="289" fillId="0" borderId="37" xfId="0" applyNumberFormat="1" applyFont="1" applyFill="1" applyBorder="1" applyAlignment="1">
      <alignment horizontal="center"/>
    </xf>
    <xf numFmtId="176" fontId="289" fillId="0" borderId="40" xfId="0" applyNumberFormat="1" applyFont="1" applyFill="1" applyBorder="1" applyAlignment="1">
      <alignment horizontal="center"/>
    </xf>
    <xf numFmtId="176" fontId="289" fillId="0" borderId="357" xfId="0" applyNumberFormat="1" applyFont="1" applyFill="1" applyBorder="1" applyAlignment="1">
      <alignment horizontal="center"/>
    </xf>
    <xf numFmtId="176" fontId="289" fillId="0" borderId="179" xfId="0" applyNumberFormat="1" applyFont="1" applyFill="1" applyBorder="1" applyAlignment="1">
      <alignment horizontal="center"/>
    </xf>
    <xf numFmtId="41" fontId="289" fillId="0" borderId="357" xfId="0" applyNumberFormat="1" applyFont="1" applyFill="1" applyBorder="1" applyAlignment="1">
      <alignment vertical="center"/>
    </xf>
    <xf numFmtId="41" fontId="289" fillId="0" borderId="195" xfId="0" applyNumberFormat="1" applyFont="1" applyFill="1" applyBorder="1" applyAlignment="1">
      <alignment vertical="center"/>
    </xf>
    <xf numFmtId="176" fontId="291" fillId="7" borderId="37" xfId="0" applyNumberFormat="1" applyFont="1" applyFill="1" applyBorder="1" applyAlignment="1">
      <alignment horizontal="center" shrinkToFit="1"/>
    </xf>
    <xf numFmtId="176" fontId="291" fillId="7" borderId="355" xfId="0" applyNumberFormat="1" applyFont="1" applyFill="1" applyBorder="1" applyAlignment="1">
      <alignment horizontal="center" shrinkToFit="1"/>
    </xf>
    <xf numFmtId="176" fontId="289" fillId="7" borderId="47" xfId="0" applyNumberFormat="1" applyFont="1" applyFill="1" applyBorder="1" applyAlignment="1">
      <alignment horizontal="right" shrinkToFit="1"/>
    </xf>
    <xf numFmtId="176" fontId="289" fillId="7" borderId="192" xfId="0" applyNumberFormat="1" applyFont="1" applyFill="1" applyBorder="1" applyAlignment="1">
      <alignment horizontal="right" shrinkToFit="1"/>
    </xf>
    <xf numFmtId="176" fontId="289" fillId="7" borderId="18" xfId="0" applyNumberFormat="1" applyFont="1" applyFill="1" applyBorder="1" applyAlignment="1">
      <alignment horizontal="right" shrinkToFit="1"/>
    </xf>
    <xf numFmtId="176" fontId="289" fillId="7" borderId="120" xfId="0" applyNumberFormat="1" applyFont="1" applyFill="1" applyBorder="1" applyAlignment="1">
      <alignment horizontal="right" shrinkToFit="1"/>
    </xf>
    <xf numFmtId="176" fontId="294" fillId="7" borderId="37" xfId="0" applyNumberFormat="1" applyFont="1" applyFill="1" applyBorder="1" applyAlignment="1">
      <alignment horizontal="center" shrinkToFit="1"/>
    </xf>
    <xf numFmtId="176" fontId="294" fillId="7" borderId="355" xfId="0" applyNumberFormat="1" applyFont="1" applyFill="1" applyBorder="1" applyAlignment="1">
      <alignment horizontal="center" shrinkToFit="1"/>
    </xf>
    <xf numFmtId="176" fontId="289" fillId="0" borderId="356" xfId="0" applyNumberFormat="1" applyFont="1" applyBorder="1" applyAlignment="1">
      <alignment horizontal="center" shrinkToFit="1"/>
    </xf>
    <xf numFmtId="176" fontId="289" fillId="0" borderId="34" xfId="0" applyNumberFormat="1" applyFont="1" applyBorder="1" applyAlignment="1">
      <alignment horizontal="center" shrinkToFit="1"/>
    </xf>
    <xf numFmtId="176" fontId="289" fillId="0" borderId="36" xfId="0" applyNumberFormat="1" applyFont="1" applyBorder="1" applyAlignment="1">
      <alignment horizontal="center" shrinkToFit="1"/>
    </xf>
    <xf numFmtId="176" fontId="289" fillId="0" borderId="0" xfId="0" applyNumberFormat="1" applyFont="1" applyBorder="1" applyAlignment="1">
      <alignment horizontal="center" vertical="center"/>
    </xf>
    <xf numFmtId="176" fontId="289" fillId="0" borderId="141" xfId="0" applyNumberFormat="1" applyFont="1" applyBorder="1" applyAlignment="1">
      <alignment horizontal="center" vertical="center" shrinkToFit="1"/>
    </xf>
    <xf numFmtId="176" fontId="289" fillId="0" borderId="44" xfId="0" applyNumberFormat="1" applyFont="1" applyBorder="1" applyAlignment="1">
      <alignment horizontal="center" vertical="center" shrinkToFit="1"/>
    </xf>
    <xf numFmtId="176" fontId="289" fillId="0" borderId="357" xfId="0" applyNumberFormat="1" applyFont="1" applyBorder="1" applyAlignment="1">
      <alignment horizontal="center" vertical="center"/>
    </xf>
    <xf numFmtId="176" fontId="289" fillId="0" borderId="179" xfId="0" applyNumberFormat="1" applyFont="1" applyBorder="1" applyAlignment="1">
      <alignment horizontal="center" vertical="center"/>
    </xf>
    <xf numFmtId="41" fontId="289" fillId="0" borderId="201" xfId="0" applyNumberFormat="1" applyFont="1" applyFill="1" applyBorder="1" applyAlignment="1">
      <alignment vertical="center"/>
    </xf>
    <xf numFmtId="41" fontId="289" fillId="0" borderId="208" xfId="0" applyNumberFormat="1" applyFont="1" applyFill="1" applyBorder="1" applyAlignment="1">
      <alignment vertical="center"/>
    </xf>
    <xf numFmtId="41" fontId="289" fillId="0" borderId="117" xfId="0" applyNumberFormat="1" applyFont="1" applyFill="1" applyBorder="1" applyAlignment="1">
      <alignment vertical="center"/>
    </xf>
    <xf numFmtId="41" fontId="289" fillId="0" borderId="119" xfId="0" applyNumberFormat="1" applyFont="1" applyFill="1" applyBorder="1" applyAlignment="1">
      <alignment vertical="center"/>
    </xf>
    <xf numFmtId="41" fontId="289" fillId="0" borderId="118" xfId="0" applyNumberFormat="1" applyFont="1" applyFill="1" applyBorder="1" applyAlignment="1">
      <alignment vertical="center"/>
    </xf>
    <xf numFmtId="176" fontId="289" fillId="0" borderId="201" xfId="0" applyNumberFormat="1" applyFont="1" applyFill="1" applyBorder="1" applyAlignment="1">
      <alignment horizontal="center"/>
    </xf>
    <xf numFmtId="176" fontId="289" fillId="0" borderId="377" xfId="0" applyNumberFormat="1" applyFont="1" applyFill="1" applyBorder="1" applyAlignment="1">
      <alignment horizontal="center"/>
    </xf>
    <xf numFmtId="41" fontId="289" fillId="0" borderId="178" xfId="0" applyNumberFormat="1" applyFont="1" applyFill="1" applyBorder="1" applyAlignment="1">
      <alignment vertical="center"/>
    </xf>
    <xf numFmtId="41" fontId="289" fillId="0" borderId="105" xfId="0" applyNumberFormat="1" applyFont="1" applyFill="1" applyBorder="1" applyAlignment="1">
      <alignment vertical="center"/>
    </xf>
    <xf numFmtId="41" fontId="289" fillId="0" borderId="348" xfId="0" applyNumberFormat="1" applyFont="1" applyFill="1" applyBorder="1" applyAlignment="1">
      <alignment vertical="center"/>
    </xf>
    <xf numFmtId="176" fontId="289" fillId="0" borderId="158" xfId="0" applyNumberFormat="1" applyFont="1" applyFill="1" applyBorder="1" applyAlignment="1">
      <alignment horizontal="center"/>
    </xf>
    <xf numFmtId="176" fontId="289" fillId="0" borderId="159" xfId="0" applyNumberFormat="1" applyFont="1" applyFill="1" applyBorder="1" applyAlignment="1">
      <alignment horizontal="center"/>
    </xf>
    <xf numFmtId="176" fontId="289" fillId="0" borderId="20" xfId="0" applyNumberFormat="1" applyFont="1" applyFill="1" applyBorder="1" applyAlignment="1">
      <alignment horizontal="center"/>
    </xf>
    <xf numFmtId="176" fontId="289" fillId="0" borderId="11" xfId="0" applyNumberFormat="1" applyFont="1" applyFill="1" applyBorder="1" applyAlignment="1">
      <alignment horizontal="center"/>
    </xf>
    <xf numFmtId="176" fontId="289" fillId="0" borderId="21" xfId="0" applyNumberFormat="1" applyFont="1" applyFill="1" applyBorder="1" applyAlignment="1">
      <alignment horizontal="center"/>
    </xf>
    <xf numFmtId="176" fontId="289" fillId="56" borderId="15" xfId="0" applyNumberFormat="1" applyFont="1" applyFill="1" applyBorder="1" applyAlignment="1">
      <alignment horizontal="center" vertical="center"/>
    </xf>
    <xf numFmtId="176" fontId="289" fillId="56" borderId="16" xfId="0" applyNumberFormat="1" applyFont="1" applyFill="1" applyBorder="1" applyAlignment="1">
      <alignment horizontal="center" vertical="center"/>
    </xf>
    <xf numFmtId="176" fontId="289" fillId="56" borderId="17" xfId="0" applyNumberFormat="1" applyFont="1" applyFill="1" applyBorder="1" applyAlignment="1">
      <alignment horizontal="center" vertical="center"/>
    </xf>
    <xf numFmtId="176" fontId="289" fillId="56" borderId="20" xfId="0" applyNumberFormat="1" applyFont="1" applyFill="1" applyBorder="1" applyAlignment="1">
      <alignment horizontal="center" vertical="center"/>
    </xf>
    <xf numFmtId="176" fontId="289" fillId="56" borderId="11" xfId="0" applyNumberFormat="1" applyFont="1" applyFill="1" applyBorder="1" applyAlignment="1">
      <alignment horizontal="center" vertical="center"/>
    </xf>
    <xf numFmtId="176" fontId="289" fillId="56" borderId="21" xfId="0" applyNumberFormat="1" applyFont="1" applyFill="1" applyBorder="1" applyAlignment="1">
      <alignment horizontal="center" vertical="center"/>
    </xf>
    <xf numFmtId="176" fontId="289" fillId="40" borderId="37" xfId="0" applyNumberFormat="1" applyFont="1" applyFill="1" applyBorder="1" applyAlignment="1">
      <alignment horizontal="center"/>
    </xf>
    <xf numFmtId="176" fontId="289" fillId="40" borderId="40" xfId="0" applyNumberFormat="1" applyFont="1" applyFill="1" applyBorder="1" applyAlignment="1">
      <alignment horizontal="center"/>
    </xf>
    <xf numFmtId="176" fontId="289" fillId="7" borderId="41" xfId="0" applyNumberFormat="1" applyFont="1" applyFill="1" applyBorder="1" applyAlignment="1">
      <alignment horizontal="right" vertical="center"/>
    </xf>
    <xf numFmtId="176" fontId="289" fillId="7" borderId="36" xfId="0" applyNumberFormat="1" applyFont="1" applyFill="1" applyBorder="1" applyAlignment="1">
      <alignment horizontal="right" vertical="center"/>
    </xf>
    <xf numFmtId="176" fontId="289" fillId="40" borderId="34" xfId="0" applyNumberFormat="1" applyFont="1" applyFill="1" applyBorder="1" applyAlignment="1">
      <alignment horizontal="center"/>
    </xf>
    <xf numFmtId="41" fontId="289" fillId="0" borderId="179" xfId="0" applyNumberFormat="1" applyFont="1" applyFill="1" applyBorder="1" applyAlignment="1">
      <alignment vertical="center"/>
    </xf>
    <xf numFmtId="176" fontId="289" fillId="4" borderId="37" xfId="0" applyNumberFormat="1" applyFont="1" applyFill="1" applyBorder="1" applyAlignment="1">
      <alignment horizontal="center"/>
    </xf>
    <xf numFmtId="176" fontId="289" fillId="4" borderId="360" xfId="0" applyNumberFormat="1" applyFont="1" applyFill="1" applyBorder="1" applyAlignment="1">
      <alignment horizontal="center"/>
    </xf>
    <xf numFmtId="176" fontId="289" fillId="7" borderId="34" xfId="0" applyNumberFormat="1" applyFont="1" applyFill="1" applyBorder="1" applyAlignment="1">
      <alignment horizontal="right" vertical="center"/>
    </xf>
    <xf numFmtId="176" fontId="289"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8" xfId="21" applyFont="1" applyBorder="1" applyAlignment="1">
      <alignment horizontal="center" vertical="center" wrapText="1"/>
    </xf>
    <xf numFmtId="0" fontId="130" fillId="0" borderId="319" xfId="21" applyFont="1" applyBorder="1" applyAlignment="1">
      <alignment horizontal="center" vertical="center" wrapText="1"/>
    </xf>
    <xf numFmtId="0" fontId="130" fillId="0" borderId="320"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19"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7" fillId="53" borderId="0" xfId="21" applyFont="1" applyFill="1" applyBorder="1" applyAlignment="1">
      <alignment horizontal="center" vertical="top" wrapText="1"/>
    </xf>
    <xf numFmtId="0" fontId="283" fillId="0" borderId="0" xfId="21" applyFont="1" applyAlignment="1">
      <alignment horizontal="center" vertical="center" shrinkToFi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0" fontId="269" fillId="53" borderId="316" xfId="21" applyFont="1" applyFill="1" applyBorder="1" applyAlignment="1">
      <alignment horizontal="center" vertical="center" wrapText="1"/>
    </xf>
    <xf numFmtId="0" fontId="269" fillId="53" borderId="0" xfId="21" applyFont="1" applyFill="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4" fillId="0" borderId="104" xfId="21" applyFont="1" applyFill="1" applyBorder="1" applyAlignment="1" applyProtection="1">
      <alignment horizontal="center" vertical="center" shrinkToFit="1"/>
    </xf>
    <xf numFmtId="0" fontId="134" fillId="0" borderId="348"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0" fontId="233" fillId="26" borderId="0" xfId="0" applyFont="1" applyFill="1" applyBorder="1" applyAlignment="1">
      <alignment horizontal="center" vertical="center"/>
    </xf>
    <xf numFmtId="0" fontId="228" fillId="2" borderId="16" xfId="21" applyFont="1" applyFill="1" applyBorder="1" applyAlignment="1" applyProtection="1">
      <alignment horizontal="center" vertical="center"/>
      <protection locked="0"/>
    </xf>
    <xf numFmtId="0" fontId="228" fillId="2" borderId="11" xfId="21" applyFont="1" applyFill="1" applyBorder="1" applyAlignment="1" applyProtection="1">
      <alignment horizontal="center" vertical="center"/>
      <protection locked="0"/>
    </xf>
    <xf numFmtId="0" fontId="249" fillId="0" borderId="0" xfId="21" applyFont="1" applyFill="1" applyBorder="1" applyAlignment="1">
      <alignment horizontal="left" vertical="top" wrapText="1"/>
    </xf>
    <xf numFmtId="0" fontId="250" fillId="48" borderId="31" xfId="21" applyFont="1" applyFill="1" applyBorder="1" applyAlignment="1">
      <alignment horizontal="center" vertical="center"/>
    </xf>
    <xf numFmtId="0" fontId="250" fillId="48" borderId="328" xfId="21" applyFont="1" applyFill="1" applyBorder="1" applyAlignment="1">
      <alignment horizontal="center" vertical="center"/>
    </xf>
    <xf numFmtId="0" fontId="222" fillId="2" borderId="61" xfId="21" applyNumberFormat="1" applyFont="1" applyFill="1" applyBorder="1" applyAlignment="1" applyProtection="1">
      <alignment horizontal="center" vertical="center"/>
      <protection locked="0"/>
    </xf>
    <xf numFmtId="0" fontId="222" fillId="2" borderId="10" xfId="21" applyNumberFormat="1" applyFont="1" applyFill="1" applyBorder="1" applyAlignment="1" applyProtection="1">
      <alignment horizontal="center" vertical="center"/>
      <protection locked="0"/>
    </xf>
    <xf numFmtId="0" fontId="222" fillId="2" borderId="5" xfId="21" applyFont="1" applyFill="1" applyBorder="1" applyAlignment="1" applyProtection="1">
      <alignment horizontal="center" vertical="center"/>
      <protection locked="0"/>
    </xf>
    <xf numFmtId="0" fontId="222" fillId="2" borderId="9"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2" fillId="2" borderId="7" xfId="0" applyFont="1" applyFill="1" applyBorder="1" applyAlignment="1" applyProtection="1">
      <alignment horizontal="center" vertical="center" shrinkToFit="1"/>
      <protection locked="0"/>
    </xf>
    <xf numFmtId="0" fontId="222" fillId="2" borderId="9" xfId="0" applyFont="1" applyFill="1" applyBorder="1" applyAlignment="1" applyProtection="1">
      <alignment horizontal="center" vertical="center" shrinkToFit="1"/>
      <protection locked="0"/>
    </xf>
    <xf numFmtId="0" fontId="136" fillId="0" borderId="329" xfId="21" applyFont="1" applyBorder="1" applyAlignment="1">
      <alignment horizontal="center" vertical="center"/>
    </xf>
    <xf numFmtId="0" fontId="136" fillId="0" borderId="330" xfId="21" applyFont="1" applyBorder="1" applyAlignment="1">
      <alignment horizontal="center" vertical="center"/>
    </xf>
    <xf numFmtId="0" fontId="136" fillId="0" borderId="331" xfId="21" applyFont="1" applyBorder="1" applyAlignment="1">
      <alignment horizontal="center" vertical="center"/>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222" fillId="2" borderId="5" xfId="0" applyFont="1" applyFill="1" applyBorder="1" applyAlignment="1" applyProtection="1">
      <alignment horizontal="center" vertical="center" shrinkToFit="1"/>
      <protection locked="0"/>
    </xf>
    <xf numFmtId="0" fontId="222" fillId="2" borderId="26" xfId="0" applyFont="1" applyFill="1" applyBorder="1" applyAlignment="1" applyProtection="1">
      <alignment horizontal="center" vertical="center" shrinkToFit="1"/>
      <protection locked="0"/>
    </xf>
    <xf numFmtId="0" fontId="222" fillId="2" borderId="86" xfId="21" applyFont="1" applyFill="1" applyBorder="1" applyAlignment="1" applyProtection="1">
      <alignment horizontal="center" vertical="center" shrinkToFit="1"/>
      <protection locked="0"/>
    </xf>
    <xf numFmtId="0" fontId="222" fillId="2" borderId="89" xfId="21" applyFont="1" applyFill="1" applyBorder="1" applyAlignment="1" applyProtection="1">
      <alignment horizontal="center" vertical="center" shrinkToFit="1"/>
      <protection locked="0"/>
    </xf>
    <xf numFmtId="0" fontId="222" fillId="2" borderId="25" xfId="21" applyFont="1" applyFill="1" applyBorder="1" applyAlignment="1" applyProtection="1">
      <alignment horizontal="center" vertical="center" shrinkToFit="1"/>
      <protection locked="0"/>
    </xf>
    <xf numFmtId="0" fontId="222" fillId="2" borderId="91" xfId="21" applyFont="1" applyFill="1" applyBorder="1" applyAlignment="1" applyProtection="1">
      <alignment horizontal="center" vertical="center" shrinkToFit="1"/>
      <protection locked="0"/>
    </xf>
    <xf numFmtId="0" fontId="222" fillId="2" borderId="94" xfId="21" applyFont="1" applyFill="1" applyBorder="1" applyAlignment="1" applyProtection="1">
      <alignment horizontal="center" vertical="center"/>
      <protection locked="0"/>
    </xf>
    <xf numFmtId="0" fontId="222" fillId="2" borderId="79" xfId="21" applyFont="1" applyFill="1" applyBorder="1" applyAlignment="1" applyProtection="1">
      <alignment horizontal="center" vertical="center"/>
      <protection locked="0"/>
    </xf>
    <xf numFmtId="0" fontId="222" fillId="2" borderId="30" xfId="21" applyFont="1" applyFill="1" applyBorder="1" applyAlignment="1" applyProtection="1">
      <alignment horizontal="center" vertical="center"/>
      <protection locked="0"/>
    </xf>
    <xf numFmtId="0" fontId="222" fillId="2" borderId="29" xfId="21" applyFont="1" applyFill="1" applyBorder="1" applyAlignment="1" applyProtection="1">
      <alignment horizontal="center" vertical="center"/>
      <protection locked="0"/>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29" xfId="21" applyFont="1" applyFill="1" applyBorder="1" applyAlignment="1">
      <alignment horizontal="center" vertical="center"/>
    </xf>
    <xf numFmtId="0" fontId="136" fillId="0" borderId="330" xfId="21" applyFont="1" applyFill="1" applyBorder="1" applyAlignment="1">
      <alignment horizontal="center" vertical="center"/>
    </xf>
    <xf numFmtId="0" fontId="136" fillId="0" borderId="331"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2" fillId="12" borderId="98" xfId="21" applyFont="1" applyFill="1" applyBorder="1" applyAlignment="1">
      <alignment horizontal="center" vertical="center"/>
    </xf>
    <xf numFmtId="0" fontId="222" fillId="12" borderId="79" xfId="21" applyFont="1" applyFill="1" applyBorder="1" applyAlignment="1">
      <alignment horizontal="center" vertical="center"/>
    </xf>
    <xf numFmtId="0" fontId="222" fillId="12" borderId="97" xfId="21" applyFont="1" applyFill="1" applyBorder="1" applyAlignment="1">
      <alignment horizontal="center" vertical="center"/>
    </xf>
    <xf numFmtId="0" fontId="222"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7"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7"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221" fillId="12" borderId="15" xfId="21" applyFont="1" applyFill="1" applyBorder="1" applyAlignment="1">
      <alignment horizontal="center" vertical="center" shrinkToFit="1"/>
    </xf>
    <xf numFmtId="0" fontId="221" fillId="12" borderId="99" xfId="21" applyFont="1" applyFill="1" applyBorder="1" applyAlignment="1">
      <alignment horizontal="center" vertical="center" shrinkToFit="1"/>
    </xf>
    <xf numFmtId="0" fontId="221" fillId="12" borderId="25" xfId="21" applyFont="1" applyFill="1" applyBorder="1" applyAlignment="1">
      <alignment horizontal="center" vertical="center" shrinkToFit="1"/>
    </xf>
    <xf numFmtId="0" fontId="221"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222" fillId="12" borderId="5" xfId="21" applyFont="1" applyFill="1" applyBorder="1" applyAlignment="1">
      <alignment horizontal="center" vertical="center"/>
    </xf>
    <xf numFmtId="0" fontId="222" fillId="12" borderId="26" xfId="21" applyFont="1" applyFill="1" applyBorder="1" applyAlignment="1">
      <alignment horizontal="center" vertical="center"/>
    </xf>
    <xf numFmtId="0" fontId="222" fillId="33" borderId="61" xfId="21" applyFont="1" applyFill="1" applyBorder="1" applyAlignment="1">
      <alignment horizontal="center" vertical="center"/>
    </xf>
    <xf numFmtId="0" fontId="222" fillId="33" borderId="151" xfId="21" applyFont="1" applyFill="1" applyBorder="1" applyAlignment="1">
      <alignment horizontal="center" vertical="center"/>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222" fillId="2" borderId="88" xfId="21" applyFont="1" applyFill="1" applyBorder="1" applyAlignment="1" applyProtection="1">
      <alignment horizontal="center" vertical="center"/>
      <protection locked="0"/>
    </xf>
    <xf numFmtId="0" fontId="222" fillId="2" borderId="19" xfId="21" applyFont="1" applyFill="1" applyBorder="1" applyAlignment="1" applyProtection="1">
      <alignment horizontal="center" vertical="center"/>
      <protection locked="0"/>
    </xf>
    <xf numFmtId="0" fontId="222" fillId="2" borderId="18" xfId="21" applyFont="1" applyFill="1" applyBorder="1" applyAlignment="1" applyProtection="1">
      <alignment horizontal="center" vertical="center" shrinkToFit="1"/>
      <protection locked="0"/>
    </xf>
    <xf numFmtId="0" fontId="222" fillId="2" borderId="138" xfId="21" applyFont="1" applyFill="1" applyBorder="1" applyAlignment="1" applyProtection="1">
      <alignment horizontal="center" vertical="center" shrinkToFit="1"/>
      <protection locked="0"/>
    </xf>
    <xf numFmtId="0" fontId="222" fillId="2" borderId="15" xfId="21" applyFont="1" applyFill="1" applyBorder="1" applyAlignment="1" applyProtection="1">
      <alignment horizontal="center" vertical="center" shrinkToFit="1"/>
      <protection locked="0"/>
    </xf>
    <xf numFmtId="0" fontId="222" fillId="2" borderId="99" xfId="21" applyFont="1" applyFill="1" applyBorder="1" applyAlignment="1" applyProtection="1">
      <alignment horizontal="center" vertical="center" shrinkToFit="1"/>
      <protection locked="0"/>
    </xf>
    <xf numFmtId="0" fontId="222" fillId="33" borderId="43" xfId="0" applyFont="1" applyFill="1" applyBorder="1" applyAlignment="1">
      <alignment horizontal="center" vertical="center" shrinkToFit="1"/>
    </xf>
    <xf numFmtId="0" fontId="222"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28" fillId="4" borderId="62" xfId="21" applyFont="1" applyFill="1" applyBorder="1" applyAlignment="1">
      <alignment horizontal="center" vertical="center"/>
    </xf>
    <xf numFmtId="0" fontId="128" fillId="4" borderId="10" xfId="21" applyFont="1" applyFill="1" applyBorder="1" applyAlignment="1">
      <alignment horizontal="center" vertical="center"/>
    </xf>
    <xf numFmtId="0" fontId="222" fillId="2" borderId="43" xfId="21" applyFont="1" applyFill="1" applyBorder="1" applyAlignment="1" applyProtection="1">
      <alignment horizontal="center" vertical="center"/>
      <protection locked="0"/>
    </xf>
    <xf numFmtId="0" fontId="222" fillId="2" borderId="150" xfId="21" applyNumberFormat="1" applyFont="1" applyFill="1" applyBorder="1" applyAlignment="1" applyProtection="1">
      <alignment horizontal="center" vertical="center"/>
      <protection locked="0"/>
    </xf>
    <xf numFmtId="0" fontId="222" fillId="2" borderId="319" xfId="21" applyFont="1" applyFill="1" applyBorder="1" applyAlignment="1" applyProtection="1">
      <alignment horizontal="center" vertical="center"/>
      <protection locked="0"/>
    </xf>
    <xf numFmtId="0" fontId="222" fillId="2" borderId="322" xfId="21" applyFont="1" applyFill="1" applyBorder="1" applyAlignment="1" applyProtection="1">
      <alignment horizontal="center" vertical="center"/>
      <protection locked="0"/>
    </xf>
    <xf numFmtId="0" fontId="222" fillId="2" borderId="17" xfId="21" applyFont="1" applyFill="1" applyBorder="1" applyAlignment="1" applyProtection="1">
      <alignment horizontal="center" vertical="center"/>
      <protection locked="0"/>
    </xf>
    <xf numFmtId="0" fontId="222" fillId="2" borderId="98" xfId="21" applyFont="1" applyFill="1" applyBorder="1" applyAlignment="1" applyProtection="1">
      <alignment horizontal="center" vertical="center"/>
      <protection locked="0"/>
    </xf>
    <xf numFmtId="0" fontId="222" fillId="2" borderId="97" xfId="21" applyFont="1" applyFill="1" applyBorder="1" applyAlignment="1" applyProtection="1">
      <alignment horizontal="center" vertical="center"/>
      <protection locked="0"/>
    </xf>
    <xf numFmtId="0" fontId="222" fillId="2" borderId="90" xfId="21" applyFont="1" applyFill="1" applyBorder="1" applyAlignment="1" applyProtection="1">
      <alignment horizontal="center" vertical="center"/>
      <protection locked="0"/>
    </xf>
    <xf numFmtId="0" fontId="222" fillId="33" borderId="7" xfId="0" applyFont="1" applyFill="1" applyBorder="1" applyAlignment="1">
      <alignment horizontal="center" vertical="center" shrinkToFit="1"/>
    </xf>
    <xf numFmtId="0" fontId="222" fillId="33" borderId="26" xfId="0" applyFont="1" applyFill="1" applyBorder="1" applyAlignment="1">
      <alignment horizontal="center" vertical="center" shrinkToFit="1"/>
    </xf>
    <xf numFmtId="0" fontId="222" fillId="12" borderId="319" xfId="21" applyFont="1" applyFill="1" applyBorder="1" applyAlignment="1">
      <alignment horizontal="center" vertical="center"/>
    </xf>
    <xf numFmtId="0" fontId="222" fillId="12" borderId="320" xfId="21" applyFont="1" applyFill="1" applyBorder="1" applyAlignment="1">
      <alignment horizontal="center" vertical="center"/>
    </xf>
    <xf numFmtId="0" fontId="222" fillId="12" borderId="19" xfId="21" applyFont="1" applyFill="1" applyBorder="1" applyAlignment="1">
      <alignment horizontal="center" vertical="center"/>
    </xf>
    <xf numFmtId="0" fontId="222" fillId="12" borderId="21" xfId="21" applyFont="1" applyFill="1" applyBorder="1" applyAlignment="1">
      <alignment horizontal="center" vertical="center"/>
    </xf>
    <xf numFmtId="0" fontId="221" fillId="12" borderId="18" xfId="21" applyFont="1" applyFill="1" applyBorder="1" applyAlignment="1">
      <alignment horizontal="center" vertical="center" shrinkToFit="1"/>
    </xf>
    <xf numFmtId="0" fontId="221" fillId="12" borderId="138" xfId="21" applyFont="1" applyFill="1" applyBorder="1" applyAlignment="1">
      <alignment horizontal="center" vertical="center" shrinkToFit="1"/>
    </xf>
    <xf numFmtId="0" fontId="221" fillId="12" borderId="20" xfId="21" applyFont="1" applyFill="1" applyBorder="1" applyAlignment="1">
      <alignment horizontal="center" vertical="center" shrinkToFit="1"/>
    </xf>
    <xf numFmtId="0" fontId="221" fillId="12" borderId="83" xfId="21" applyFont="1" applyFill="1" applyBorder="1" applyAlignment="1">
      <alignment horizontal="center" vertical="center" shrinkToFit="1"/>
    </xf>
    <xf numFmtId="0" fontId="222" fillId="12" borderId="88" xfId="21" applyFont="1" applyFill="1" applyBorder="1" applyAlignment="1">
      <alignment horizontal="center" vertical="center"/>
    </xf>
    <xf numFmtId="0" fontId="222" fillId="12" borderId="82" xfId="21" applyFont="1" applyFill="1" applyBorder="1" applyAlignment="1">
      <alignment horizontal="center" vertical="center"/>
    </xf>
    <xf numFmtId="0" fontId="222" fillId="12" borderId="43" xfId="21" applyFont="1" applyFill="1" applyBorder="1" applyAlignment="1">
      <alignment horizontal="center" vertical="center"/>
    </xf>
    <xf numFmtId="0" fontId="222" fillId="12" borderId="9" xfId="21" applyFont="1" applyFill="1" applyBorder="1" applyAlignment="1">
      <alignment horizontal="center" vertical="center"/>
    </xf>
    <xf numFmtId="0" fontId="222" fillId="33" borderId="150" xfId="21" applyFont="1" applyFill="1" applyBorder="1" applyAlignment="1">
      <alignment horizontal="center" vertical="center"/>
    </xf>
    <xf numFmtId="0" fontId="222" fillId="33" borderId="10" xfId="21" applyFont="1" applyFill="1" applyBorder="1" applyAlignment="1">
      <alignment horizontal="center" vertical="center"/>
    </xf>
    <xf numFmtId="0" fontId="222" fillId="12" borderId="321" xfId="21" applyFont="1" applyFill="1" applyBorder="1" applyAlignment="1">
      <alignment horizontal="center" vertical="center"/>
    </xf>
    <xf numFmtId="0" fontId="222" fillId="12" borderId="322" xfId="21" applyFont="1" applyFill="1" applyBorder="1" applyAlignment="1">
      <alignment horizontal="center" vertical="center"/>
    </xf>
    <xf numFmtId="0" fontId="222" fillId="12" borderId="17" xfId="21" applyFont="1" applyFill="1" applyBorder="1" applyAlignment="1">
      <alignment horizontal="center" vertical="center"/>
    </xf>
    <xf numFmtId="0" fontId="222" fillId="12" borderId="29" xfId="21" applyFont="1" applyFill="1" applyBorder="1" applyAlignment="1">
      <alignment horizontal="center" vertical="center"/>
    </xf>
    <xf numFmtId="0" fontId="222" fillId="12" borderId="87" xfId="21" applyFont="1" applyFill="1" applyBorder="1" applyAlignment="1">
      <alignment horizontal="center" vertical="center"/>
    </xf>
    <xf numFmtId="0" fontId="222" fillId="12" borderId="81" xfId="21" applyFont="1" applyFill="1" applyBorder="1" applyAlignment="1">
      <alignment horizontal="center" vertical="center"/>
    </xf>
    <xf numFmtId="0" fontId="128" fillId="4" borderId="61" xfId="21" applyFont="1" applyFill="1" applyBorder="1" applyAlignment="1">
      <alignment horizontal="center" vertical="center"/>
    </xf>
    <xf numFmtId="0" fontId="222" fillId="2" borderId="318" xfId="21" applyFont="1" applyFill="1" applyBorder="1" applyAlignment="1" applyProtection="1">
      <alignment horizontal="center" vertical="center"/>
      <protection locked="0"/>
    </xf>
    <xf numFmtId="0" fontId="222" fillId="2" borderId="327"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222" fillId="0" borderId="94" xfId="21" applyFont="1" applyFill="1" applyBorder="1" applyAlignment="1" applyProtection="1">
      <alignment horizontal="center" vertical="center"/>
    </xf>
    <xf numFmtId="0" fontId="222" fillId="0" borderId="79" xfId="21" applyFont="1" applyFill="1" applyBorder="1" applyAlignment="1" applyProtection="1">
      <alignment horizontal="center" vertical="center"/>
    </xf>
    <xf numFmtId="0" fontId="222" fillId="0" borderId="327" xfId="21" applyFont="1" applyFill="1" applyBorder="1" applyAlignment="1" applyProtection="1">
      <alignment horizontal="center" vertical="center"/>
    </xf>
    <xf numFmtId="0" fontId="222" fillId="0" borderId="90" xfId="21" applyFont="1" applyFill="1" applyBorder="1" applyAlignment="1" applyProtection="1">
      <alignment horizontal="center" vertical="center"/>
    </xf>
    <xf numFmtId="0" fontId="222" fillId="0" borderId="86" xfId="21" applyFont="1" applyFill="1" applyBorder="1" applyAlignment="1" applyProtection="1">
      <alignment horizontal="center" vertical="center" shrinkToFit="1"/>
    </xf>
    <xf numFmtId="0" fontId="222" fillId="0" borderId="89" xfId="21" applyFont="1" applyFill="1" applyBorder="1" applyAlignment="1" applyProtection="1">
      <alignment horizontal="center" vertical="center" shrinkToFit="1"/>
    </xf>
    <xf numFmtId="0" fontId="222" fillId="0" borderId="25" xfId="21" applyFont="1" applyFill="1" applyBorder="1" applyAlignment="1" applyProtection="1">
      <alignment horizontal="center" vertical="center" shrinkToFit="1"/>
    </xf>
    <xf numFmtId="0" fontId="222" fillId="0" borderId="91" xfId="21" applyFont="1" applyFill="1" applyBorder="1" applyAlignment="1" applyProtection="1">
      <alignment horizontal="center" vertical="center" shrinkToFit="1"/>
    </xf>
    <xf numFmtId="0" fontId="222" fillId="0" borderId="98" xfId="21" applyFont="1" applyFill="1" applyBorder="1" applyAlignment="1" applyProtection="1">
      <alignment horizontal="center" vertical="center"/>
    </xf>
    <xf numFmtId="0" fontId="222" fillId="0" borderId="15" xfId="21" applyFont="1" applyFill="1" applyBorder="1" applyAlignment="1" applyProtection="1">
      <alignment horizontal="center" vertical="center" shrinkToFit="1"/>
    </xf>
    <xf numFmtId="0" fontId="222" fillId="0" borderId="99" xfId="21" applyFont="1" applyFill="1" applyBorder="1" applyAlignment="1" applyProtection="1">
      <alignment horizontal="center" vertical="center" shrinkToFit="1"/>
    </xf>
    <xf numFmtId="0" fontId="222" fillId="0" borderId="97" xfId="21" applyFont="1" applyFill="1" applyBorder="1" applyAlignment="1" applyProtection="1">
      <alignment horizontal="center" vertical="center"/>
    </xf>
    <xf numFmtId="0" fontId="128" fillId="3" borderId="62" xfId="21" applyFont="1" applyFill="1" applyBorder="1" applyAlignment="1">
      <alignment horizontal="center" vertical="center"/>
    </xf>
    <xf numFmtId="0" fontId="128" fillId="3" borderId="151" xfId="21" applyFont="1" applyFill="1" applyBorder="1" applyAlignment="1">
      <alignment horizontal="center" vertical="center"/>
    </xf>
    <xf numFmtId="0" fontId="222" fillId="2" borderId="26" xfId="21" applyFont="1" applyFill="1" applyBorder="1" applyAlignment="1" applyProtection="1">
      <alignment horizontal="center" vertical="center"/>
      <protection locked="0"/>
    </xf>
    <xf numFmtId="0" fontId="222" fillId="2" borderId="151" xfId="21" applyNumberFormat="1" applyFont="1" applyFill="1" applyBorder="1" applyAlignment="1" applyProtection="1">
      <alignment horizontal="center" vertical="center"/>
      <protection locked="0"/>
    </xf>
    <xf numFmtId="0" fontId="222" fillId="2" borderId="320" xfId="21" applyFont="1" applyFill="1" applyBorder="1" applyAlignment="1" applyProtection="1">
      <alignment horizontal="center" vertical="center"/>
      <protection locked="0"/>
    </xf>
    <xf numFmtId="0" fontId="222" fillId="2" borderId="21" xfId="21" applyFont="1" applyFill="1" applyBorder="1" applyAlignment="1" applyProtection="1">
      <alignment horizontal="center" vertical="center"/>
      <protection locked="0"/>
    </xf>
    <xf numFmtId="0" fontId="222" fillId="2" borderId="20" xfId="21" applyFont="1" applyFill="1" applyBorder="1" applyAlignment="1" applyProtection="1">
      <alignment horizontal="center" vertical="center" shrinkToFit="1"/>
      <protection locked="0"/>
    </xf>
    <xf numFmtId="0" fontId="222" fillId="2" borderId="83" xfId="21" applyFont="1" applyFill="1" applyBorder="1" applyAlignment="1" applyProtection="1">
      <alignment horizontal="center" vertical="center" shrinkToFit="1"/>
      <protection locked="0"/>
    </xf>
    <xf numFmtId="0" fontId="222" fillId="2" borderId="82" xfId="21" applyFont="1" applyFill="1" applyBorder="1" applyAlignment="1" applyProtection="1">
      <alignment horizontal="center" vertical="center"/>
      <protection locked="0"/>
    </xf>
    <xf numFmtId="0" fontId="222" fillId="2" borderId="81" xfId="21" applyFont="1" applyFill="1" applyBorder="1" applyAlignment="1" applyProtection="1">
      <alignment horizontal="center" vertical="center"/>
      <protection locked="0"/>
    </xf>
    <xf numFmtId="0" fontId="222" fillId="0" borderId="20" xfId="21" applyFont="1" applyFill="1" applyBorder="1" applyAlignment="1" applyProtection="1">
      <alignment horizontal="center" vertical="center" shrinkToFit="1"/>
    </xf>
    <xf numFmtId="0" fontId="222" fillId="0" borderId="83" xfId="21" applyFont="1" applyFill="1" applyBorder="1" applyAlignment="1" applyProtection="1">
      <alignment horizontal="center" vertical="center" shrinkToFit="1"/>
    </xf>
    <xf numFmtId="0" fontId="222" fillId="0" borderId="81" xfId="21" applyFont="1" applyFill="1" applyBorder="1" applyAlignment="1" applyProtection="1">
      <alignment horizontal="center" vertical="center"/>
    </xf>
    <xf numFmtId="0" fontId="222" fillId="0" borderId="82" xfId="21" applyFont="1" applyFill="1" applyBorder="1" applyAlignment="1" applyProtection="1">
      <alignment horizontal="center" vertical="center"/>
    </xf>
    <xf numFmtId="0" fontId="250" fillId="45" borderId="328" xfId="21" applyFont="1" applyFill="1" applyBorder="1" applyAlignment="1">
      <alignment horizontal="center" vertical="center"/>
    </xf>
    <xf numFmtId="0" fontId="250" fillId="45" borderId="219"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2" fillId="12" borderId="15" xfId="21" applyFont="1" applyFill="1" applyBorder="1" applyAlignment="1">
      <alignment horizontal="center" vertical="center"/>
    </xf>
    <xf numFmtId="0" fontId="222" fillId="12" borderId="25" xfId="21" applyFont="1" applyFill="1" applyBorder="1" applyAlignment="1">
      <alignment horizontal="center" vertical="center"/>
    </xf>
    <xf numFmtId="0" fontId="222" fillId="12" borderId="18" xfId="21" applyFont="1" applyFill="1" applyBorder="1" applyAlignment="1">
      <alignment horizontal="center" vertical="center"/>
    </xf>
    <xf numFmtId="0" fontId="222" fillId="12" borderId="7" xfId="21" applyFont="1" applyFill="1" applyBorder="1" applyAlignment="1">
      <alignment horizontal="center" vertical="center"/>
    </xf>
    <xf numFmtId="0" fontId="222" fillId="12" borderId="20" xfId="21" applyFont="1" applyFill="1" applyBorder="1" applyAlignment="1">
      <alignment horizontal="center" vertical="center"/>
    </xf>
    <xf numFmtId="0" fontId="252" fillId="20" borderId="344" xfId="0" applyFont="1" applyFill="1" applyBorder="1" applyAlignment="1">
      <alignment horizontal="center" vertical="center"/>
    </xf>
    <xf numFmtId="0" fontId="252" fillId="20" borderId="345" xfId="0" applyFont="1" applyFill="1" applyBorder="1" applyAlignment="1">
      <alignment horizontal="center" vertical="center"/>
    </xf>
    <xf numFmtId="0" fontId="254" fillId="49" borderId="334" xfId="21" applyFont="1" applyFill="1" applyBorder="1" applyAlignment="1">
      <alignment horizontal="center" vertical="center"/>
    </xf>
    <xf numFmtId="0" fontId="254" fillId="49" borderId="341" xfId="21" applyFont="1" applyFill="1" applyBorder="1" applyAlignment="1">
      <alignment horizontal="center" vertical="center"/>
    </xf>
    <xf numFmtId="0" fontId="169" fillId="0" borderId="343" xfId="0" applyFont="1" applyFill="1" applyBorder="1" applyAlignment="1">
      <alignment horizontal="center" vertical="center"/>
    </xf>
    <xf numFmtId="0" fontId="169" fillId="0" borderId="342" xfId="0" applyFont="1" applyFill="1" applyBorder="1" applyAlignment="1">
      <alignment horizontal="center" vertical="center"/>
    </xf>
    <xf numFmtId="0" fontId="169" fillId="0" borderId="335" xfId="0" applyFont="1" applyFill="1" applyBorder="1" applyAlignment="1">
      <alignment horizontal="center" vertical="center"/>
    </xf>
    <xf numFmtId="0" fontId="169" fillId="0" borderId="336" xfId="0" applyFont="1" applyFill="1" applyBorder="1" applyAlignment="1">
      <alignment horizontal="center" vertical="center"/>
    </xf>
    <xf numFmtId="176" fontId="289" fillId="0" borderId="34" xfId="0" applyNumberFormat="1" applyFont="1" applyFill="1" applyBorder="1" applyAlignment="1">
      <alignment horizontal="center"/>
    </xf>
    <xf numFmtId="176" fontId="289" fillId="0" borderId="36" xfId="0" applyNumberFormat="1" applyFont="1" applyFill="1" applyBorder="1" applyAlignment="1">
      <alignment horizontal="center"/>
    </xf>
    <xf numFmtId="176" fontId="289" fillId="0" borderId="348" xfId="0" applyNumberFormat="1" applyFont="1" applyFill="1" applyBorder="1" applyAlignment="1">
      <alignment horizontal="center"/>
    </xf>
    <xf numFmtId="176" fontId="289" fillId="0" borderId="105" xfId="0" applyNumberFormat="1" applyFont="1" applyFill="1" applyBorder="1" applyAlignment="1">
      <alignment horizontal="center"/>
    </xf>
    <xf numFmtId="0" fontId="253" fillId="37" borderId="344" xfId="0" applyFont="1" applyFill="1" applyBorder="1" applyAlignment="1">
      <alignment horizontal="center" vertical="center"/>
    </xf>
    <xf numFmtId="0" fontId="253" fillId="37" borderId="343" xfId="0" applyFont="1" applyFill="1" applyBorder="1" applyAlignment="1">
      <alignment horizontal="center" vertical="center"/>
    </xf>
    <xf numFmtId="0" fontId="253" fillId="37" borderId="345" xfId="0" applyFont="1" applyFill="1" applyBorder="1" applyAlignment="1">
      <alignment horizontal="center" vertical="center"/>
    </xf>
    <xf numFmtId="0" fontId="254" fillId="49" borderId="334" xfId="0" applyFont="1" applyFill="1" applyBorder="1" applyAlignment="1">
      <alignment horizontal="center" vertical="center"/>
    </xf>
    <xf numFmtId="0" fontId="254" fillId="49" borderId="335" xfId="0" applyFont="1" applyFill="1" applyBorder="1" applyAlignment="1">
      <alignment horizontal="center" vertical="center"/>
    </xf>
    <xf numFmtId="0" fontId="254" fillId="49" borderId="341" xfId="0" applyFont="1" applyFill="1" applyBorder="1" applyAlignment="1">
      <alignment horizontal="center" vertical="center"/>
    </xf>
    <xf numFmtId="0" fontId="181" fillId="0" borderId="309" xfId="0" applyFont="1" applyFill="1" applyBorder="1" applyAlignment="1">
      <alignment horizontal="center" vertical="center" wrapText="1"/>
    </xf>
    <xf numFmtId="0" fontId="181" fillId="0" borderId="310"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3" xfId="21" applyFont="1" applyFill="1" applyBorder="1" applyAlignment="1">
      <alignment horizontal="center" vertical="center"/>
    </xf>
    <xf numFmtId="0" fontId="138" fillId="0" borderId="324" xfId="21" applyFont="1" applyFill="1" applyBorder="1" applyAlignment="1">
      <alignment horizontal="center" vertical="center"/>
    </xf>
    <xf numFmtId="0" fontId="138" fillId="0" borderId="311" xfId="21" applyFont="1" applyFill="1" applyBorder="1" applyAlignment="1">
      <alignment horizontal="right" vertical="center"/>
    </xf>
    <xf numFmtId="0" fontId="138" fillId="0" borderId="312" xfId="21" applyFont="1" applyFill="1" applyBorder="1" applyAlignment="1">
      <alignment horizontal="right" vertical="center"/>
    </xf>
    <xf numFmtId="0" fontId="138" fillId="0" borderId="314" xfId="21" applyFont="1" applyFill="1" applyBorder="1" applyAlignment="1">
      <alignment horizontal="right" vertical="center"/>
    </xf>
    <xf numFmtId="0" fontId="138" fillId="0" borderId="145" xfId="21" applyFont="1" applyFill="1" applyBorder="1" applyAlignment="1">
      <alignment horizontal="right" vertical="center"/>
    </xf>
    <xf numFmtId="0" fontId="229" fillId="19" borderId="312" xfId="21" applyFont="1" applyFill="1" applyBorder="1" applyAlignment="1" applyProtection="1">
      <alignment horizontal="center" vertical="center"/>
      <protection locked="0"/>
    </xf>
    <xf numFmtId="0" fontId="229" fillId="19" borderId="145" xfId="21" applyFont="1" applyFill="1" applyBorder="1" applyAlignment="1" applyProtection="1">
      <alignment horizontal="center" vertical="center"/>
      <protection locked="0"/>
    </xf>
    <xf numFmtId="0" fontId="138" fillId="0" borderId="313" xfId="21" applyFont="1" applyFill="1" applyBorder="1" applyAlignment="1">
      <alignment horizontal="left" vertical="center"/>
    </xf>
    <xf numFmtId="0" fontId="138" fillId="0" borderId="315" xfId="21" applyFont="1" applyFill="1" applyBorder="1" applyAlignment="1">
      <alignment horizontal="left" vertical="center"/>
    </xf>
    <xf numFmtId="0" fontId="246" fillId="0" borderId="0" xfId="21" applyFont="1" applyBorder="1" applyAlignment="1">
      <alignment horizontal="left" vertical="center"/>
    </xf>
    <xf numFmtId="0" fontId="246" fillId="0" borderId="11" xfId="21" applyFont="1" applyBorder="1" applyAlignment="1">
      <alignment horizontal="left" vertical="center"/>
    </xf>
    <xf numFmtId="0" fontId="268" fillId="53" borderId="316" xfId="21" applyFont="1" applyFill="1" applyBorder="1" applyAlignment="1">
      <alignment horizontal="center" vertical="center" wrapText="1"/>
    </xf>
    <xf numFmtId="0" fontId="268" fillId="53" borderId="0" xfId="21" applyFont="1" applyFill="1" applyAlignment="1">
      <alignment horizontal="center" vertical="center" wrapText="1"/>
    </xf>
    <xf numFmtId="0" fontId="292" fillId="0" borderId="0" xfId="21" applyFont="1" applyAlignment="1">
      <alignment horizontal="center" vertical="center"/>
    </xf>
    <xf numFmtId="0" fontId="293" fillId="0" borderId="0" xfId="21" applyFont="1" applyBorder="1" applyAlignment="1">
      <alignment horizontal="center" vertical="center"/>
    </xf>
    <xf numFmtId="186" fontId="14" fillId="0" borderId="443" xfId="21" applyNumberFormat="1" applyFont="1" applyFill="1" applyBorder="1" applyAlignment="1" applyProtection="1">
      <alignment horizontal="center" vertical="center" shrinkToFit="1"/>
    </xf>
    <xf numFmtId="186" fontId="14" fillId="0" borderId="444" xfId="21" applyNumberFormat="1" applyFont="1" applyFill="1" applyBorder="1" applyAlignment="1" applyProtection="1">
      <alignment horizontal="center" vertical="center" shrinkToFit="1"/>
    </xf>
    <xf numFmtId="186" fontId="14" fillId="0" borderId="445" xfId="21" applyNumberFormat="1" applyFont="1" applyFill="1" applyBorder="1" applyAlignment="1" applyProtection="1">
      <alignment horizontal="center" vertical="center" shrinkToFit="1"/>
    </xf>
    <xf numFmtId="0" fontId="222" fillId="0" borderId="0" xfId="0" applyFont="1" applyBorder="1" applyAlignment="1" applyProtection="1">
      <alignment horizontal="left" vertical="center" wrapText="1"/>
    </xf>
    <xf numFmtId="0" fontId="354" fillId="2" borderId="0" xfId="21" applyFont="1" applyFill="1" applyBorder="1" applyAlignment="1" applyProtection="1">
      <alignment horizontal="center" vertical="center" shrinkToFit="1"/>
      <protection locked="0"/>
    </xf>
    <xf numFmtId="0" fontId="354" fillId="0" borderId="0" xfId="21" applyFont="1" applyFill="1" applyBorder="1" applyAlignment="1" applyProtection="1">
      <alignment horizontal="center" vertical="center" shrinkToFit="1"/>
    </xf>
    <xf numFmtId="0" fontId="354" fillId="11" borderId="0" xfId="21" applyFont="1" applyFill="1" applyBorder="1" applyAlignment="1" applyProtection="1">
      <alignment horizontal="center" vertical="center" shrinkToFit="1"/>
      <protection locked="0"/>
    </xf>
    <xf numFmtId="0" fontId="355" fillId="0" borderId="0" xfId="21" applyFont="1" applyBorder="1" applyAlignment="1" applyProtection="1">
      <alignment horizontal="right" vertical="center"/>
    </xf>
    <xf numFmtId="0" fontId="354" fillId="0" borderId="0" xfId="21" applyFont="1" applyBorder="1" applyAlignment="1" applyProtection="1">
      <alignment horizontal="center" vertical="center" shrinkToFit="1"/>
    </xf>
    <xf numFmtId="0" fontId="222" fillId="2" borderId="0" xfId="21" applyFont="1" applyFill="1" applyBorder="1" applyAlignment="1" applyProtection="1">
      <alignment horizontal="center" vertical="center" wrapText="1" shrinkToFit="1"/>
      <protection locked="0"/>
    </xf>
    <xf numFmtId="0" fontId="354" fillId="2" borderId="0" xfId="0" applyFont="1" applyFill="1" applyBorder="1" applyAlignment="1" applyProtection="1">
      <alignment horizontal="center" vertical="center" shrinkToFit="1"/>
      <protection locked="0"/>
    </xf>
    <xf numFmtId="0" fontId="354" fillId="0" borderId="0" xfId="0" applyFont="1" applyFill="1" applyBorder="1" applyAlignment="1" applyProtection="1">
      <alignment horizontal="center" vertical="center" shrinkToFit="1"/>
    </xf>
    <xf numFmtId="0" fontId="354" fillId="11" borderId="0" xfId="21" applyFont="1" applyFill="1" applyBorder="1" applyAlignment="1" applyProtection="1">
      <alignment horizontal="center" vertical="center" shrinkToFit="1"/>
    </xf>
    <xf numFmtId="0" fontId="354" fillId="2" borderId="0" xfId="0" applyFont="1" applyFill="1" applyBorder="1" applyAlignment="1" applyProtection="1">
      <alignment horizontal="center" vertical="center" shrinkToFit="1"/>
    </xf>
    <xf numFmtId="0" fontId="354" fillId="2" borderId="0" xfId="0" applyFont="1" applyFill="1" applyBorder="1" applyAlignment="1">
      <alignment horizontal="center" vertical="center" shrinkToFit="1"/>
    </xf>
    <xf numFmtId="0" fontId="354" fillId="11" borderId="0" xfId="0" applyFont="1" applyFill="1" applyBorder="1" applyAlignment="1" applyProtection="1">
      <alignment horizontal="center" vertical="center" shrinkToFit="1"/>
    </xf>
    <xf numFmtId="0" fontId="354" fillId="0" borderId="0" xfId="21" applyFont="1" applyBorder="1" applyAlignment="1" applyProtection="1">
      <alignment horizontal="center" vertical="center" textRotation="255" shrinkToFit="1"/>
    </xf>
    <xf numFmtId="0" fontId="225" fillId="0" borderId="0" xfId="21" applyFont="1" applyBorder="1" applyAlignment="1" applyProtection="1">
      <alignment horizontal="distributed" vertical="center" wrapText="1" shrinkToFit="1"/>
    </xf>
    <xf numFmtId="0" fontId="354" fillId="0" borderId="0" xfId="0" applyFont="1" applyBorder="1" applyAlignment="1" applyProtection="1">
      <alignment horizontal="center" vertical="center" shrinkToFit="1"/>
    </xf>
    <xf numFmtId="0" fontId="354" fillId="11" borderId="0" xfId="0" applyFont="1" applyFill="1" applyBorder="1" applyAlignment="1">
      <alignment horizontal="center" vertical="center" shrinkToFit="1"/>
    </xf>
    <xf numFmtId="0" fontId="354" fillId="2" borderId="0" xfId="21" applyFont="1" applyFill="1" applyBorder="1" applyAlignment="1" applyProtection="1">
      <alignment horizontal="center" vertical="center" wrapText="1" shrinkToFit="1"/>
      <protection locked="0"/>
    </xf>
    <xf numFmtId="0" fontId="354" fillId="2" borderId="0" xfId="0" applyFont="1" applyFill="1" applyBorder="1" applyAlignment="1" applyProtection="1">
      <alignment horizontal="center" vertical="center" wrapText="1" shrinkToFit="1"/>
      <protection locked="0"/>
    </xf>
    <xf numFmtId="0" fontId="222" fillId="0" borderId="0" xfId="21" applyFont="1" applyBorder="1" applyAlignment="1" applyProtection="1">
      <alignment horizontal="center" vertical="center"/>
    </xf>
    <xf numFmtId="0" fontId="115" fillId="0" borderId="0" xfId="21" applyFont="1" applyBorder="1" applyAlignment="1" applyProtection="1">
      <alignment horizontal="center" vertical="center" shrinkToFit="1"/>
    </xf>
    <xf numFmtId="0" fontId="354" fillId="0" borderId="0" xfId="21" applyFont="1" applyBorder="1" applyAlignment="1" applyProtection="1">
      <alignment horizontal="center" vertical="distributed" textRotation="255" shrinkToFit="1"/>
    </xf>
    <xf numFmtId="0" fontId="222" fillId="0" borderId="0" xfId="21" applyFont="1" applyBorder="1" applyAlignment="1" applyProtection="1">
      <alignment horizontal="center" vertical="center" shrinkToFit="1"/>
    </xf>
    <xf numFmtId="0" fontId="354" fillId="0" borderId="0" xfId="21" applyFont="1" applyBorder="1" applyAlignment="1">
      <alignment horizontal="center" vertical="center" shrinkToFit="1"/>
    </xf>
    <xf numFmtId="0" fontId="354" fillId="2" borderId="0" xfId="21" applyFont="1" applyFill="1" applyBorder="1" applyAlignment="1">
      <alignment horizontal="center" vertical="center" shrinkToFit="1"/>
    </xf>
    <xf numFmtId="0" fontId="354" fillId="2" borderId="0" xfId="21" applyFont="1" applyFill="1" applyBorder="1" applyAlignment="1" applyProtection="1">
      <alignment horizontal="center" vertical="center" shrinkToFit="1"/>
    </xf>
    <xf numFmtId="0" fontId="390" fillId="0" borderId="0" xfId="21" applyFont="1" applyBorder="1" applyAlignment="1" applyProtection="1">
      <alignment horizontal="center" vertical="center" textRotation="255"/>
    </xf>
    <xf numFmtId="0" fontId="222" fillId="0" borderId="0" xfId="21" applyFont="1" applyBorder="1" applyAlignment="1" applyProtection="1">
      <alignment horizontal="center" vertical="center" wrapText="1" shrinkToFit="1"/>
    </xf>
    <xf numFmtId="0" fontId="355" fillId="0" borderId="0" xfId="21" applyFont="1" applyFill="1" applyBorder="1" applyAlignment="1" applyProtection="1">
      <alignment horizontal="center" vertical="center" shrinkToFit="1"/>
    </xf>
    <xf numFmtId="49" fontId="222" fillId="0" borderId="0" xfId="21" applyNumberFormat="1" applyFont="1" applyBorder="1" applyAlignment="1" applyProtection="1">
      <alignment horizontal="center" vertical="center" shrinkToFit="1"/>
    </xf>
    <xf numFmtId="0" fontId="222" fillId="0" borderId="0" xfId="21" applyFont="1" applyBorder="1" applyAlignment="1" applyProtection="1">
      <alignment horizontal="left" vertical="center"/>
    </xf>
    <xf numFmtId="49" fontId="222" fillId="0" borderId="0" xfId="21" applyNumberFormat="1" applyFont="1" applyBorder="1" applyAlignment="1" applyProtection="1">
      <alignment horizontal="center" vertical="center"/>
    </xf>
    <xf numFmtId="176" fontId="352" fillId="11" borderId="0" xfId="21" applyNumberFormat="1" applyFont="1" applyFill="1" applyBorder="1" applyAlignment="1" applyProtection="1">
      <alignment horizontal="center" vertical="center" shrinkToFit="1"/>
    </xf>
    <xf numFmtId="176" fontId="352" fillId="0" borderId="0" xfId="21" applyNumberFormat="1" applyFont="1" applyBorder="1" applyAlignment="1" applyProtection="1">
      <alignment horizontal="center" vertical="center" shrinkToFit="1"/>
    </xf>
    <xf numFmtId="176" fontId="352" fillId="0" borderId="0" xfId="21" applyNumberFormat="1" applyFont="1" applyBorder="1" applyAlignment="1" applyProtection="1">
      <alignment horizontal="center" vertical="top" shrinkToFit="1"/>
    </xf>
    <xf numFmtId="0" fontId="352" fillId="0" borderId="0" xfId="21" applyFont="1" applyBorder="1" applyAlignment="1" applyProtection="1">
      <alignment horizontal="center" vertical="center" wrapText="1" shrinkToFit="1"/>
    </xf>
    <xf numFmtId="0" fontId="352" fillId="0" borderId="0" xfId="21" applyFont="1" applyBorder="1" applyAlignment="1" applyProtection="1">
      <alignment horizontal="center" vertical="center" shrinkToFit="1"/>
    </xf>
    <xf numFmtId="176" fontId="354" fillId="0" borderId="0" xfId="21" applyNumberFormat="1" applyFont="1" applyBorder="1" applyAlignment="1" applyProtection="1">
      <alignment horizontal="left" vertical="top" shrinkToFit="1"/>
    </xf>
    <xf numFmtId="0" fontId="352" fillId="0" borderId="0" xfId="0" applyFont="1" applyBorder="1" applyAlignment="1" applyProtection="1">
      <alignment horizontal="center" vertical="center" shrinkToFit="1"/>
    </xf>
    <xf numFmtId="198" fontId="352" fillId="0" borderId="0" xfId="21" applyNumberFormat="1" applyFont="1" applyBorder="1" applyAlignment="1" applyProtection="1">
      <alignment horizontal="center" vertical="center" shrinkToFit="1"/>
    </xf>
    <xf numFmtId="0" fontId="352" fillId="0" borderId="0" xfId="21" applyNumberFormat="1" applyFont="1" applyBorder="1" applyAlignment="1" applyProtection="1">
      <alignment horizontal="center" vertical="center" shrinkToFit="1"/>
    </xf>
    <xf numFmtId="198" fontId="352" fillId="2" borderId="0" xfId="21" applyNumberFormat="1" applyFont="1" applyFill="1" applyBorder="1" applyAlignment="1" applyProtection="1">
      <alignment horizontal="center" vertical="center" shrinkToFit="1"/>
      <protection locked="0"/>
    </xf>
    <xf numFmtId="199" fontId="352" fillId="2" borderId="0" xfId="21" applyNumberFormat="1" applyFont="1" applyFill="1" applyBorder="1" applyAlignment="1" applyProtection="1">
      <alignment horizontal="center" vertical="center" shrinkToFit="1"/>
      <protection locked="0"/>
    </xf>
    <xf numFmtId="0" fontId="216" fillId="0" borderId="0" xfId="21" applyFont="1" applyBorder="1" applyAlignment="1" applyProtection="1">
      <alignment horizontal="left" vertical="center"/>
    </xf>
    <xf numFmtId="0" fontId="3" fillId="0" borderId="0" xfId="0" applyFont="1" applyBorder="1" applyAlignment="1" applyProtection="1">
      <alignment horizontal="center" shrinkToFit="1"/>
    </xf>
    <xf numFmtId="176" fontId="352" fillId="0" borderId="0" xfId="21" applyNumberFormat="1" applyFont="1" applyBorder="1" applyAlignment="1" applyProtection="1">
      <alignment horizontal="center" shrinkToFit="1"/>
    </xf>
    <xf numFmtId="176" fontId="352" fillId="0" borderId="0" xfId="21" applyNumberFormat="1" applyFont="1" applyBorder="1" applyAlignment="1" applyProtection="1">
      <alignment horizontal="right" vertical="center" shrinkToFit="1"/>
    </xf>
    <xf numFmtId="176" fontId="352" fillId="2" borderId="0" xfId="21" applyNumberFormat="1" applyFont="1" applyFill="1" applyBorder="1" applyAlignment="1" applyProtection="1">
      <alignment horizontal="center" vertical="center" shrinkToFit="1"/>
      <protection locked="0"/>
    </xf>
    <xf numFmtId="49" fontId="352" fillId="11" borderId="0" xfId="21" applyNumberFormat="1" applyFont="1" applyFill="1" applyBorder="1" applyAlignment="1" applyProtection="1">
      <alignment horizontal="center" vertical="center" shrinkToFit="1"/>
    </xf>
    <xf numFmtId="183" fontId="352" fillId="11" borderId="0" xfId="21" applyNumberFormat="1" applyFont="1" applyFill="1" applyBorder="1" applyAlignment="1" applyProtection="1">
      <alignment horizontal="center" vertical="center" shrinkToFit="1"/>
    </xf>
    <xf numFmtId="184" fontId="352" fillId="11" borderId="0" xfId="21" applyNumberFormat="1" applyFont="1" applyFill="1" applyBorder="1" applyAlignment="1" applyProtection="1">
      <alignment horizontal="center" vertical="center" shrinkToFit="1"/>
    </xf>
    <xf numFmtId="0" fontId="274" fillId="53" borderId="38" xfId="0" applyFont="1" applyFill="1" applyBorder="1" applyAlignment="1">
      <alignment horizontal="center" vertical="center"/>
    </xf>
    <xf numFmtId="0" fontId="274" fillId="53" borderId="458" xfId="0" applyFont="1" applyFill="1" applyBorder="1" applyAlignment="1">
      <alignment horizontal="center" vertical="center"/>
    </xf>
    <xf numFmtId="199" fontId="352" fillId="2" borderId="7" xfId="21" applyNumberFormat="1" applyFont="1" applyFill="1" applyBorder="1" applyAlignment="1" applyProtection="1">
      <alignment horizontal="center" vertical="center" shrinkToFit="1"/>
      <protection locked="0"/>
    </xf>
    <xf numFmtId="199" fontId="352" fillId="2" borderId="1" xfId="21" applyNumberFormat="1" applyFont="1" applyFill="1" applyBorder="1" applyAlignment="1" applyProtection="1">
      <alignment horizontal="center" vertical="center" shrinkToFit="1"/>
      <protection locked="0"/>
    </xf>
    <xf numFmtId="199" fontId="352" fillId="2" borderId="9" xfId="21" applyNumberFormat="1" applyFont="1" applyFill="1" applyBorder="1" applyAlignment="1" applyProtection="1">
      <alignment horizontal="center" vertical="center" shrinkToFit="1"/>
      <protection locked="0"/>
    </xf>
    <xf numFmtId="176" fontId="352" fillId="11" borderId="1" xfId="21" applyNumberFormat="1" applyFont="1" applyFill="1" applyBorder="1" applyAlignment="1" applyProtection="1">
      <alignment horizontal="center" vertical="center" shrinkToFit="1"/>
    </xf>
    <xf numFmtId="183" fontId="352" fillId="11" borderId="1" xfId="21" applyNumberFormat="1" applyFont="1" applyFill="1" applyBorder="1" applyAlignment="1" applyProtection="1">
      <alignment horizontal="center" vertical="center" shrinkToFit="1"/>
    </xf>
    <xf numFmtId="184" fontId="352" fillId="11" borderId="1" xfId="21" applyNumberFormat="1" applyFont="1" applyFill="1" applyBorder="1" applyAlignment="1" applyProtection="1">
      <alignment horizontal="center" vertical="center" shrinkToFit="1"/>
    </xf>
    <xf numFmtId="176" fontId="354" fillId="0" borderId="3" xfId="21" applyNumberFormat="1" applyFont="1" applyBorder="1" applyAlignment="1" applyProtection="1">
      <alignment horizontal="left" vertical="top" shrinkToFit="1"/>
    </xf>
    <xf numFmtId="176" fontId="354" fillId="0" borderId="4" xfId="21" applyNumberFormat="1" applyFont="1" applyBorder="1" applyAlignment="1" applyProtection="1">
      <alignment horizontal="left" vertical="top" shrinkToFit="1"/>
    </xf>
    <xf numFmtId="176" fontId="354" fillId="0" borderId="5" xfId="21" applyNumberFormat="1" applyFont="1" applyBorder="1" applyAlignment="1" applyProtection="1">
      <alignment horizontal="left" vertical="top" shrinkToFit="1"/>
    </xf>
    <xf numFmtId="198" fontId="352" fillId="0" borderId="6" xfId="21" applyNumberFormat="1" applyFont="1" applyBorder="1" applyAlignment="1" applyProtection="1">
      <alignment horizontal="center" vertical="center" shrinkToFit="1"/>
    </xf>
    <xf numFmtId="198" fontId="352" fillId="0" borderId="8" xfId="21" applyNumberFormat="1" applyFont="1" applyBorder="1" applyAlignment="1" applyProtection="1">
      <alignment horizontal="center" vertical="center" shrinkToFit="1"/>
    </xf>
    <xf numFmtId="198" fontId="352" fillId="0" borderId="1" xfId="21" applyNumberFormat="1" applyFont="1" applyBorder="1" applyAlignment="1" applyProtection="1">
      <alignment horizontal="center" vertical="center" shrinkToFit="1"/>
    </xf>
    <xf numFmtId="176" fontId="352" fillId="0" borderId="1" xfId="21" applyNumberFormat="1" applyFont="1" applyBorder="1" applyAlignment="1" applyProtection="1">
      <alignment horizontal="center" vertical="center" shrinkToFit="1"/>
    </xf>
    <xf numFmtId="0" fontId="352" fillId="0" borderId="1" xfId="21" applyNumberFormat="1" applyFont="1" applyBorder="1" applyAlignment="1" applyProtection="1">
      <alignment horizontal="center" vertical="center" shrinkToFit="1"/>
    </xf>
    <xf numFmtId="0" fontId="352" fillId="0" borderId="7" xfId="21" applyNumberFormat="1" applyFont="1" applyBorder="1" applyAlignment="1" applyProtection="1">
      <alignment horizontal="center" vertical="center" shrinkToFit="1"/>
    </xf>
    <xf numFmtId="0" fontId="352" fillId="0" borderId="9" xfId="21" applyNumberFormat="1" applyFont="1" applyBorder="1" applyAlignment="1" applyProtection="1">
      <alignment horizontal="center" vertical="center" shrinkToFit="1"/>
    </xf>
    <xf numFmtId="198" fontId="352" fillId="2" borderId="6" xfId="21" applyNumberFormat="1" applyFont="1" applyFill="1" applyBorder="1" applyAlignment="1" applyProtection="1">
      <alignment horizontal="center" vertical="center" shrinkToFit="1"/>
      <protection locked="0"/>
    </xf>
    <xf numFmtId="198" fontId="352" fillId="2" borderId="8" xfId="21" applyNumberFormat="1" applyFont="1" applyFill="1" applyBorder="1" applyAlignment="1" applyProtection="1">
      <alignment horizontal="center" vertical="center" shrinkToFit="1"/>
      <protection locked="0"/>
    </xf>
    <xf numFmtId="198" fontId="352"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16" fillId="0" borderId="1" xfId="21" applyFont="1" applyBorder="1" applyAlignment="1" applyProtection="1">
      <alignment horizontal="left" vertical="center"/>
    </xf>
    <xf numFmtId="0" fontId="273" fillId="51" borderId="447" xfId="0" applyFont="1" applyFill="1" applyBorder="1" applyAlignment="1">
      <alignment horizontal="center" vertical="center" wrapText="1"/>
    </xf>
    <xf numFmtId="0" fontId="273" fillId="51" borderId="448" xfId="0" applyFont="1" applyFill="1" applyBorder="1" applyAlignment="1">
      <alignment horizontal="center" vertical="center" wrapText="1"/>
    </xf>
    <xf numFmtId="0" fontId="273" fillId="51" borderId="449" xfId="0" applyFont="1" applyFill="1" applyBorder="1" applyAlignment="1">
      <alignment horizontal="center" vertical="center" wrapText="1"/>
    </xf>
    <xf numFmtId="0" fontId="273" fillId="51" borderId="450" xfId="0" applyFont="1" applyFill="1" applyBorder="1" applyAlignment="1">
      <alignment horizontal="center" vertical="center" wrapText="1"/>
    </xf>
    <xf numFmtId="0" fontId="273" fillId="51" borderId="451" xfId="0" applyFont="1" applyFill="1" applyBorder="1" applyAlignment="1">
      <alignment horizontal="center" vertical="center" wrapText="1"/>
    </xf>
    <xf numFmtId="0" fontId="273" fillId="51" borderId="452" xfId="0" applyFont="1" applyFill="1" applyBorder="1" applyAlignment="1">
      <alignment horizontal="center" vertical="center" wrapText="1"/>
    </xf>
    <xf numFmtId="0" fontId="354" fillId="11" borderId="77" xfId="21" applyFont="1" applyFill="1" applyBorder="1" applyAlignment="1" applyProtection="1">
      <alignment horizontal="center" vertical="center" shrinkToFit="1"/>
    </xf>
    <xf numFmtId="0" fontId="354" fillId="11" borderId="76" xfId="21" applyFont="1" applyFill="1" applyBorder="1" applyAlignment="1" applyProtection="1">
      <alignment horizontal="center" vertical="center" shrinkToFit="1"/>
    </xf>
    <xf numFmtId="0" fontId="354" fillId="11" borderId="8" xfId="21" applyFont="1" applyFill="1" applyBorder="1" applyAlignment="1" applyProtection="1">
      <alignment horizontal="center" vertical="center" shrinkToFit="1"/>
    </xf>
    <xf numFmtId="0" fontId="354" fillId="11" borderId="9" xfId="21" applyFont="1" applyFill="1" applyBorder="1" applyAlignment="1" applyProtection="1">
      <alignment horizontal="center" vertical="center" shrinkToFit="1"/>
    </xf>
    <xf numFmtId="0" fontId="354" fillId="0" borderId="77" xfId="21" applyFont="1" applyFill="1" applyBorder="1" applyAlignment="1" applyProtection="1">
      <alignment horizontal="center" vertical="center" shrinkToFit="1"/>
    </xf>
    <xf numFmtId="0" fontId="354" fillId="0" borderId="76" xfId="21" applyFont="1" applyFill="1" applyBorder="1" applyAlignment="1" applyProtection="1">
      <alignment horizontal="center" vertical="center" shrinkToFit="1"/>
    </xf>
    <xf numFmtId="0" fontId="354" fillId="0" borderId="8" xfId="21" applyFont="1" applyFill="1" applyBorder="1" applyAlignment="1" applyProtection="1">
      <alignment horizontal="center" vertical="center" shrinkToFit="1"/>
    </xf>
    <xf numFmtId="0" fontId="354" fillId="0" borderId="9" xfId="21" applyFont="1" applyFill="1" applyBorder="1" applyAlignment="1" applyProtection="1">
      <alignment horizontal="center" vertical="center" shrinkToFit="1"/>
    </xf>
    <xf numFmtId="0" fontId="354" fillId="2" borderId="8" xfId="21" applyFont="1" applyFill="1" applyBorder="1" applyAlignment="1" applyProtection="1">
      <alignment horizontal="center" vertical="center" shrinkToFit="1"/>
      <protection locked="0"/>
    </xf>
    <xf numFmtId="0" fontId="354" fillId="2" borderId="1" xfId="21" applyFont="1" applyFill="1" applyBorder="1" applyAlignment="1" applyProtection="1">
      <alignment horizontal="center" vertical="center" shrinkToFit="1"/>
      <protection locked="0"/>
    </xf>
    <xf numFmtId="0" fontId="354" fillId="2" borderId="9" xfId="21" applyFont="1" applyFill="1" applyBorder="1" applyAlignment="1" applyProtection="1">
      <alignment horizontal="center" vertical="center" shrinkToFit="1"/>
      <protection locked="0"/>
    </xf>
    <xf numFmtId="0" fontId="354" fillId="2" borderId="3" xfId="21" applyFont="1" applyFill="1" applyBorder="1" applyAlignment="1" applyProtection="1">
      <alignment horizontal="center" vertical="center" shrinkToFit="1"/>
      <protection locked="0"/>
    </xf>
    <xf numFmtId="0" fontId="354" fillId="2" borderId="5" xfId="21" applyFont="1" applyFill="1" applyBorder="1" applyAlignment="1" applyProtection="1">
      <alignment horizontal="center" vertical="center" shrinkToFit="1"/>
      <protection locked="0"/>
    </xf>
    <xf numFmtId="0" fontId="354" fillId="2" borderId="6" xfId="21" applyFont="1" applyFill="1" applyBorder="1" applyAlignment="1" applyProtection="1">
      <alignment horizontal="center" vertical="center" shrinkToFit="1"/>
      <protection locked="0"/>
    </xf>
    <xf numFmtId="0" fontId="354" fillId="2" borderId="7" xfId="21" applyFont="1" applyFill="1" applyBorder="1" applyAlignment="1" applyProtection="1">
      <alignment horizontal="center" vertical="center" shrinkToFit="1"/>
      <protection locked="0"/>
    </xf>
    <xf numFmtId="0" fontId="354" fillId="0" borderId="3" xfId="21" applyFont="1" applyBorder="1" applyAlignment="1" applyProtection="1">
      <alignment horizontal="center" vertical="center" shrinkToFit="1"/>
    </xf>
    <xf numFmtId="0" fontId="354" fillId="0" borderId="5" xfId="21" applyFont="1" applyBorder="1" applyAlignment="1" applyProtection="1">
      <alignment horizontal="center" vertical="center" shrinkToFit="1"/>
    </xf>
    <xf numFmtId="0" fontId="354" fillId="0" borderId="6" xfId="21" applyFont="1" applyBorder="1" applyAlignment="1" applyProtection="1">
      <alignment horizontal="center" vertical="center" shrinkToFit="1"/>
    </xf>
    <xf numFmtId="0" fontId="354" fillId="0" borderId="7" xfId="21" applyFont="1" applyBorder="1" applyAlignment="1" applyProtection="1">
      <alignment horizontal="center" vertical="center" shrinkToFit="1"/>
    </xf>
    <xf numFmtId="0" fontId="354" fillId="2" borderId="3" xfId="0" applyFont="1" applyFill="1" applyBorder="1" applyAlignment="1" applyProtection="1">
      <alignment horizontal="center" vertical="center" shrinkToFit="1"/>
      <protection locked="0"/>
    </xf>
    <xf numFmtId="0" fontId="354" fillId="2" borderId="5" xfId="0" applyFont="1" applyFill="1" applyBorder="1" applyAlignment="1" applyProtection="1">
      <alignment horizontal="center" vertical="center" shrinkToFit="1"/>
      <protection locked="0"/>
    </xf>
    <xf numFmtId="0" fontId="354" fillId="2" borderId="6" xfId="0" applyFont="1" applyFill="1" applyBorder="1" applyAlignment="1" applyProtection="1">
      <alignment horizontal="center" vertical="center" shrinkToFit="1"/>
      <protection locked="0"/>
    </xf>
    <xf numFmtId="0" fontId="354" fillId="2" borderId="7" xfId="0" applyFont="1" applyFill="1" applyBorder="1" applyAlignment="1" applyProtection="1">
      <alignment horizontal="center" vertical="center" shrinkToFit="1"/>
      <protection locked="0"/>
    </xf>
    <xf numFmtId="0" fontId="354" fillId="0" borderId="3" xfId="0" applyFont="1" applyFill="1" applyBorder="1" applyAlignment="1" applyProtection="1">
      <alignment horizontal="center" vertical="center" shrinkToFit="1"/>
    </xf>
    <xf numFmtId="0" fontId="354" fillId="0" borderId="4" xfId="0" applyFont="1" applyFill="1" applyBorder="1" applyAlignment="1" applyProtection="1">
      <alignment horizontal="center" vertical="center" shrinkToFit="1"/>
    </xf>
    <xf numFmtId="0" fontId="354" fillId="0" borderId="6" xfId="0" applyFont="1" applyFill="1" applyBorder="1" applyAlignment="1" applyProtection="1">
      <alignment horizontal="center" vertical="center" shrinkToFit="1"/>
    </xf>
    <xf numFmtId="0" fontId="222" fillId="2" borderId="3" xfId="21" applyFont="1" applyFill="1" applyBorder="1" applyAlignment="1" applyProtection="1">
      <alignment horizontal="center" vertical="center" wrapText="1" shrinkToFit="1"/>
      <protection locked="0"/>
    </xf>
    <xf numFmtId="0" fontId="222" fillId="2" borderId="6" xfId="21" applyFont="1" applyFill="1" applyBorder="1" applyAlignment="1" applyProtection="1">
      <alignment horizontal="center" vertical="center" wrapText="1" shrinkToFit="1"/>
      <protection locked="0"/>
    </xf>
    <xf numFmtId="0" fontId="222" fillId="2" borderId="203" xfId="21" applyFont="1" applyFill="1" applyBorder="1" applyAlignment="1" applyProtection="1">
      <alignment horizontal="center" vertical="center" wrapText="1" shrinkToFit="1"/>
      <protection locked="0"/>
    </xf>
    <xf numFmtId="0" fontId="222" fillId="2" borderId="61" xfId="21" applyFont="1" applyFill="1" applyBorder="1" applyAlignment="1" applyProtection="1">
      <alignment horizontal="center" vertical="center" wrapText="1" shrinkToFit="1"/>
      <protection locked="0"/>
    </xf>
    <xf numFmtId="0" fontId="222" fillId="2" borderId="62" xfId="21" applyFont="1" applyFill="1" applyBorder="1" applyAlignment="1" applyProtection="1">
      <alignment horizontal="center" vertical="center" wrapText="1" shrinkToFit="1"/>
      <protection locked="0"/>
    </xf>
    <xf numFmtId="0" fontId="222" fillId="2" borderId="69" xfId="21" applyFont="1" applyFill="1" applyBorder="1" applyAlignment="1" applyProtection="1">
      <alignment horizontal="center" vertical="center" wrapText="1" shrinkToFit="1"/>
      <protection locked="0"/>
    </xf>
    <xf numFmtId="0" fontId="354" fillId="2" borderId="4" xfId="0" applyFont="1" applyFill="1" applyBorder="1" applyAlignment="1" applyProtection="1">
      <alignment horizontal="center" vertical="center" shrinkToFit="1"/>
      <protection locked="0"/>
    </xf>
    <xf numFmtId="0" fontId="354" fillId="2" borderId="156" xfId="0" applyFont="1" applyFill="1" applyBorder="1" applyAlignment="1" applyProtection="1">
      <alignment horizontal="center" vertical="center" shrinkToFit="1"/>
      <protection locked="0"/>
    </xf>
    <xf numFmtId="0" fontId="354" fillId="2" borderId="77" xfId="21" applyFont="1" applyFill="1" applyBorder="1" applyAlignment="1" applyProtection="1">
      <alignment horizontal="center" vertical="center" shrinkToFit="1"/>
      <protection locked="0"/>
    </xf>
    <xf numFmtId="0" fontId="354" fillId="2" borderId="78" xfId="21" applyFont="1" applyFill="1" applyBorder="1" applyAlignment="1" applyProtection="1">
      <alignment horizontal="center" vertical="center" shrinkToFit="1"/>
      <protection locked="0"/>
    </xf>
    <xf numFmtId="0" fontId="354" fillId="2" borderId="76" xfId="21" applyFont="1" applyFill="1" applyBorder="1" applyAlignment="1" applyProtection="1">
      <alignment horizontal="center" vertical="center" shrinkToFit="1"/>
      <protection locked="0"/>
    </xf>
    <xf numFmtId="0" fontId="354" fillId="2" borderId="3" xfId="21" applyFont="1" applyFill="1" applyBorder="1" applyAlignment="1" applyProtection="1">
      <alignment horizontal="center" vertical="center" wrapText="1" shrinkToFit="1"/>
      <protection locked="0"/>
    </xf>
    <xf numFmtId="0" fontId="354" fillId="2" borderId="4" xfId="21" applyFont="1" applyFill="1" applyBorder="1" applyAlignment="1" applyProtection="1">
      <alignment horizontal="center" vertical="center" wrapText="1" shrinkToFit="1"/>
      <protection locked="0"/>
    </xf>
    <xf numFmtId="0" fontId="354" fillId="2" borderId="5" xfId="21" applyFont="1" applyFill="1" applyBorder="1" applyAlignment="1" applyProtection="1">
      <alignment horizontal="center" vertical="center" wrapText="1" shrinkToFit="1"/>
      <protection locked="0"/>
    </xf>
    <xf numFmtId="0" fontId="354" fillId="2" borderId="6" xfId="21" applyFont="1" applyFill="1" applyBorder="1" applyAlignment="1" applyProtection="1">
      <alignment horizontal="center" vertical="center" wrapText="1" shrinkToFit="1"/>
      <protection locked="0"/>
    </xf>
    <xf numFmtId="0" fontId="354" fillId="2" borderId="7" xfId="21" applyFont="1" applyFill="1" applyBorder="1" applyAlignment="1" applyProtection="1">
      <alignment horizontal="center" vertical="center" wrapText="1" shrinkToFit="1"/>
      <protection locked="0"/>
    </xf>
    <xf numFmtId="0" fontId="354" fillId="2" borderId="203" xfId="21" applyFont="1" applyFill="1" applyBorder="1" applyAlignment="1" applyProtection="1">
      <alignment horizontal="center" vertical="center" wrapText="1" shrinkToFit="1"/>
      <protection locked="0"/>
    </xf>
    <xf numFmtId="0" fontId="354" fillId="2" borderId="156" xfId="21" applyFont="1" applyFill="1" applyBorder="1" applyAlignment="1" applyProtection="1">
      <alignment horizontal="center" vertical="center" wrapText="1" shrinkToFit="1"/>
      <protection locked="0"/>
    </xf>
    <xf numFmtId="0" fontId="354" fillId="2" borderId="205" xfId="21" applyFont="1" applyFill="1" applyBorder="1" applyAlignment="1" applyProtection="1">
      <alignment horizontal="center" vertical="center" wrapText="1" shrinkToFit="1"/>
      <protection locked="0"/>
    </xf>
    <xf numFmtId="0" fontId="222" fillId="0" borderId="4" xfId="21" applyFont="1" applyBorder="1" applyAlignment="1" applyProtection="1">
      <alignment horizontal="center" vertical="center"/>
    </xf>
    <xf numFmtId="0" fontId="354" fillId="0" borderId="77" xfId="0" applyFont="1" applyBorder="1" applyAlignment="1" applyProtection="1">
      <alignment horizontal="center" vertical="center" shrinkToFit="1"/>
    </xf>
    <xf numFmtId="0" fontId="354" fillId="0" borderId="76" xfId="0" applyFont="1" applyBorder="1" applyAlignment="1" applyProtection="1">
      <alignment horizontal="center" vertical="center" shrinkToFit="1"/>
    </xf>
    <xf numFmtId="0" fontId="354" fillId="0" borderId="8" xfId="0" applyFont="1" applyBorder="1" applyAlignment="1" applyProtection="1">
      <alignment horizontal="center" vertical="center" shrinkToFit="1"/>
    </xf>
    <xf numFmtId="0" fontId="354" fillId="0" borderId="9" xfId="0" applyFont="1" applyBorder="1" applyAlignment="1" applyProtection="1">
      <alignment horizontal="center" vertical="center" shrinkToFit="1"/>
    </xf>
    <xf numFmtId="0" fontId="354" fillId="0" borderId="1" xfId="0" applyFont="1" applyBorder="1" applyAlignment="1" applyProtection="1">
      <alignment horizontal="center" vertical="center" shrinkToFit="1"/>
    </xf>
    <xf numFmtId="0" fontId="354" fillId="11" borderId="8" xfId="21" applyFont="1" applyFill="1" applyBorder="1" applyAlignment="1" applyProtection="1">
      <alignment horizontal="center" vertical="center" shrinkToFit="1"/>
      <protection locked="0"/>
    </xf>
    <xf numFmtId="0" fontId="354" fillId="11" borderId="9" xfId="21" applyFont="1" applyFill="1" applyBorder="1" applyAlignment="1" applyProtection="1">
      <alignment horizontal="center" vertical="center" shrinkToFit="1"/>
      <protection locked="0"/>
    </xf>
    <xf numFmtId="0" fontId="354" fillId="2" borderId="4" xfId="21" applyFont="1" applyFill="1" applyBorder="1" applyAlignment="1">
      <alignment horizontal="center" vertical="center" shrinkToFit="1"/>
    </xf>
    <xf numFmtId="0" fontId="354" fillId="2" borderId="3" xfId="21" applyFont="1" applyFill="1" applyBorder="1" applyAlignment="1" applyProtection="1">
      <alignment horizontal="center" vertical="center" shrinkToFit="1"/>
    </xf>
    <xf numFmtId="0" fontId="354" fillId="2" borderId="5" xfId="21" applyFont="1" applyFill="1" applyBorder="1" applyAlignment="1" applyProtection="1">
      <alignment horizontal="center" vertical="center" shrinkToFit="1"/>
    </xf>
    <xf numFmtId="0" fontId="354" fillId="2" borderId="6" xfId="21" applyFont="1" applyFill="1" applyBorder="1" applyAlignment="1" applyProtection="1">
      <alignment horizontal="center" vertical="center" shrinkToFit="1"/>
    </xf>
    <xf numFmtId="0" fontId="354" fillId="2" borderId="7" xfId="21" applyFont="1" applyFill="1" applyBorder="1" applyAlignment="1" applyProtection="1">
      <alignment horizontal="center" vertical="center" shrinkToFit="1"/>
    </xf>
    <xf numFmtId="0" fontId="354" fillId="2" borderId="203" xfId="0" applyFont="1" applyFill="1" applyBorder="1" applyAlignment="1" applyProtection="1">
      <alignment horizontal="center" vertical="center" shrinkToFit="1"/>
      <protection locked="0"/>
    </xf>
    <xf numFmtId="0" fontId="354" fillId="2" borderId="205" xfId="0" applyFont="1" applyFill="1" applyBorder="1" applyAlignment="1" applyProtection="1">
      <alignment horizontal="center" vertical="center" shrinkToFit="1"/>
      <protection locked="0"/>
    </xf>
    <xf numFmtId="0" fontId="354" fillId="2" borderId="4" xfId="0" applyFont="1" applyFill="1" applyBorder="1" applyAlignment="1" applyProtection="1">
      <alignment horizontal="center" vertical="center" wrapText="1" shrinkToFit="1"/>
      <protection locked="0"/>
    </xf>
    <xf numFmtId="0" fontId="354" fillId="2" borderId="156" xfId="0" applyFont="1" applyFill="1" applyBorder="1" applyAlignment="1" applyProtection="1">
      <alignment horizontal="center" vertical="center" wrapText="1" shrinkToFit="1"/>
      <protection locked="0"/>
    </xf>
    <xf numFmtId="0" fontId="354" fillId="11" borderId="3" xfId="0" applyFont="1" applyFill="1" applyBorder="1" applyAlignment="1" applyProtection="1">
      <alignment horizontal="center" vertical="center" shrinkToFit="1"/>
    </xf>
    <xf numFmtId="0" fontId="354" fillId="11" borderId="5" xfId="0" applyFont="1" applyFill="1" applyBorder="1" applyAlignment="1" applyProtection="1">
      <alignment horizontal="center" vertical="center" shrinkToFit="1"/>
    </xf>
    <xf numFmtId="0" fontId="354" fillId="11" borderId="6" xfId="0" applyFont="1" applyFill="1" applyBorder="1" applyAlignment="1" applyProtection="1">
      <alignment horizontal="center" vertical="center" shrinkToFit="1"/>
    </xf>
    <xf numFmtId="0" fontId="354" fillId="11" borderId="7" xfId="0" applyFont="1" applyFill="1" applyBorder="1" applyAlignment="1" applyProtection="1">
      <alignment horizontal="center" vertical="center" shrinkToFit="1"/>
    </xf>
    <xf numFmtId="0" fontId="354" fillId="11" borderId="203" xfId="0" applyFont="1" applyFill="1" applyBorder="1" applyAlignment="1" applyProtection="1">
      <alignment horizontal="center" vertical="center" shrinkToFit="1"/>
    </xf>
    <xf numFmtId="0" fontId="354" fillId="11" borderId="205" xfId="0" applyFont="1" applyFill="1" applyBorder="1" applyAlignment="1" applyProtection="1">
      <alignment horizontal="center" vertical="center" shrinkToFit="1"/>
    </xf>
    <xf numFmtId="0" fontId="354" fillId="2" borderId="3" xfId="0" applyFont="1" applyFill="1" applyBorder="1" applyAlignment="1">
      <alignment horizontal="center" vertical="center" shrinkToFit="1"/>
    </xf>
    <xf numFmtId="0" fontId="354" fillId="2" borderId="5" xfId="0" applyFont="1" applyFill="1" applyBorder="1" applyAlignment="1">
      <alignment horizontal="center" vertical="center" shrinkToFit="1"/>
    </xf>
    <xf numFmtId="0" fontId="354" fillId="2" borderId="6" xfId="0" applyFont="1" applyFill="1" applyBorder="1" applyAlignment="1">
      <alignment horizontal="center" vertical="center" shrinkToFit="1"/>
    </xf>
    <xf numFmtId="0" fontId="354" fillId="2" borderId="7" xfId="0" applyFont="1" applyFill="1" applyBorder="1" applyAlignment="1">
      <alignment horizontal="center" vertical="center" shrinkToFit="1"/>
    </xf>
    <xf numFmtId="0" fontId="354" fillId="2" borderId="203" xfId="0" applyFont="1" applyFill="1" applyBorder="1" applyAlignment="1">
      <alignment horizontal="center" vertical="center" shrinkToFit="1"/>
    </xf>
    <xf numFmtId="0" fontId="354" fillId="2" borderId="205" xfId="0" applyFont="1" applyFill="1" applyBorder="1" applyAlignment="1">
      <alignment horizontal="center" vertical="center" shrinkToFit="1"/>
    </xf>
    <xf numFmtId="0" fontId="354" fillId="0" borderId="5" xfId="0" applyFont="1" applyFill="1" applyBorder="1" applyAlignment="1" applyProtection="1">
      <alignment horizontal="center" vertical="center" shrinkToFit="1"/>
    </xf>
    <xf numFmtId="0" fontId="354" fillId="0" borderId="7" xfId="0" applyFont="1" applyFill="1" applyBorder="1" applyAlignment="1" applyProtection="1">
      <alignment horizontal="center" vertical="center" shrinkToFit="1"/>
    </xf>
    <xf numFmtId="0" fontId="354" fillId="0" borderId="156" xfId="0" applyFont="1" applyFill="1" applyBorder="1" applyAlignment="1" applyProtection="1">
      <alignment horizontal="center" vertical="center" shrinkToFit="1"/>
    </xf>
    <xf numFmtId="0" fontId="354" fillId="0" borderId="205" xfId="0" applyFont="1" applyFill="1" applyBorder="1" applyAlignment="1" applyProtection="1">
      <alignment horizontal="center" vertical="center" shrinkToFit="1"/>
    </xf>
    <xf numFmtId="0" fontId="354" fillId="2" borderId="4" xfId="21" applyFont="1" applyFill="1" applyBorder="1" applyAlignment="1" applyProtection="1">
      <alignment horizontal="center" vertical="center" shrinkToFit="1"/>
      <protection locked="0"/>
    </xf>
    <xf numFmtId="0" fontId="354" fillId="0" borderId="203" xfId="0" applyFont="1" applyFill="1" applyBorder="1" applyAlignment="1" applyProtection="1">
      <alignment horizontal="center" vertical="center" shrinkToFit="1"/>
    </xf>
    <xf numFmtId="0" fontId="222" fillId="2" borderId="4" xfId="21" applyFont="1" applyFill="1" applyBorder="1" applyAlignment="1" applyProtection="1">
      <alignment horizontal="center" vertical="center" wrapText="1" shrinkToFit="1"/>
      <protection locked="0"/>
    </xf>
    <xf numFmtId="0" fontId="354" fillId="2" borderId="3" xfId="0" applyFont="1" applyFill="1" applyBorder="1" applyAlignment="1" applyProtection="1">
      <alignment horizontal="center" vertical="center" wrapText="1" shrinkToFit="1"/>
      <protection locked="0"/>
    </xf>
    <xf numFmtId="0" fontId="354" fillId="2" borderId="5" xfId="0" applyFont="1" applyFill="1" applyBorder="1" applyAlignment="1" applyProtection="1">
      <alignment horizontal="center" vertical="center" wrapText="1" shrinkToFit="1"/>
      <protection locked="0"/>
    </xf>
    <xf numFmtId="0" fontId="354" fillId="2" borderId="6" xfId="0" applyFont="1" applyFill="1" applyBorder="1" applyAlignment="1" applyProtection="1">
      <alignment horizontal="center" vertical="center" wrapText="1" shrinkToFit="1"/>
      <protection locked="0"/>
    </xf>
    <xf numFmtId="0" fontId="354" fillId="2" borderId="7" xfId="0" applyFont="1" applyFill="1" applyBorder="1" applyAlignment="1" applyProtection="1">
      <alignment horizontal="center" vertical="center" wrapText="1" shrinkToFit="1"/>
      <protection locked="0"/>
    </xf>
    <xf numFmtId="0" fontId="354" fillId="2" borderId="8" xfId="0" applyFont="1" applyFill="1" applyBorder="1" applyAlignment="1" applyProtection="1">
      <alignment horizontal="center" vertical="center" wrapText="1" shrinkToFit="1"/>
      <protection locked="0"/>
    </xf>
    <xf numFmtId="0" fontId="354" fillId="2" borderId="1" xfId="0" applyFont="1" applyFill="1" applyBorder="1" applyAlignment="1" applyProtection="1">
      <alignment horizontal="center" vertical="center" wrapText="1" shrinkToFit="1"/>
      <protection locked="0"/>
    </xf>
    <xf numFmtId="0" fontId="354" fillId="2" borderId="9" xfId="0" applyFont="1" applyFill="1" applyBorder="1" applyAlignment="1" applyProtection="1">
      <alignment horizontal="center" vertical="center" wrapText="1" shrinkToFit="1"/>
      <protection locked="0"/>
    </xf>
    <xf numFmtId="0" fontId="354" fillId="0" borderId="61" xfId="21" applyFont="1" applyFill="1" applyBorder="1" applyAlignment="1" applyProtection="1">
      <alignment horizontal="center" vertical="center" shrinkToFit="1"/>
    </xf>
    <xf numFmtId="0" fontId="354" fillId="0" borderId="62" xfId="21" applyFont="1" applyFill="1" applyBorder="1" applyAlignment="1" applyProtection="1">
      <alignment horizontal="center" vertical="center" shrinkToFit="1"/>
    </xf>
    <xf numFmtId="0" fontId="354" fillId="0" borderId="10" xfId="21" applyFont="1" applyFill="1" applyBorder="1" applyAlignment="1" applyProtection="1">
      <alignment horizontal="center" vertical="center" shrinkToFit="1"/>
    </xf>
    <xf numFmtId="0" fontId="354" fillId="0" borderId="1"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2" fillId="0" borderId="3" xfId="21" applyFont="1" applyBorder="1" applyAlignment="1" applyProtection="1">
      <alignment horizontal="center" vertical="center" shrinkToFit="1"/>
    </xf>
    <xf numFmtId="0" fontId="222" fillId="0" borderId="5" xfId="21" applyFont="1" applyBorder="1" applyAlignment="1" applyProtection="1">
      <alignment horizontal="center" vertical="center" shrinkToFit="1"/>
    </xf>
    <xf numFmtId="0" fontId="222" fillId="0" borderId="6" xfId="21" applyFont="1" applyBorder="1" applyAlignment="1" applyProtection="1">
      <alignment horizontal="center" vertical="center" shrinkToFit="1"/>
    </xf>
    <xf numFmtId="0" fontId="222" fillId="0" borderId="7" xfId="21" applyFont="1" applyBorder="1" applyAlignment="1" applyProtection="1">
      <alignment horizontal="center" vertical="center" shrinkToFit="1"/>
    </xf>
    <xf numFmtId="0" fontId="354" fillId="0" borderId="62" xfId="21" applyFont="1" applyBorder="1" applyAlignment="1" applyProtection="1">
      <alignment horizontal="center" vertical="center" textRotation="255" shrinkToFit="1"/>
    </xf>
    <xf numFmtId="0" fontId="225" fillId="0" borderId="77" xfId="21" applyFont="1" applyBorder="1" applyAlignment="1" applyProtection="1">
      <alignment horizontal="distributed" vertical="center" wrapText="1" shrinkToFit="1"/>
    </xf>
    <xf numFmtId="0" fontId="225" fillId="0" borderId="76" xfId="21" applyFont="1" applyBorder="1" applyAlignment="1" applyProtection="1">
      <alignment horizontal="distributed" vertical="center" wrapText="1" shrinkToFit="1"/>
    </xf>
    <xf numFmtId="0" fontId="225" fillId="0" borderId="8" xfId="21" applyFont="1" applyBorder="1" applyAlignment="1" applyProtection="1">
      <alignment horizontal="distributed" vertical="center" wrapText="1" shrinkToFit="1"/>
    </xf>
    <xf numFmtId="0" fontId="225" fillId="0" borderId="9" xfId="21" applyFont="1" applyBorder="1" applyAlignment="1" applyProtection="1">
      <alignment horizontal="distributed" vertical="center" wrapText="1" shrinkToFit="1"/>
    </xf>
    <xf numFmtId="0" fontId="222" fillId="0" borderId="3" xfId="21" applyFont="1" applyBorder="1" applyAlignment="1" applyProtection="1">
      <alignment horizontal="center" vertical="center" wrapText="1" shrinkToFit="1"/>
    </xf>
    <xf numFmtId="0" fontId="222" fillId="0" borderId="5" xfId="21" applyFont="1" applyBorder="1" applyAlignment="1" applyProtection="1">
      <alignment horizontal="center" vertical="center" wrapText="1" shrinkToFit="1"/>
    </xf>
    <xf numFmtId="0" fontId="222" fillId="0" borderId="6" xfId="21" applyFont="1" applyBorder="1" applyAlignment="1" applyProtection="1">
      <alignment horizontal="center" vertical="center" wrapText="1" shrinkToFit="1"/>
    </xf>
    <xf numFmtId="0" fontId="222" fillId="0" borderId="7" xfId="21" applyFont="1" applyBorder="1" applyAlignment="1" applyProtection="1">
      <alignment horizontal="center" vertical="center" wrapText="1" shrinkToFit="1"/>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0" fontId="390" fillId="0" borderId="3" xfId="21" applyFont="1" applyBorder="1" applyAlignment="1" applyProtection="1">
      <alignment horizontal="center" vertical="center" textRotation="255"/>
    </xf>
    <xf numFmtId="0" fontId="390" fillId="0" borderId="5" xfId="21" applyFont="1" applyBorder="1" applyAlignment="1" applyProtection="1">
      <alignment horizontal="center" vertical="center" textRotation="255"/>
    </xf>
    <xf numFmtId="0" fontId="390" fillId="0" borderId="6" xfId="21" applyFont="1" applyBorder="1" applyAlignment="1" applyProtection="1">
      <alignment horizontal="center" vertical="center" textRotation="255"/>
    </xf>
    <xf numFmtId="0" fontId="390" fillId="0" borderId="7" xfId="21" applyFont="1" applyBorder="1" applyAlignment="1" applyProtection="1">
      <alignment horizontal="center" vertical="center" textRotation="255"/>
    </xf>
    <xf numFmtId="0" fontId="390" fillId="0" borderId="8" xfId="21" applyFont="1" applyBorder="1" applyAlignment="1" applyProtection="1">
      <alignment horizontal="center" vertical="center" textRotation="255"/>
    </xf>
    <xf numFmtId="0" fontId="390" fillId="0" borderId="9" xfId="21" applyFont="1" applyBorder="1" applyAlignment="1" applyProtection="1">
      <alignment horizontal="center" vertical="center" textRotation="255"/>
    </xf>
    <xf numFmtId="0" fontId="354" fillId="0" borderId="61" xfId="21" applyFont="1" applyBorder="1" applyAlignment="1" applyProtection="1">
      <alignment horizontal="center" vertical="distributed" textRotation="255" shrinkToFit="1"/>
    </xf>
    <xf numFmtId="0" fontId="354" fillId="0" borderId="62" xfId="21" applyFont="1" applyBorder="1" applyAlignment="1" applyProtection="1">
      <alignment horizontal="center" vertical="distributed" textRotation="255" shrinkToFit="1"/>
    </xf>
    <xf numFmtId="0" fontId="222" fillId="0" borderId="2" xfId="21" applyFont="1" applyBorder="1" applyAlignment="1" applyProtection="1">
      <alignment horizontal="center" vertical="center"/>
    </xf>
    <xf numFmtId="0" fontId="222" fillId="0" borderId="3" xfId="21" applyFont="1" applyBorder="1" applyAlignment="1" applyProtection="1">
      <alignment horizontal="center" vertical="center"/>
    </xf>
    <xf numFmtId="0" fontId="354" fillId="0" borderId="4" xfId="21" applyFont="1" applyBorder="1" applyAlignment="1">
      <alignment horizontal="center" vertical="center" shrinkToFit="1"/>
    </xf>
    <xf numFmtId="0" fontId="354" fillId="0" borderId="5" xfId="21" applyFont="1" applyBorder="1" applyAlignment="1">
      <alignment horizontal="center" vertical="center" shrinkToFit="1"/>
    </xf>
    <xf numFmtId="0" fontId="354" fillId="0" borderId="7" xfId="21" applyFont="1" applyBorder="1" applyAlignment="1">
      <alignment horizontal="center" vertical="center" shrinkToFit="1"/>
    </xf>
    <xf numFmtId="0" fontId="354" fillId="11" borderId="1" xfId="21" applyFont="1" applyFill="1" applyBorder="1" applyAlignment="1" applyProtection="1">
      <alignment horizontal="center" vertical="center" shrinkToFit="1"/>
    </xf>
    <xf numFmtId="0" fontId="356" fillId="0" borderId="0" xfId="21" applyFont="1" applyFill="1" applyBorder="1" applyAlignment="1" applyProtection="1">
      <alignment horizontal="center" vertical="center"/>
    </xf>
    <xf numFmtId="49" fontId="222" fillId="0" borderId="2" xfId="21" applyNumberFormat="1" applyFont="1" applyBorder="1" applyAlignment="1" applyProtection="1">
      <alignment horizontal="center" vertical="center" shrinkToFit="1"/>
    </xf>
    <xf numFmtId="0" fontId="225" fillId="0" borderId="6" xfId="21" applyFont="1" applyBorder="1" applyAlignment="1" applyProtection="1">
      <alignment horizontal="distributed" vertical="center" wrapText="1" shrinkToFit="1"/>
    </xf>
    <xf numFmtId="0" fontId="225" fillId="0" borderId="7" xfId="21" applyFont="1" applyBorder="1" applyAlignment="1" applyProtection="1">
      <alignment horizontal="distributed" vertical="center" wrapText="1" shrinkToFit="1"/>
    </xf>
    <xf numFmtId="0" fontId="365" fillId="10" borderId="15" xfId="21" applyFont="1" applyFill="1" applyBorder="1" applyAlignment="1" applyProtection="1">
      <alignment horizontal="center" vertical="center"/>
    </xf>
    <xf numFmtId="0" fontId="365" fillId="10" borderId="16" xfId="21" applyFont="1" applyFill="1" applyBorder="1" applyAlignment="1" applyProtection="1">
      <alignment horizontal="center" vertical="center"/>
    </xf>
    <xf numFmtId="0" fontId="365" fillId="10" borderId="17" xfId="21" applyFont="1" applyFill="1" applyBorder="1" applyAlignment="1" applyProtection="1">
      <alignment horizontal="center" vertical="center"/>
    </xf>
    <xf numFmtId="0" fontId="365" fillId="10" borderId="18" xfId="21" applyFont="1" applyFill="1" applyBorder="1" applyAlignment="1" applyProtection="1">
      <alignment horizontal="center" vertical="center"/>
    </xf>
    <xf numFmtId="0" fontId="365" fillId="10" borderId="0" xfId="21" applyFont="1" applyFill="1" applyBorder="1" applyAlignment="1" applyProtection="1">
      <alignment horizontal="center" vertical="center"/>
    </xf>
    <xf numFmtId="0" fontId="365" fillId="10" borderId="19" xfId="21" applyFont="1" applyFill="1" applyBorder="1" applyAlignment="1" applyProtection="1">
      <alignment horizontal="center" vertical="center"/>
    </xf>
    <xf numFmtId="0" fontId="365" fillId="10" borderId="20" xfId="21" applyFont="1" applyFill="1" applyBorder="1" applyAlignment="1" applyProtection="1">
      <alignment horizontal="center" vertical="center"/>
    </xf>
    <xf numFmtId="0" fontId="365" fillId="10" borderId="11" xfId="21" applyFont="1" applyFill="1" applyBorder="1" applyAlignment="1" applyProtection="1">
      <alignment horizontal="center" vertical="center"/>
    </xf>
    <xf numFmtId="0" fontId="365" fillId="10" borderId="21" xfId="21" applyFont="1" applyFill="1" applyBorder="1" applyAlignment="1" applyProtection="1">
      <alignment horizontal="center" vertical="center"/>
    </xf>
    <xf numFmtId="0" fontId="354" fillId="0" borderId="3" xfId="0" applyFont="1" applyBorder="1" applyAlignment="1" applyProtection="1">
      <alignment horizontal="center" vertical="center" shrinkToFit="1"/>
    </xf>
    <xf numFmtId="0" fontId="354" fillId="0" borderId="5" xfId="0" applyFont="1" applyBorder="1" applyAlignment="1" applyProtection="1">
      <alignment horizontal="center" vertical="center" shrinkToFit="1"/>
    </xf>
    <xf numFmtId="0" fontId="354" fillId="0" borderId="6" xfId="0" applyFont="1" applyBorder="1" applyAlignment="1" applyProtection="1">
      <alignment horizontal="center" vertical="center" shrinkToFit="1"/>
    </xf>
    <xf numFmtId="0" fontId="354" fillId="0" borderId="7" xfId="0" applyFont="1" applyBorder="1" applyAlignment="1" applyProtection="1">
      <alignment horizontal="center" vertical="center" shrinkToFit="1"/>
    </xf>
    <xf numFmtId="0" fontId="354" fillId="0" borderId="203" xfId="0" applyFont="1" applyBorder="1" applyAlignment="1" applyProtection="1">
      <alignment horizontal="center" vertical="center" shrinkToFit="1"/>
    </xf>
    <xf numFmtId="0" fontId="354" fillId="0" borderId="205" xfId="0" applyFont="1" applyBorder="1" applyAlignment="1" applyProtection="1">
      <alignment horizontal="center" vertical="center" shrinkToFit="1"/>
    </xf>
    <xf numFmtId="0" fontId="222" fillId="0" borderId="3" xfId="21" applyFont="1" applyFill="1" applyBorder="1" applyAlignment="1" applyProtection="1">
      <alignment horizontal="center" vertical="center" wrapText="1" shrinkToFit="1"/>
    </xf>
    <xf numFmtId="0" fontId="222" fillId="0" borderId="5" xfId="21" applyFont="1" applyFill="1" applyBorder="1" applyAlignment="1" applyProtection="1">
      <alignment horizontal="center" vertical="center" shrinkToFit="1"/>
    </xf>
    <xf numFmtId="0" fontId="222" fillId="0" borderId="6" xfId="21" applyFont="1" applyFill="1" applyBorder="1" applyAlignment="1" applyProtection="1">
      <alignment horizontal="center" vertical="center" shrinkToFit="1"/>
    </xf>
    <xf numFmtId="0" fontId="222" fillId="0" borderId="7" xfId="21" applyFont="1" applyFill="1" applyBorder="1" applyAlignment="1" applyProtection="1">
      <alignment horizontal="center" vertical="center" shrinkToFit="1"/>
    </xf>
    <xf numFmtId="49" fontId="139" fillId="8" borderId="12" xfId="0" applyNumberFormat="1" applyFont="1" applyFill="1" applyBorder="1" applyAlignment="1">
      <alignment horizontal="left" vertical="center" wrapText="1"/>
    </xf>
    <xf numFmtId="49" fontId="139" fillId="8" borderId="13" xfId="0" applyNumberFormat="1" applyFont="1" applyFill="1" applyBorder="1" applyAlignment="1">
      <alignment horizontal="left" vertical="center" wrapText="1"/>
    </xf>
    <xf numFmtId="0" fontId="370" fillId="0" borderId="0" xfId="0" applyFont="1" applyFill="1" applyAlignment="1">
      <alignment horizontal="left" vertical="center" wrapText="1"/>
    </xf>
    <xf numFmtId="0" fontId="276" fillId="0" borderId="0" xfId="21" applyFont="1" applyAlignment="1">
      <alignment horizontal="left" vertical="center" wrapText="1"/>
    </xf>
    <xf numFmtId="0" fontId="189" fillId="29" borderId="453" xfId="0" applyFont="1" applyFill="1" applyBorder="1" applyAlignment="1">
      <alignment horizontal="center" vertical="center" wrapText="1"/>
    </xf>
    <xf numFmtId="0" fontId="233" fillId="26" borderId="453" xfId="0" applyFont="1" applyFill="1" applyBorder="1" applyAlignment="1">
      <alignment horizontal="center" vertical="center"/>
    </xf>
    <xf numFmtId="0" fontId="388" fillId="2" borderId="453" xfId="0" applyFont="1" applyFill="1" applyBorder="1" applyAlignment="1" applyProtection="1">
      <alignment horizontal="center" vertical="center"/>
      <protection locked="0"/>
    </xf>
    <xf numFmtId="49" fontId="222" fillId="0" borderId="2" xfId="21" applyNumberFormat="1" applyFont="1" applyBorder="1" applyAlignment="1" applyProtection="1">
      <alignment horizontal="center" vertical="center"/>
    </xf>
    <xf numFmtId="0" fontId="352" fillId="0" borderId="3" xfId="21" applyFont="1" applyBorder="1" applyAlignment="1" applyProtection="1">
      <alignment horizontal="center" vertical="center" wrapText="1" shrinkToFit="1"/>
    </xf>
    <xf numFmtId="0" fontId="352" fillId="0" borderId="5" xfId="21" applyFont="1" applyBorder="1" applyAlignment="1" applyProtection="1">
      <alignment horizontal="center" vertical="center" shrinkToFit="1"/>
    </xf>
    <xf numFmtId="0" fontId="352" fillId="0" borderId="6" xfId="21" applyFont="1" applyBorder="1" applyAlignment="1" applyProtection="1">
      <alignment horizontal="center" vertical="center" shrinkToFit="1"/>
    </xf>
    <xf numFmtId="0" fontId="352" fillId="0" borderId="7" xfId="21" applyFont="1" applyBorder="1" applyAlignment="1" applyProtection="1">
      <alignment horizontal="center" vertical="center" shrinkToFit="1"/>
    </xf>
    <xf numFmtId="0" fontId="352" fillId="0" borderId="8" xfId="21" applyFont="1" applyBorder="1" applyAlignment="1" applyProtection="1">
      <alignment horizontal="center" vertical="center" shrinkToFit="1"/>
    </xf>
    <xf numFmtId="0" fontId="352" fillId="0" borderId="9" xfId="21" applyFont="1" applyBorder="1" applyAlignment="1" applyProtection="1">
      <alignment horizontal="center" vertical="center" shrinkToFit="1"/>
    </xf>
    <xf numFmtId="176" fontId="352" fillId="0" borderId="108" xfId="21" applyNumberFormat="1" applyFont="1" applyBorder="1" applyAlignment="1" applyProtection="1">
      <alignment horizontal="center" vertical="center" shrinkToFit="1"/>
    </xf>
    <xf numFmtId="176" fontId="352" fillId="0" borderId="107" xfId="21" applyNumberFormat="1" applyFont="1" applyBorder="1" applyAlignment="1" applyProtection="1">
      <alignment horizontal="center" vertical="center" shrinkToFit="1"/>
    </xf>
    <xf numFmtId="176" fontId="352" fillId="0" borderId="6" xfId="21" applyNumberFormat="1" applyFont="1" applyBorder="1" applyAlignment="1" applyProtection="1">
      <alignment horizontal="center" vertical="center" shrinkToFit="1"/>
    </xf>
    <xf numFmtId="176" fontId="352" fillId="0" borderId="7" xfId="21" applyNumberFormat="1" applyFont="1" applyBorder="1" applyAlignment="1" applyProtection="1">
      <alignment horizontal="center" vertical="center" shrinkToFit="1"/>
    </xf>
    <xf numFmtId="176" fontId="352" fillId="0" borderId="8" xfId="21" applyNumberFormat="1" applyFont="1" applyBorder="1" applyAlignment="1" applyProtection="1">
      <alignment horizontal="center" vertical="center" shrinkToFit="1"/>
    </xf>
    <xf numFmtId="176" fontId="352" fillId="0" borderId="9" xfId="21" applyNumberFormat="1" applyFont="1" applyBorder="1" applyAlignment="1" applyProtection="1">
      <alignment horizontal="center" vertical="center" shrinkToFit="1"/>
    </xf>
    <xf numFmtId="176" fontId="352" fillId="0" borderId="6" xfId="21" applyNumberFormat="1" applyFont="1" applyBorder="1" applyAlignment="1" applyProtection="1">
      <alignment horizontal="right" vertical="center" shrinkToFit="1"/>
    </xf>
    <xf numFmtId="176" fontId="352" fillId="0" borderId="7" xfId="21" applyNumberFormat="1" applyFont="1" applyBorder="1" applyAlignment="1" applyProtection="1">
      <alignment horizontal="right" vertical="center" shrinkToFit="1"/>
    </xf>
    <xf numFmtId="176" fontId="352" fillId="0" borderId="8" xfId="21" applyNumberFormat="1" applyFont="1" applyBorder="1" applyAlignment="1" applyProtection="1">
      <alignment horizontal="right" vertical="center" shrinkToFit="1"/>
    </xf>
    <xf numFmtId="176" fontId="352" fillId="0" borderId="1" xfId="21" applyNumberFormat="1" applyFont="1" applyBorder="1" applyAlignment="1" applyProtection="1">
      <alignment horizontal="right" vertical="center" shrinkToFit="1"/>
    </xf>
    <xf numFmtId="176" fontId="352" fillId="0" borderId="9" xfId="21" applyNumberFormat="1" applyFont="1" applyBorder="1" applyAlignment="1" applyProtection="1">
      <alignment horizontal="right" vertical="center" shrinkToFit="1"/>
    </xf>
    <xf numFmtId="0" fontId="352" fillId="0" borderId="3" xfId="0" applyFont="1" applyBorder="1" applyAlignment="1" applyProtection="1">
      <alignment horizontal="center" vertical="center" shrinkToFit="1"/>
    </xf>
    <xf numFmtId="0" fontId="352" fillId="0" borderId="4" xfId="0" applyFont="1" applyBorder="1" applyAlignment="1" applyProtection="1">
      <alignment horizontal="center" vertical="center" shrinkToFit="1"/>
    </xf>
    <xf numFmtId="0" fontId="352" fillId="0" borderId="5" xfId="0" applyFont="1" applyBorder="1" applyAlignment="1" applyProtection="1">
      <alignment horizontal="center" vertical="center" shrinkToFit="1"/>
    </xf>
    <xf numFmtId="0" fontId="352" fillId="0" borderId="8" xfId="0" applyFont="1" applyBorder="1" applyAlignment="1" applyProtection="1">
      <alignment horizontal="center" vertical="center" shrinkToFit="1"/>
    </xf>
    <xf numFmtId="0" fontId="352" fillId="0" borderId="1" xfId="0" applyFont="1" applyBorder="1" applyAlignment="1" applyProtection="1">
      <alignment horizontal="center" vertical="center" shrinkToFit="1"/>
    </xf>
    <xf numFmtId="0" fontId="352" fillId="0" borderId="9" xfId="0" applyFont="1" applyBorder="1" applyAlignment="1" applyProtection="1">
      <alignment horizontal="center" vertical="center" shrinkToFit="1"/>
    </xf>
    <xf numFmtId="176" fontId="352" fillId="0" borderId="7" xfId="21" applyNumberFormat="1" applyFont="1" applyBorder="1" applyAlignment="1" applyProtection="1">
      <alignment horizontal="center" shrinkToFit="1"/>
    </xf>
    <xf numFmtId="176" fontId="352" fillId="0" borderId="1" xfId="21" applyNumberFormat="1" applyFont="1" applyBorder="1" applyAlignment="1" applyProtection="1">
      <alignment horizontal="center" vertical="top" shrinkToFit="1"/>
    </xf>
    <xf numFmtId="176" fontId="352" fillId="0" borderId="9" xfId="21" applyNumberFormat="1" applyFont="1" applyBorder="1" applyAlignment="1" applyProtection="1">
      <alignment horizontal="center" vertical="top" shrinkToFit="1"/>
    </xf>
    <xf numFmtId="176" fontId="352" fillId="0" borderId="111" xfId="21" applyNumberFormat="1" applyFont="1" applyBorder="1" applyAlignment="1" applyProtection="1">
      <alignment horizontal="center" vertical="center" shrinkToFit="1"/>
    </xf>
    <xf numFmtId="176" fontId="352" fillId="0" borderId="110" xfId="21" applyNumberFormat="1" applyFont="1" applyBorder="1" applyAlignment="1" applyProtection="1">
      <alignment horizontal="center" vertical="center" shrinkToFit="1"/>
    </xf>
    <xf numFmtId="176" fontId="352" fillId="2" borderId="6" xfId="21" applyNumberFormat="1" applyFont="1" applyFill="1" applyBorder="1" applyAlignment="1" applyProtection="1">
      <alignment horizontal="center" vertical="center" shrinkToFit="1"/>
      <protection locked="0"/>
    </xf>
    <xf numFmtId="176" fontId="352" fillId="2" borderId="8" xfId="21" applyNumberFormat="1" applyFont="1" applyFill="1" applyBorder="1" applyAlignment="1" applyProtection="1">
      <alignment horizontal="center" vertical="center" shrinkToFit="1"/>
      <protection locked="0"/>
    </xf>
    <xf numFmtId="176" fontId="352" fillId="2" borderId="1" xfId="21" applyNumberFormat="1" applyFont="1" applyFill="1" applyBorder="1" applyAlignment="1" applyProtection="1">
      <alignment horizontal="center" vertical="center" shrinkToFit="1"/>
      <protection locked="0"/>
    </xf>
    <xf numFmtId="176" fontId="352" fillId="2" borderId="7" xfId="21" applyNumberFormat="1" applyFont="1" applyFill="1" applyBorder="1" applyAlignment="1" applyProtection="1">
      <alignment horizontal="center" vertical="center" shrinkToFit="1"/>
      <protection locked="0"/>
    </xf>
    <xf numFmtId="176" fontId="352" fillId="2" borderId="9" xfId="21" applyNumberFormat="1" applyFont="1" applyFill="1" applyBorder="1" applyAlignment="1" applyProtection="1">
      <alignment horizontal="center" vertical="center" shrinkToFit="1"/>
      <protection locked="0"/>
    </xf>
    <xf numFmtId="49" fontId="352" fillId="11" borderId="1" xfId="21" applyNumberFormat="1" applyFont="1" applyFill="1" applyBorder="1" applyAlignment="1" applyProtection="1">
      <alignment horizontal="center" vertical="center" shrinkToFit="1"/>
    </xf>
    <xf numFmtId="176" fontId="352" fillId="11" borderId="7" xfId="21" applyNumberFormat="1" applyFont="1" applyFill="1" applyBorder="1" applyAlignment="1" applyProtection="1">
      <alignment horizontal="center" vertical="center" shrinkToFit="1"/>
    </xf>
    <xf numFmtId="176" fontId="352" fillId="11" borderId="9" xfId="21" applyNumberFormat="1" applyFont="1" applyFill="1" applyBorder="1" applyAlignment="1" applyProtection="1">
      <alignment horizontal="center" vertical="center" shrinkToFit="1"/>
    </xf>
    <xf numFmtId="0" fontId="272" fillId="50" borderId="447" xfId="0" applyFont="1" applyFill="1" applyBorder="1" applyAlignment="1">
      <alignment horizontal="center" vertical="center" wrapText="1" shrinkToFit="1"/>
    </xf>
    <xf numFmtId="0" fontId="272" fillId="50" borderId="448" xfId="0" applyFont="1" applyFill="1" applyBorder="1" applyAlignment="1">
      <alignment horizontal="center" vertical="center" wrapText="1" shrinkToFit="1"/>
    </xf>
    <xf numFmtId="0" fontId="272" fillId="50" borderId="450" xfId="0" applyFont="1" applyFill="1" applyBorder="1" applyAlignment="1">
      <alignment horizontal="center" vertical="center" wrapText="1" shrinkToFit="1"/>
    </xf>
    <xf numFmtId="0" fontId="272" fillId="50" borderId="451" xfId="0" applyFont="1" applyFill="1" applyBorder="1" applyAlignment="1">
      <alignment horizontal="center" vertical="center" wrapText="1" shrinkToFit="1"/>
    </xf>
    <xf numFmtId="0" fontId="368" fillId="0" borderId="0" xfId="21" applyFont="1" applyBorder="1" applyAlignment="1">
      <alignment horizontal="center" vertical="center"/>
    </xf>
    <xf numFmtId="0" fontId="369" fillId="0" borderId="0" xfId="21" applyFont="1" applyBorder="1" applyAlignment="1">
      <alignment vertical="center" shrinkToFit="1"/>
    </xf>
    <xf numFmtId="0" fontId="368" fillId="0" borderId="0" xfId="21" applyFont="1" applyAlignment="1">
      <alignment horizontal="center" vertical="center"/>
    </xf>
    <xf numFmtId="0" fontId="222" fillId="0" borderId="5" xfId="21" applyFont="1" applyBorder="1" applyAlignment="1" applyProtection="1">
      <alignment horizontal="center" vertical="center"/>
    </xf>
    <xf numFmtId="0" fontId="222" fillId="0" borderId="6" xfId="21" applyFont="1" applyBorder="1" applyAlignment="1" applyProtection="1">
      <alignment horizontal="center" vertical="center"/>
    </xf>
    <xf numFmtId="0" fontId="222" fillId="0" borderId="7" xfId="21" applyFont="1" applyBorder="1" applyAlignment="1" applyProtection="1">
      <alignment horizontal="center" vertical="center"/>
    </xf>
    <xf numFmtId="0" fontId="222" fillId="0" borderId="6" xfId="0" applyFont="1" applyBorder="1" applyAlignment="1" applyProtection="1">
      <alignment horizontal="left" vertical="center" wrapText="1"/>
    </xf>
    <xf numFmtId="0" fontId="222" fillId="0" borderId="7" xfId="0" applyFont="1" applyBorder="1" applyAlignment="1" applyProtection="1">
      <alignment horizontal="left" vertical="center" wrapText="1"/>
    </xf>
    <xf numFmtId="0" fontId="222" fillId="0" borderId="8" xfId="0" applyFont="1" applyBorder="1" applyAlignment="1" applyProtection="1">
      <alignment horizontal="left" vertical="center" wrapText="1"/>
    </xf>
    <xf numFmtId="0" fontId="222" fillId="0" borderId="1" xfId="0" applyFont="1" applyBorder="1" applyAlignment="1" applyProtection="1">
      <alignment horizontal="left" vertical="center" wrapText="1"/>
    </xf>
    <xf numFmtId="0" fontId="222" fillId="0" borderId="9" xfId="0" applyFont="1" applyBorder="1" applyAlignment="1" applyProtection="1">
      <alignment horizontal="left" vertical="center" wrapText="1"/>
    </xf>
    <xf numFmtId="0" fontId="355" fillId="0" borderId="12" xfId="21" applyFont="1" applyFill="1" applyBorder="1" applyAlignment="1" applyProtection="1">
      <alignment horizontal="center" vertical="center" shrinkToFit="1"/>
    </xf>
    <xf numFmtId="0" fontId="355" fillId="0" borderId="14" xfId="21" applyFont="1" applyFill="1" applyBorder="1" applyAlignment="1" applyProtection="1">
      <alignment horizontal="center" vertical="center" shrinkToFit="1"/>
    </xf>
    <xf numFmtId="0" fontId="354" fillId="11" borderId="78" xfId="0" applyFont="1" applyFill="1" applyBorder="1" applyAlignment="1" applyProtection="1">
      <alignment horizontal="center" vertical="center" shrinkToFit="1"/>
    </xf>
    <xf numFmtId="0" fontId="354" fillId="11" borderId="76" xfId="0" applyFont="1" applyFill="1" applyBorder="1" applyAlignment="1" applyProtection="1">
      <alignment horizontal="center" vertical="center" shrinkToFit="1"/>
    </xf>
    <xf numFmtId="0" fontId="277" fillId="0" borderId="0" xfId="0" applyFont="1" applyBorder="1" applyAlignment="1">
      <alignment horizontal="left" vertical="center"/>
    </xf>
    <xf numFmtId="0" fontId="355" fillId="0" borderId="4" xfId="21" applyFont="1" applyBorder="1" applyAlignment="1" applyProtection="1">
      <alignment horizontal="right" vertical="center"/>
    </xf>
    <xf numFmtId="0" fontId="354" fillId="2" borderId="3" xfId="0" applyFont="1" applyFill="1" applyBorder="1" applyAlignment="1" applyProtection="1">
      <alignment horizontal="center" vertical="center" shrinkToFit="1"/>
    </xf>
    <xf numFmtId="0" fontId="354" fillId="2" borderId="5" xfId="0" applyFont="1" applyFill="1" applyBorder="1" applyAlignment="1" applyProtection="1">
      <alignment horizontal="center" vertical="center" shrinkToFit="1"/>
    </xf>
    <xf numFmtId="0" fontId="354" fillId="2" borderId="6" xfId="0" applyFont="1" applyFill="1" applyBorder="1" applyAlignment="1" applyProtection="1">
      <alignment horizontal="center" vertical="center" shrinkToFit="1"/>
    </xf>
    <xf numFmtId="0" fontId="354" fillId="2" borderId="7" xfId="0" applyFont="1" applyFill="1" applyBorder="1" applyAlignment="1" applyProtection="1">
      <alignment horizontal="center" vertical="center" shrinkToFit="1"/>
    </xf>
    <xf numFmtId="0" fontId="354" fillId="2" borderId="203" xfId="0" applyFont="1" applyFill="1" applyBorder="1" applyAlignment="1" applyProtection="1">
      <alignment horizontal="center" vertical="center" shrinkToFit="1"/>
    </xf>
    <xf numFmtId="0" fontId="354" fillId="2" borderId="205" xfId="0" applyFont="1" applyFill="1" applyBorder="1" applyAlignment="1" applyProtection="1">
      <alignment horizontal="center" vertical="center" shrinkToFit="1"/>
    </xf>
    <xf numFmtId="0" fontId="354" fillId="11" borderId="61" xfId="0" applyFont="1" applyFill="1" applyBorder="1" applyAlignment="1" applyProtection="1">
      <alignment horizontal="center" vertical="center" shrinkToFit="1"/>
    </xf>
    <xf numFmtId="0" fontId="354" fillId="11" borderId="62" xfId="0" applyFont="1" applyFill="1" applyBorder="1" applyAlignment="1" applyProtection="1">
      <alignment horizontal="center" vertical="center" shrinkToFit="1"/>
    </xf>
    <xf numFmtId="0" fontId="354" fillId="11" borderId="69" xfId="0" applyFont="1" applyFill="1" applyBorder="1" applyAlignment="1" applyProtection="1">
      <alignment horizontal="center" vertical="center" shrinkToFit="1"/>
    </xf>
    <xf numFmtId="0" fontId="354" fillId="2" borderId="203" xfId="0" applyFont="1" applyFill="1" applyBorder="1" applyAlignment="1" applyProtection="1">
      <alignment horizontal="center" vertical="center" wrapText="1" shrinkToFit="1"/>
      <protection locked="0"/>
    </xf>
    <xf numFmtId="0" fontId="354" fillId="2" borderId="205" xfId="0" applyFont="1" applyFill="1" applyBorder="1" applyAlignment="1" applyProtection="1">
      <alignment horizontal="center" vertical="center" wrapText="1" shrinkToFit="1"/>
      <protection locked="0"/>
    </xf>
    <xf numFmtId="176" fontId="352" fillId="0" borderId="442" xfId="21" applyNumberFormat="1" applyFont="1" applyBorder="1" applyAlignment="1" applyProtection="1">
      <alignment horizontal="center" vertical="center" shrinkToFit="1"/>
    </xf>
    <xf numFmtId="176" fontId="352" fillId="0" borderId="109" xfId="21" applyNumberFormat="1" applyFont="1" applyBorder="1" applyAlignment="1" applyProtection="1">
      <alignment horizontal="center" vertical="center" shrinkToFit="1"/>
    </xf>
    <xf numFmtId="0" fontId="171" fillId="53" borderId="453" xfId="0" applyFont="1" applyFill="1" applyBorder="1" applyAlignment="1">
      <alignment horizontal="center" vertical="center"/>
    </xf>
    <xf numFmtId="0" fontId="219" fillId="2" borderId="453" xfId="0" applyFont="1" applyFill="1" applyBorder="1" applyAlignment="1" applyProtection="1">
      <alignment horizontal="center" vertical="center"/>
      <protection locked="0"/>
    </xf>
    <xf numFmtId="0" fontId="389" fillId="69" borderId="453" xfId="0" applyFont="1" applyFill="1" applyBorder="1" applyAlignment="1" applyProtection="1">
      <alignment horizontal="center" vertical="center" wrapText="1"/>
      <protection locked="0"/>
    </xf>
    <xf numFmtId="0" fontId="222" fillId="0" borderId="13" xfId="21" applyFont="1" applyBorder="1" applyAlignment="1" applyProtection="1">
      <alignment horizontal="left" vertical="center"/>
    </xf>
    <xf numFmtId="0" fontId="115" fillId="0" borderId="0" xfId="21" applyFont="1" applyBorder="1" applyAlignment="1" applyProtection="1">
      <alignment horizontal="center" vertical="center" textRotation="255" shrinkToFit="1"/>
    </xf>
    <xf numFmtId="0" fontId="115" fillId="0" borderId="0" xfId="21" applyFont="1" applyBorder="1" applyAlignment="1" applyProtection="1">
      <alignment horizontal="center" vertical="distributed" textRotation="255" shrinkToFit="1"/>
    </xf>
    <xf numFmtId="198" fontId="352" fillId="0" borderId="7" xfId="21" applyNumberFormat="1" applyFont="1" applyBorder="1" applyAlignment="1" applyProtection="1">
      <alignment horizontal="center" vertical="center" shrinkToFit="1"/>
    </xf>
    <xf numFmtId="198" fontId="352" fillId="0" borderId="9" xfId="21" applyNumberFormat="1" applyFont="1" applyBorder="1" applyAlignment="1" applyProtection="1">
      <alignment horizontal="center" vertical="center" shrinkToFit="1"/>
    </xf>
    <xf numFmtId="0" fontId="354" fillId="0" borderId="4" xfId="21" applyFont="1" applyBorder="1" applyAlignment="1" applyProtection="1">
      <alignment horizontal="center" vertical="center" shrinkToFit="1"/>
    </xf>
    <xf numFmtId="0" fontId="354" fillId="2" borderId="4" xfId="21" applyFont="1" applyFill="1" applyBorder="1" applyAlignment="1" applyProtection="1">
      <alignment horizontal="center"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center" textRotation="255" shrinkToFit="1"/>
    </xf>
    <xf numFmtId="0" fontId="277" fillId="0" borderId="0" xfId="0" applyFont="1" applyBorder="1" applyAlignment="1" applyProtection="1">
      <alignment horizontal="left" vertical="center"/>
    </xf>
    <xf numFmtId="0" fontId="272" fillId="50" borderId="447" xfId="0" applyFont="1" applyFill="1" applyBorder="1" applyAlignment="1" applyProtection="1">
      <alignment horizontal="center" vertical="center" wrapText="1" shrinkToFit="1"/>
    </xf>
    <xf numFmtId="0" fontId="272" fillId="50" borderId="448" xfId="0" applyFont="1" applyFill="1" applyBorder="1" applyAlignment="1" applyProtection="1">
      <alignment horizontal="center" vertical="center" wrapText="1" shrinkToFit="1"/>
    </xf>
    <xf numFmtId="0" fontId="272" fillId="50" borderId="450" xfId="0" applyFont="1" applyFill="1" applyBorder="1" applyAlignment="1" applyProtection="1">
      <alignment horizontal="center" vertical="center" wrapText="1" shrinkToFit="1"/>
    </xf>
    <xf numFmtId="0" fontId="272" fillId="50" borderId="451" xfId="0" applyFont="1" applyFill="1" applyBorder="1" applyAlignment="1" applyProtection="1">
      <alignment horizontal="center" vertical="center" wrapText="1" shrinkToFit="1"/>
    </xf>
    <xf numFmtId="0" fontId="273" fillId="51" borderId="447" xfId="0" applyFont="1" applyFill="1" applyBorder="1" applyAlignment="1" applyProtection="1">
      <alignment horizontal="center" vertical="center" wrapText="1"/>
    </xf>
    <xf numFmtId="0" fontId="273" fillId="51" borderId="448" xfId="0" applyFont="1" applyFill="1" applyBorder="1" applyAlignment="1" applyProtection="1">
      <alignment horizontal="center" vertical="center" wrapText="1"/>
    </xf>
    <xf numFmtId="0" fontId="273" fillId="51" borderId="449" xfId="0" applyFont="1" applyFill="1" applyBorder="1" applyAlignment="1" applyProtection="1">
      <alignment horizontal="center" vertical="center" wrapText="1"/>
    </xf>
    <xf numFmtId="0" fontId="273" fillId="51" borderId="450" xfId="0" applyFont="1" applyFill="1" applyBorder="1" applyAlignment="1" applyProtection="1">
      <alignment horizontal="center" vertical="center" wrapText="1"/>
    </xf>
    <xf numFmtId="0" fontId="273" fillId="51" borderId="451" xfId="0" applyFont="1" applyFill="1" applyBorder="1" applyAlignment="1" applyProtection="1">
      <alignment horizontal="center" vertical="center" wrapText="1"/>
    </xf>
    <xf numFmtId="0" fontId="273" fillId="51" borderId="452" xfId="0" applyFont="1" applyFill="1" applyBorder="1" applyAlignment="1" applyProtection="1">
      <alignment horizontal="center" vertical="center" wrapText="1"/>
    </xf>
    <xf numFmtId="0" fontId="369" fillId="0" borderId="0" xfId="21" applyFont="1" applyBorder="1" applyAlignment="1" applyProtection="1">
      <alignment vertical="center" shrinkToFit="1"/>
    </xf>
    <xf numFmtId="0" fontId="222" fillId="0" borderId="4" xfId="21" applyFont="1" applyFill="1" applyBorder="1" applyAlignment="1" applyProtection="1">
      <alignment horizontal="center" vertical="center" wrapText="1" shrinkToFit="1"/>
    </xf>
    <xf numFmtId="0" fontId="222" fillId="0" borderId="0" xfId="21" applyFont="1" applyFill="1" applyBorder="1" applyAlignment="1" applyProtection="1">
      <alignment horizontal="center" vertical="center" shrinkToFit="1"/>
    </xf>
    <xf numFmtId="0" fontId="80" fillId="0" borderId="0" xfId="21" applyFont="1" applyAlignment="1" applyProtection="1">
      <alignment horizontal="left" vertical="center" shrinkToFit="1"/>
    </xf>
    <xf numFmtId="0" fontId="354" fillId="0" borderId="78" xfId="0" applyFont="1" applyFill="1" applyBorder="1" applyAlignment="1" applyProtection="1">
      <alignment horizontal="center" vertical="center" shrinkToFit="1"/>
    </xf>
    <xf numFmtId="0" fontId="354" fillId="0" borderId="4" xfId="0" applyFont="1" applyBorder="1" applyAlignment="1" applyProtection="1">
      <alignment horizontal="center" vertical="center" shrinkToFit="1"/>
    </xf>
    <xf numFmtId="0" fontId="370" fillId="0" borderId="0" xfId="0" applyFont="1" applyFill="1" applyAlignment="1" applyProtection="1">
      <alignment horizontal="left" vertical="center" wrapText="1"/>
    </xf>
    <xf numFmtId="0" fontId="276" fillId="0" borderId="0" xfId="21" applyFont="1" applyAlignment="1" applyProtection="1">
      <alignment horizontal="left" vertical="center" wrapText="1"/>
    </xf>
    <xf numFmtId="0" fontId="233" fillId="26" borderId="453" xfId="0" applyFont="1" applyFill="1" applyBorder="1" applyAlignment="1" applyProtection="1">
      <alignment horizontal="center" vertical="center"/>
    </xf>
    <xf numFmtId="0" fontId="189" fillId="29" borderId="453" xfId="0" applyFont="1" applyFill="1" applyBorder="1" applyAlignment="1" applyProtection="1">
      <alignment horizontal="center" vertical="center" wrapText="1"/>
    </xf>
    <xf numFmtId="0" fontId="171" fillId="53" borderId="453" xfId="0" applyFont="1" applyFill="1" applyBorder="1" applyAlignment="1" applyProtection="1">
      <alignment horizontal="center" vertical="center"/>
    </xf>
    <xf numFmtId="0" fontId="356" fillId="0" borderId="1" xfId="21" applyFont="1" applyFill="1" applyBorder="1" applyAlignment="1" applyProtection="1">
      <alignment horizontal="center" vertical="center"/>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13" borderId="35" xfId="21" applyNumberFormat="1" applyFont="1" applyFill="1" applyBorder="1" applyAlignment="1" applyProtection="1">
      <alignment horizontal="center" vertical="center" wrapText="1"/>
      <protection locked="0"/>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13" xfId="21" applyNumberFormat="1" applyFont="1" applyBorder="1" applyAlignment="1">
      <alignment horizontal="center" vertical="center"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 fontId="69" fillId="5" borderId="44" xfId="21" applyNumberFormat="1" applyFont="1" applyFill="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64" fillId="0" borderId="12"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176" fontId="69" fillId="5" borderId="70" xfId="21" applyNumberFormat="1" applyFont="1" applyFill="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3" fillId="0" borderId="62" xfId="21" applyNumberFormat="1" applyFont="1" applyBorder="1" applyAlignment="1">
      <alignment horizontal="center" vertical="center" textRotation="255" shrinkToFit="1"/>
    </xf>
    <xf numFmtId="0" fontId="142" fillId="0" borderId="16" xfId="21" applyFont="1" applyBorder="1" applyAlignment="1">
      <alignment horizontal="center" vertical="center"/>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142" fillId="0" borderId="0" xfId="21" applyNumberFormat="1" applyFont="1" applyBorder="1" applyAlignment="1">
      <alignment horizontal="left" vertical="center" wrapText="1"/>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58" fillId="0" borderId="0" xfId="21" applyFont="1" applyBorder="1" applyAlignment="1">
      <alignment horizontal="justify" vertical="center"/>
    </xf>
    <xf numFmtId="0" fontId="80" fillId="0" borderId="0" xfId="21" applyBorder="1" applyAlignment="1">
      <alignment vertical="center"/>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176" fontId="69" fillId="13" borderId="68" xfId="21" applyNumberFormat="1" applyFont="1" applyFill="1" applyBorder="1" applyAlignment="1" applyProtection="1">
      <alignment horizontal="center" vertical="center" wrapText="1"/>
      <protection locked="0"/>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394"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76" fontId="34" fillId="0" borderId="13"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30"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3"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3" xfId="1" applyFont="1" applyBorder="1" applyAlignment="1">
      <alignment horizontal="center" vertical="center"/>
    </xf>
    <xf numFmtId="0" fontId="88" fillId="0" borderId="156" xfId="1" applyFont="1" applyBorder="1" applyAlignment="1">
      <alignment horizontal="center" vertical="center"/>
    </xf>
    <xf numFmtId="0" fontId="88" fillId="0" borderId="205"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3"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90" fillId="0" borderId="12"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197" fontId="89" fillId="0" borderId="203"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5" xfId="1" applyNumberFormat="1" applyFont="1" applyBorder="1" applyAlignment="1">
      <alignment horizontal="center" vertical="center" wrapText="1"/>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176" fontId="91" fillId="0" borderId="62" xfId="1" applyNumberFormat="1" applyFont="1" applyBorder="1" applyAlignment="1">
      <alignment horizontal="center" vertical="center" wrapText="1"/>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33" fillId="0" borderId="202"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43"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26"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97" fontId="89" fillId="0" borderId="130" xfId="1" applyNumberFormat="1" applyFont="1" applyBorder="1" applyAlignment="1">
      <alignment horizontal="center" vertical="center" wrapText="1"/>
    </xf>
    <xf numFmtId="176" fontId="123" fillId="0" borderId="135" xfId="1" applyNumberFormat="1" applyFont="1" applyBorder="1" applyAlignment="1">
      <alignment horizontal="center" vertical="center"/>
    </xf>
    <xf numFmtId="176" fontId="123" fillId="0" borderId="131"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123" fillId="0" borderId="134"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50" xfId="1" applyNumberFormat="1" applyFont="1" applyBorder="1" applyAlignment="1">
      <alignment horizontal="center"/>
    </xf>
    <xf numFmtId="176" fontId="92" fillId="0" borderId="52" xfId="1" applyNumberFormat="1" applyFont="1" applyBorder="1" applyAlignment="1">
      <alignment horizontal="center"/>
    </xf>
    <xf numFmtId="176" fontId="85" fillId="0" borderId="271"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130" xfId="1" applyNumberFormat="1" applyFont="1" applyBorder="1" applyAlignment="1">
      <alignment horizontal="center" vertical="center"/>
    </xf>
    <xf numFmtId="176" fontId="85" fillId="0" borderId="156" xfId="1" applyNumberFormat="1" applyFont="1" applyBorder="1" applyAlignment="1">
      <alignment horizontal="center" vertical="center"/>
    </xf>
    <xf numFmtId="0" fontId="85" fillId="0" borderId="0" xfId="0" applyFont="1" applyBorder="1" applyAlignment="1">
      <alignment horizontal="left" wrapText="1"/>
    </xf>
    <xf numFmtId="0" fontId="90" fillId="0" borderId="73" xfId="1" applyFont="1" applyBorder="1" applyAlignment="1">
      <alignment horizontal="center" vertical="center"/>
    </xf>
    <xf numFmtId="0" fontId="90" fillId="0" borderId="74" xfId="1" applyFont="1" applyBorder="1" applyAlignment="1">
      <alignment horizontal="center" vertical="center"/>
    </xf>
    <xf numFmtId="0" fontId="201" fillId="0" borderId="1" xfId="0" applyFont="1" applyBorder="1" applyAlignment="1">
      <alignment horizontal="right" vertical="center" wrapText="1"/>
    </xf>
    <xf numFmtId="176" fontId="201" fillId="0" borderId="1" xfId="0" applyNumberFormat="1" applyFont="1" applyBorder="1" applyAlignment="1">
      <alignment horizontal="center" vertical="center" wrapText="1"/>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lef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4" xfId="1" applyFont="1" applyBorder="1" applyAlignment="1">
      <alignment horizontal="center" vertical="center"/>
    </xf>
    <xf numFmtId="0" fontId="90" fillId="0" borderId="5"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0" fontId="92" fillId="0" borderId="51" xfId="1" applyFont="1" applyBorder="1" applyAlignment="1">
      <alignment horizont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343" fillId="0" borderId="3" xfId="1" applyFont="1" applyBorder="1" applyAlignment="1">
      <alignment horizontal="left" vertical="center"/>
    </xf>
    <xf numFmtId="0" fontId="343"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49" xfId="1" applyNumberFormat="1" applyFont="1" applyBorder="1" applyAlignment="1">
      <alignment horizontal="center"/>
    </xf>
    <xf numFmtId="176" fontId="92" fillId="0" borderId="55" xfId="1" applyNumberFormat="1" applyFont="1" applyBorder="1" applyAlignment="1">
      <alignment horizontal="center"/>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3"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4" xfId="1" applyNumberFormat="1" applyFont="1" applyBorder="1" applyAlignment="1">
      <alignment horizontal="center" vertic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85" fillId="0" borderId="48"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3" xfId="1" applyNumberFormat="1" applyFont="1" applyBorder="1" applyAlignment="1">
      <alignment horizontal="center" vertical="center"/>
    </xf>
    <xf numFmtId="176" fontId="85" fillId="0" borderId="205" xfId="1" applyNumberFormat="1" applyFont="1" applyBorder="1" applyAlignment="1">
      <alignment horizontal="center" vertical="center"/>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89" fillId="0" borderId="10" xfId="1" applyNumberFormat="1" applyFont="1" applyBorder="1" applyAlignment="1">
      <alignment horizontal="center" vertical="center" wrapText="1"/>
    </xf>
    <xf numFmtId="197" fontId="89" fillId="0" borderId="204" xfId="1" applyNumberFormat="1" applyFont="1" applyBorder="1" applyAlignment="1">
      <alignment horizontal="center" vertical="center" wrapText="1"/>
    </xf>
    <xf numFmtId="0" fontId="382" fillId="0" borderId="13" xfId="1" applyFont="1" applyBorder="1" applyAlignment="1">
      <alignment horizontal="left" vertical="center"/>
    </xf>
    <xf numFmtId="0" fontId="97" fillId="0" borderId="0" xfId="0" applyFont="1" applyAlignment="1">
      <alignment horizontal="right" wrapText="1"/>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18" fillId="0" borderId="39"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0" fontId="99" fillId="0" borderId="4" xfId="0" applyFont="1" applyBorder="1" applyAlignment="1" applyProtection="1">
      <alignment horizont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0" fontId="21" fillId="0" borderId="0" xfId="0" applyFont="1" applyBorder="1" applyAlignment="1">
      <alignment horizontal="left" vertical="center" wrapText="1"/>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28" fillId="0" borderId="0" xfId="0" applyFont="1" applyBorder="1" applyAlignment="1">
      <alignment horizontal="left"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0" fontId="146" fillId="0" borderId="0" xfId="0" applyFont="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9" fillId="0" borderId="0" xfId="0" applyNumberFormat="1" applyFont="1" applyBorder="1" applyAlignment="1">
      <alignment horizontal="left" wrapText="1"/>
    </xf>
    <xf numFmtId="176" fontId="25" fillId="0" borderId="23" xfId="0" applyNumberFormat="1" applyFont="1" applyBorder="1" applyAlignment="1">
      <alignment horizontal="center" vertical="center"/>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129" fillId="0" borderId="305" xfId="21" applyNumberFormat="1" applyFont="1" applyBorder="1" applyAlignment="1">
      <alignment horizontal="center" vertical="center"/>
    </xf>
    <xf numFmtId="176" fontId="129" fillId="0" borderId="308" xfId="21" applyNumberFormat="1" applyFont="1" applyBorder="1" applyAlignment="1">
      <alignment horizontal="center" vertical="center"/>
    </xf>
    <xf numFmtId="176" fontId="129" fillId="0" borderId="30"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222" fillId="11" borderId="86" xfId="21" applyNumberFormat="1" applyFont="1" applyFill="1" applyBorder="1" applyAlignment="1">
      <alignment horizontal="center" vertical="center" shrinkToFit="1"/>
    </xf>
    <xf numFmtId="176" fontId="222" fillId="11" borderId="301" xfId="21" applyNumberFormat="1" applyFont="1" applyFill="1" applyBorder="1" applyAlignment="1">
      <alignment horizontal="center" vertical="center" shrinkToFit="1"/>
    </xf>
    <xf numFmtId="176" fontId="222" fillId="11" borderId="20" xfId="21" applyNumberFormat="1" applyFont="1" applyFill="1" applyBorder="1" applyAlignment="1">
      <alignment horizontal="center" vertical="center" shrinkToFit="1"/>
    </xf>
    <xf numFmtId="176" fontId="222" fillId="11" borderId="302" xfId="21" applyNumberFormat="1" applyFont="1" applyFill="1" applyBorder="1" applyAlignment="1">
      <alignment horizontal="center"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230" fillId="0" borderId="86" xfId="21" applyNumberFormat="1" applyFont="1" applyFill="1" applyBorder="1" applyAlignment="1" applyProtection="1">
      <alignment horizontal="left" vertical="top" wrapText="1" shrinkToFit="1"/>
    </xf>
    <xf numFmtId="176" fontId="230" fillId="0" borderId="4" xfId="21" applyNumberFormat="1" applyFont="1" applyFill="1" applyBorder="1" applyAlignment="1" applyProtection="1">
      <alignment horizontal="left" vertical="top" wrapText="1" shrinkToFit="1"/>
    </xf>
    <xf numFmtId="176" fontId="230" fillId="0" borderId="30" xfId="21" applyNumberFormat="1" applyFont="1" applyFill="1" applyBorder="1" applyAlignment="1" applyProtection="1">
      <alignment horizontal="left" vertical="top" wrapText="1" shrinkToFit="1"/>
    </xf>
    <xf numFmtId="176" fontId="230" fillId="0" borderId="20" xfId="21" applyNumberFormat="1" applyFont="1" applyFill="1" applyBorder="1" applyAlignment="1" applyProtection="1">
      <alignment horizontal="left" vertical="top" wrapText="1" shrinkToFit="1"/>
    </xf>
    <xf numFmtId="176" fontId="230" fillId="0" borderId="11" xfId="21" applyNumberFormat="1" applyFont="1" applyFill="1" applyBorder="1" applyAlignment="1" applyProtection="1">
      <alignment horizontal="left" vertical="top" wrapText="1" shrinkToFit="1"/>
    </xf>
    <xf numFmtId="176" fontId="230" fillId="0" borderId="21" xfId="21" applyNumberFormat="1" applyFont="1" applyFill="1" applyBorder="1" applyAlignment="1" applyProtection="1">
      <alignment horizontal="left" vertical="top" wrapText="1" shrinkToFit="1"/>
    </xf>
    <xf numFmtId="176" fontId="222" fillId="11" borderId="25" xfId="21" applyNumberFormat="1" applyFont="1" applyFill="1" applyBorder="1" applyAlignment="1">
      <alignment horizontal="center" vertical="center" shrinkToFit="1"/>
    </xf>
    <xf numFmtId="176" fontId="222" fillId="11" borderId="121"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176" fontId="230" fillId="0" borderId="25" xfId="21" applyNumberFormat="1" applyFont="1" applyFill="1" applyBorder="1" applyAlignment="1" applyProtection="1">
      <alignment horizontal="left" vertical="top" wrapText="1" shrinkToFit="1"/>
    </xf>
    <xf numFmtId="176" fontId="230" fillId="0" borderId="1" xfId="21" applyNumberFormat="1" applyFont="1" applyFill="1" applyBorder="1" applyAlignment="1" applyProtection="1">
      <alignment horizontal="left" vertical="top" wrapText="1" shrinkToFit="1"/>
    </xf>
    <xf numFmtId="176" fontId="230" fillId="0" borderId="29" xfId="21" applyNumberFormat="1" applyFont="1" applyFill="1" applyBorder="1" applyAlignment="1" applyProtection="1">
      <alignment horizontal="left" vertical="top" wrapText="1"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6" xfId="21" applyNumberFormat="1" applyFont="1" applyBorder="1" applyAlignment="1">
      <alignment horizontal="center" vertical="center"/>
    </xf>
    <xf numFmtId="176" fontId="129" fillId="0" borderId="29" xfId="21" applyNumberFormat="1" applyFont="1" applyBorder="1" applyAlignment="1">
      <alignment horizontal="center" vertical="center"/>
    </xf>
    <xf numFmtId="0" fontId="222" fillId="0" borderId="129" xfId="21" applyFont="1" applyBorder="1" applyAlignment="1">
      <alignment horizontal="center" vertical="center"/>
    </xf>
    <xf numFmtId="0" fontId="222" fillId="0" borderId="32"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96"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222" fillId="11" borderId="4" xfId="21" applyNumberFormat="1" applyFont="1" applyFill="1" applyBorder="1" applyAlignment="1">
      <alignment horizontal="center" vertical="center" shrinkToFit="1"/>
    </xf>
    <xf numFmtId="176" fontId="222" fillId="11" borderId="11" xfId="21" applyNumberFormat="1" applyFont="1" applyFill="1" applyBorder="1" applyAlignment="1">
      <alignment horizontal="center" vertical="center" shrinkToFit="1"/>
    </xf>
    <xf numFmtId="0" fontId="222" fillId="0" borderId="31" xfId="2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10"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176" fontId="129" fillId="0" borderId="92" xfId="21" applyNumberFormat="1" applyFont="1" applyFill="1" applyBorder="1" applyAlignment="1">
      <alignment horizontal="center" vertical="center"/>
    </xf>
    <xf numFmtId="176" fontId="222" fillId="11" borderId="1" xfId="21" applyNumberFormat="1" applyFont="1" applyFill="1" applyBorder="1" applyAlignment="1">
      <alignment horizontal="center" vertical="center" shrinkToFit="1"/>
    </xf>
    <xf numFmtId="0" fontId="129" fillId="12" borderId="307" xfId="21" applyFont="1" applyFill="1" applyBorder="1" applyAlignment="1">
      <alignment horizontal="center" vertical="center"/>
    </xf>
    <xf numFmtId="0" fontId="129" fillId="12" borderId="306" xfId="21" applyFont="1" applyFill="1" applyBorder="1" applyAlignment="1">
      <alignment horizontal="center" vertical="center"/>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2" fillId="12" borderId="15" xfId="21" applyFont="1" applyFill="1" applyBorder="1" applyAlignment="1">
      <alignment horizontal="center" vertical="center" wrapText="1"/>
    </xf>
    <xf numFmtId="0" fontId="222" fillId="12" borderId="303" xfId="21" applyFont="1" applyFill="1" applyBorder="1" applyAlignment="1">
      <alignment horizontal="center" vertical="center" wrapText="1"/>
    </xf>
    <xf numFmtId="0" fontId="222" fillId="12" borderId="25" xfId="21" applyFont="1" applyFill="1" applyBorder="1" applyAlignment="1">
      <alignment horizontal="center" vertical="center" wrapText="1"/>
    </xf>
    <xf numFmtId="0" fontId="222" fillId="12" borderId="121" xfId="21" applyFont="1" applyFill="1" applyBorder="1" applyAlignment="1">
      <alignment horizontal="center" vertical="center" wrapText="1"/>
    </xf>
    <xf numFmtId="0" fontId="222" fillId="12" borderId="303" xfId="21" applyFont="1" applyFill="1" applyBorder="1" applyAlignment="1">
      <alignment horizontal="center" vertical="center" shrinkToFit="1"/>
    </xf>
    <xf numFmtId="0" fontId="222" fillId="12" borderId="121" xfId="21" applyFont="1" applyFill="1" applyBorder="1" applyAlignment="1">
      <alignment horizontal="center" vertical="center" shrinkToFit="1"/>
    </xf>
    <xf numFmtId="0" fontId="129" fillId="12" borderId="307" xfId="21" applyFont="1" applyFill="1" applyBorder="1" applyAlignment="1">
      <alignment horizontal="center" vertical="top"/>
    </xf>
    <xf numFmtId="0" fontId="129" fillId="12" borderId="306" xfId="21" applyFont="1" applyFill="1" applyBorder="1" applyAlignment="1">
      <alignment horizontal="center" vertical="top"/>
    </xf>
    <xf numFmtId="0" fontId="222" fillId="12" borderId="202" xfId="21" applyFont="1" applyFill="1" applyBorder="1" applyAlignment="1">
      <alignment horizontal="center" vertical="center"/>
    </xf>
    <xf numFmtId="0" fontId="222"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222" fillId="12" borderId="100" xfId="21" applyFont="1" applyFill="1" applyBorder="1" applyAlignment="1">
      <alignment horizontal="center" vertical="center"/>
    </xf>
    <xf numFmtId="0" fontId="222" fillId="12" borderId="92" xfId="21" applyFont="1" applyFill="1" applyBorder="1" applyAlignment="1">
      <alignment horizontal="center" vertical="center"/>
    </xf>
    <xf numFmtId="0" fontId="222" fillId="12" borderId="16" xfId="21" applyFont="1" applyFill="1" applyBorder="1" applyAlignment="1">
      <alignment horizontal="center" vertical="center" wrapText="1"/>
    </xf>
    <xf numFmtId="0" fontId="222" fillId="12" borderId="1" xfId="21" applyFont="1" applyFill="1" applyBorder="1" applyAlignment="1">
      <alignment horizontal="center" vertical="center" wrapText="1"/>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83" fontId="138" fillId="0" borderId="33" xfId="21" applyNumberFormat="1" applyFont="1" applyBorder="1" applyAlignment="1">
      <alignment horizontal="right" vertical="center"/>
    </xf>
    <xf numFmtId="184" fontId="138" fillId="0" borderId="33" xfId="21" applyNumberFormat="1" applyFont="1" applyBorder="1" applyAlignment="1">
      <alignment horizontal="right" vertical="center"/>
    </xf>
    <xf numFmtId="0" fontId="118" fillId="0" borderId="202"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36" fillId="0" borderId="298" xfId="21" applyFont="1" applyBorder="1" applyAlignment="1">
      <alignment horizontal="center" vertical="center"/>
    </xf>
    <xf numFmtId="0" fontId="136" fillId="0" borderId="299" xfId="21" applyFont="1" applyBorder="1" applyAlignment="1">
      <alignment horizontal="center" vertical="center"/>
    </xf>
    <xf numFmtId="0" fontId="136" fillId="0" borderId="300" xfId="21" applyFont="1" applyBorder="1" applyAlignment="1">
      <alignment horizontal="center" vertical="center"/>
    </xf>
    <xf numFmtId="186" fontId="223" fillId="11" borderId="18" xfId="0" applyNumberFormat="1" applyFont="1" applyFill="1" applyBorder="1" applyAlignment="1">
      <alignment horizontal="center" vertical="center" shrinkToFit="1"/>
    </xf>
    <xf numFmtId="186" fontId="223" fillId="11" borderId="0" xfId="0" applyNumberFormat="1" applyFont="1" applyFill="1" applyBorder="1" applyAlignment="1">
      <alignment horizontal="center" vertical="center" shrinkToFit="1"/>
    </xf>
    <xf numFmtId="186" fontId="223" fillId="11" borderId="19" xfId="0" applyNumberFormat="1" applyFont="1" applyFill="1" applyBorder="1" applyAlignment="1">
      <alignment horizontal="center" vertical="center" shrinkToFit="1"/>
    </xf>
    <xf numFmtId="186" fontId="223" fillId="11" borderId="25" xfId="21" applyNumberFormat="1" applyFont="1" applyFill="1" applyBorder="1" applyAlignment="1">
      <alignment horizontal="center" vertical="center" shrinkToFit="1"/>
    </xf>
    <xf numFmtId="186" fontId="223" fillId="11" borderId="1" xfId="21" applyNumberFormat="1" applyFont="1" applyFill="1" applyBorder="1" applyAlignment="1">
      <alignment horizontal="center" vertical="center" shrinkToFit="1"/>
    </xf>
    <xf numFmtId="186" fontId="223" fillId="11" borderId="29" xfId="21" applyNumberFormat="1" applyFont="1" applyFill="1" applyBorder="1" applyAlignment="1">
      <alignment horizontal="center" vertical="center" shrinkToFit="1"/>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0" fontId="134" fillId="0" borderId="301" xfId="21" applyFont="1" applyBorder="1" applyAlignment="1">
      <alignment horizontal="center" vertical="center" wrapText="1"/>
    </xf>
    <xf numFmtId="0" fontId="134" fillId="0" borderId="302" xfId="21" applyFont="1" applyBorder="1" applyAlignment="1">
      <alignment horizontal="center" vertical="center" wrapText="1"/>
    </xf>
    <xf numFmtId="0" fontId="134" fillId="0" borderId="289" xfId="21" applyFont="1" applyFill="1" applyBorder="1" applyAlignment="1">
      <alignment horizontal="center" vertical="center" shrinkToFit="1"/>
    </xf>
    <xf numFmtId="0" fontId="134" fillId="0" borderId="304" xfId="21" applyFont="1" applyFill="1" applyBorder="1" applyAlignment="1">
      <alignment horizontal="center" vertical="center" shrinkToFit="1"/>
    </xf>
    <xf numFmtId="0" fontId="134" fillId="0" borderId="11" xfId="21" applyFont="1" applyBorder="1" applyAlignment="1">
      <alignment horizontal="center" vertical="center" wrapText="1"/>
    </xf>
    <xf numFmtId="0" fontId="134" fillId="0" borderId="110" xfId="21" applyFont="1" applyFill="1" applyBorder="1" applyAlignment="1">
      <alignment horizontal="center" vertical="center" shrinkToFi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0" fontId="92" fillId="0" borderId="0" xfId="21" applyFont="1" applyBorder="1" applyAlignment="1">
      <alignment horizontal="center" vertical="center"/>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27" fillId="0" borderId="0" xfId="0" applyNumberFormat="1" applyFont="1" applyBorder="1" applyAlignment="1">
      <alignment horizontal="left" vertical="center" wrapText="1"/>
    </xf>
    <xf numFmtId="176" fontId="227"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0" fontId="38" fillId="0" borderId="11" xfId="21" applyNumberFormat="1" applyFont="1" applyBorder="1" applyAlignment="1">
      <alignment horizontal="right" vertical="center"/>
    </xf>
    <xf numFmtId="0" fontId="139" fillId="0" borderId="0" xfId="0" applyFont="1" applyAlignment="1">
      <alignment horizontal="right" vertical="center"/>
    </xf>
    <xf numFmtId="0" fontId="139" fillId="0" borderId="0" xfId="0" applyFont="1" applyAlignment="1">
      <alignment horizontal="left" vertical="center"/>
    </xf>
    <xf numFmtId="0" fontId="107" fillId="0" borderId="0" xfId="21" applyFont="1" applyBorder="1" applyAlignment="1">
      <alignment horizontal="left" vertical="center" shrinkToFit="1"/>
    </xf>
    <xf numFmtId="176" fontId="217" fillId="0" borderId="231" xfId="0" applyNumberFormat="1" applyFont="1" applyBorder="1" applyAlignment="1" applyProtection="1">
      <alignment horizontal="center" vertical="center" shrinkToFit="1"/>
      <protection locked="0"/>
    </xf>
    <xf numFmtId="176" fontId="217" fillId="0" borderId="230" xfId="0" applyNumberFormat="1" applyFont="1" applyBorder="1" applyAlignment="1" applyProtection="1">
      <alignment horizontal="center" vertical="center" shrinkToFit="1"/>
      <protection locked="0"/>
    </xf>
    <xf numFmtId="176" fontId="217" fillId="0" borderId="229" xfId="0" applyNumberFormat="1" applyFont="1" applyBorder="1" applyAlignment="1" applyProtection="1">
      <alignment horizontal="center" vertical="center" shrinkToFit="1"/>
      <protection locked="0"/>
    </xf>
    <xf numFmtId="176" fontId="217" fillId="0" borderId="152" xfId="0" applyNumberFormat="1" applyFont="1" applyBorder="1" applyAlignment="1" applyProtection="1">
      <alignment horizontal="center" vertical="center" shrinkToFit="1"/>
      <protection locked="0"/>
    </xf>
    <xf numFmtId="176" fontId="217" fillId="0" borderId="0" xfId="0" applyNumberFormat="1" applyFont="1" applyBorder="1" applyAlignment="1" applyProtection="1">
      <alignment horizontal="center" vertical="center" shrinkToFit="1"/>
      <protection locked="0"/>
    </xf>
    <xf numFmtId="176" fontId="217" fillId="0" borderId="228"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8"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5" xfId="0" applyNumberFormat="1" applyBorder="1" applyAlignment="1" applyProtection="1">
      <alignment horizontal="center" vertical="center"/>
      <protection locked="0"/>
    </xf>
    <xf numFmtId="176" fontId="0" fillId="0" borderId="224" xfId="0" applyNumberFormat="1" applyBorder="1" applyAlignment="1" applyProtection="1">
      <alignment horizontal="center" vertical="center"/>
      <protection locked="0"/>
    </xf>
    <xf numFmtId="0" fontId="218" fillId="0" borderId="235" xfId="0" applyFont="1" applyBorder="1" applyAlignment="1" applyProtection="1">
      <alignment horizontal="center" vertical="center" wrapText="1"/>
    </xf>
    <xf numFmtId="0" fontId="0" fillId="0" borderId="235" xfId="0" applyBorder="1" applyProtection="1">
      <alignment vertical="center"/>
    </xf>
    <xf numFmtId="176" fontId="217" fillId="0" borderId="226" xfId="0" applyNumberFormat="1" applyFont="1" applyBorder="1" applyAlignment="1" applyProtection="1">
      <alignment horizontal="center" vertical="center" shrinkToFit="1"/>
      <protection locked="0"/>
    </xf>
    <xf numFmtId="176" fontId="217" fillId="0" borderId="225" xfId="0" applyNumberFormat="1" applyFont="1" applyBorder="1" applyAlignment="1" applyProtection="1">
      <alignment horizontal="center" vertical="center" shrinkToFit="1"/>
      <protection locked="0"/>
    </xf>
    <xf numFmtId="176" fontId="217" fillId="0" borderId="224"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4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48"/>
      <tableStyleElement type="firstRowStripe" dxfId="47"/>
    </tableStyle>
    <tableStyle name="SlicerStyleLight1 2" pivot="0" table="0" count="10" xr9:uid="{00000000-0011-0000-FFFF-FFFF01000000}">
      <tableStyleElement type="wholeTable" dxfId="46"/>
      <tableStyleElement type="headerRow" dxfId="45"/>
    </tableStyle>
    <tableStyle name="SlicerStyleLight2 2" pivot="0" table="0" count="10" xr9:uid="{00000000-0011-0000-FFFF-FFFF02000000}">
      <tableStyleElement type="wholeTable" dxfId="44"/>
      <tableStyleElement type="headerRow" dxfId="43"/>
    </tableStyle>
    <tableStyle name="SlicerStyleLight6 2" pivot="0" table="0" count="10" xr9:uid="{00000000-0011-0000-FFFF-FFFF03000000}">
      <tableStyleElement type="wholeTable" dxfId="42"/>
      <tableStyleElement type="headerRow" dxfId="41"/>
    </tableStyle>
    <tableStyle name="ピボットテーブルのスタイル 1" table="0" count="2" xr9:uid="{00000000-0011-0000-FFFF-FFFF04000000}">
      <tableStyleElement type="headerRow" dxfId="40"/>
      <tableStyleElement type="totalRow" dxfId="39"/>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3.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8.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105074</xdr:colOff>
      <xdr:row>39</xdr:row>
      <xdr:rowOff>83926</xdr:rowOff>
    </xdr:from>
    <xdr:to>
      <xdr:col>36</xdr:col>
      <xdr:colOff>434119</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278882" y="10766580"/>
          <a:ext cx="4285583" cy="2905458"/>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34</xdr:col>
      <xdr:colOff>15875</xdr:colOff>
      <xdr:row>14</xdr:row>
      <xdr:rowOff>17318</xdr:rowOff>
    </xdr:from>
    <xdr:to>
      <xdr:col>34</xdr:col>
      <xdr:colOff>15875</xdr:colOff>
      <xdr:row>15</xdr:row>
      <xdr:rowOff>24245</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312284" y="4329545"/>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15875</xdr:colOff>
      <xdr:row>14</xdr:row>
      <xdr:rowOff>0</xdr:rowOff>
    </xdr:from>
    <xdr:to>
      <xdr:col>34</xdr:col>
      <xdr:colOff>15875</xdr:colOff>
      <xdr:row>15</xdr:row>
      <xdr:rowOff>6928</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6312284" y="4052455"/>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37" dataDxfId="35" headerRowBorderDxfId="36" tableBorderDxfId="34" totalsRowBorderDxfId="33">
  <autoFilter ref="K14:L44" xr:uid="{00000000-0009-0000-0100-000001000000}">
    <filterColumn colId="0" hiddenButton="1"/>
    <filterColumn colId="1" hiddenButton="1"/>
  </autoFilter>
  <tableColumns count="2">
    <tableColumn id="1" xr3:uid="{00000000-0010-0000-0000-000001000000}" name="車両" dataDxfId="32" dataCellStyle="標準 4"/>
    <tableColumn id="2" xr3:uid="{00000000-0010-0000-0000-000002000000}" name="出入時刻" dataDxfId="31"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0" dataDxfId="29" tableBorderDxfId="28"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27" dataCellStyle="標準 4"/>
    <tableColumn id="2" xr3:uid="{00000000-0010-0000-0100-000002000000}" name="性別" dataDxfId="26" dataCellStyle="標準 4"/>
    <tableColumn id="3" xr3:uid="{00000000-0010-0000-0100-000003000000}" name="１日目" dataDxfId="25" dataCellStyle="標準 4"/>
    <tableColumn id="4" xr3:uid="{00000000-0010-0000-0100-000004000000}" name="２日目" dataDxfId="24" dataCellStyle="標準 4"/>
    <tableColumn id="5" xr3:uid="{00000000-0010-0000-0100-000005000000}" name="３日目" dataDxfId="23" dataCellStyle="標準 4"/>
    <tableColumn id="6" xr3:uid="{00000000-0010-0000-0100-000006000000}" name="４日目" dataDxfId="22" dataCellStyle="標準 4"/>
    <tableColumn id="7" xr3:uid="{00000000-0010-0000-0100-000007000000}" name="５日目" dataDxfId="21" dataCellStyle="標準 4"/>
    <tableColumn id="8" xr3:uid="{00000000-0010-0000-0100-000008000000}" name="６日目" dataDxfId="20"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x14ac:dyDescent="0.1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x14ac:dyDescent="0.15">
      <c r="C1" s="1386" t="s">
        <v>333</v>
      </c>
      <c r="I1" s="1384" t="str">
        <f>入力1!B7</f>
        <v/>
      </c>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row>
    <row r="2" spans="3:47" ht="18" customHeight="1" x14ac:dyDescent="0.15">
      <c r="C2" s="1386"/>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row>
    <row r="3" spans="3:47" ht="18" customHeight="1" x14ac:dyDescent="0.15">
      <c r="C3" s="112"/>
      <c r="D3" s="112"/>
      <c r="E3" s="112"/>
      <c r="F3" s="112"/>
      <c r="G3" s="112"/>
      <c r="H3" s="436"/>
      <c r="I3" s="1430" t="s">
        <v>248</v>
      </c>
      <c r="J3" s="1431"/>
      <c r="K3" s="1431"/>
      <c r="L3" s="1432"/>
      <c r="M3" s="1430" t="s">
        <v>249</v>
      </c>
      <c r="N3" s="1431"/>
      <c r="O3" s="1431"/>
      <c r="P3" s="1432"/>
      <c r="Q3" s="1430" t="s">
        <v>250</v>
      </c>
      <c r="R3" s="1431"/>
      <c r="S3" s="1431"/>
      <c r="T3" s="1432"/>
      <c r="U3" s="1430" t="s">
        <v>332</v>
      </c>
      <c r="V3" s="1431"/>
      <c r="W3" s="1431"/>
      <c r="X3" s="1431"/>
      <c r="Y3" s="1453" t="s">
        <v>331</v>
      </c>
      <c r="Z3" s="1454"/>
      <c r="AA3" s="1454"/>
      <c r="AB3" s="1454"/>
      <c r="AC3" s="1447" t="s">
        <v>330</v>
      </c>
      <c r="AD3" s="1448"/>
      <c r="AE3" s="1448"/>
      <c r="AF3" s="1449"/>
      <c r="AG3" s="120"/>
      <c r="AJ3" s="1461" t="s">
        <v>328</v>
      </c>
      <c r="AK3" s="1461"/>
      <c r="AL3" s="1461" t="s">
        <v>327</v>
      </c>
      <c r="AM3" s="1461"/>
      <c r="AN3" s="1461" t="s">
        <v>326</v>
      </c>
      <c r="AO3" s="1461"/>
      <c r="AP3" s="1461" t="s">
        <v>325</v>
      </c>
      <c r="AQ3" s="1461"/>
      <c r="AR3" s="1461" t="s">
        <v>324</v>
      </c>
      <c r="AS3" s="1461"/>
      <c r="AT3" s="1461" t="s">
        <v>323</v>
      </c>
      <c r="AU3" s="1461"/>
    </row>
    <row r="4" spans="3:47" ht="18" customHeight="1" x14ac:dyDescent="0.15">
      <c r="C4" s="112"/>
      <c r="D4" s="112"/>
      <c r="E4" s="112" t="s">
        <v>329</v>
      </c>
      <c r="F4" s="435"/>
      <c r="G4" s="1396"/>
      <c r="H4" s="1397"/>
      <c r="I4" s="1450" t="s">
        <v>282</v>
      </c>
      <c r="J4" s="1450"/>
      <c r="K4" s="1455">
        <f>入力2【名簿】!BU15</f>
        <v>0</v>
      </c>
      <c r="L4" s="1456"/>
      <c r="M4" s="1450" t="s">
        <v>282</v>
      </c>
      <c r="N4" s="1450"/>
      <c r="O4" s="1451">
        <f>入力2【名簿】!BY15</f>
        <v>0</v>
      </c>
      <c r="P4" s="1451"/>
      <c r="Q4" s="1452" t="s">
        <v>282</v>
      </c>
      <c r="R4" s="1452"/>
      <c r="S4" s="1451">
        <f>入力2【名簿】!CC15</f>
        <v>0</v>
      </c>
      <c r="T4" s="1451"/>
      <c r="U4" s="1450" t="s">
        <v>282</v>
      </c>
      <c r="V4" s="1450"/>
      <c r="W4" s="1451">
        <f>入力2【名簿】!CG15</f>
        <v>0</v>
      </c>
      <c r="X4" s="1451"/>
      <c r="Y4" s="1452" t="s">
        <v>282</v>
      </c>
      <c r="Z4" s="1452"/>
      <c r="AA4" s="1451">
        <f>入力2【名簿】!CK15</f>
        <v>0</v>
      </c>
      <c r="AB4" s="1451"/>
      <c r="AC4" s="1450" t="s">
        <v>282</v>
      </c>
      <c r="AD4" s="1450"/>
      <c r="AE4" s="1451">
        <f>入力2【名簿】!CO15</f>
        <v>0</v>
      </c>
      <c r="AF4" s="1451"/>
      <c r="AJ4" s="653" t="str">
        <f t="shared" ref="AJ4:AU11" ca="1" si="0">OFFSET($A5,0,COLUMN(E5)*2-2)</f>
        <v>男</v>
      </c>
      <c r="AK4" s="653" t="str">
        <f t="shared" ca="1" si="0"/>
        <v>女</v>
      </c>
      <c r="AL4" s="653" t="str">
        <f t="shared" ca="1" si="0"/>
        <v>男</v>
      </c>
      <c r="AM4" s="653" t="str">
        <f t="shared" ca="1" si="0"/>
        <v>女</v>
      </c>
      <c r="AN4" s="653" t="str">
        <f t="shared" ca="1" si="0"/>
        <v>男</v>
      </c>
      <c r="AO4" s="653" t="str">
        <f t="shared" ca="1" si="0"/>
        <v>女</v>
      </c>
      <c r="AP4" s="653" t="str">
        <f t="shared" ca="1" si="0"/>
        <v>男</v>
      </c>
      <c r="AQ4" s="653" t="str">
        <f t="shared" ca="1" si="0"/>
        <v>女</v>
      </c>
      <c r="AR4" s="653" t="str">
        <f t="shared" ca="1" si="0"/>
        <v>男</v>
      </c>
      <c r="AS4" s="653" t="str">
        <f t="shared" ca="1" si="0"/>
        <v>女</v>
      </c>
      <c r="AT4" s="653" t="str">
        <f t="shared" ca="1" si="0"/>
        <v>男</v>
      </c>
      <c r="AU4" s="653" t="str">
        <f t="shared" ca="1" si="0"/>
        <v>女</v>
      </c>
    </row>
    <row r="5" spans="3:47" ht="18" customHeight="1" x14ac:dyDescent="0.2">
      <c r="C5" s="1457"/>
      <c r="D5" s="1457"/>
      <c r="E5" s="383">
        <f>SUM(E6:E12)</f>
        <v>0</v>
      </c>
      <c r="F5" s="434"/>
      <c r="G5" s="419" t="s">
        <v>77</v>
      </c>
      <c r="H5" s="418" t="s">
        <v>78</v>
      </c>
      <c r="I5" s="431" t="s">
        <v>322</v>
      </c>
      <c r="J5" s="631">
        <f>SUM(I6:J12)</f>
        <v>0</v>
      </c>
      <c r="K5" s="632" t="s">
        <v>321</v>
      </c>
      <c r="L5" s="633">
        <f>SUM(K6:L12)</f>
        <v>0</v>
      </c>
      <c r="M5" s="431" t="s">
        <v>322</v>
      </c>
      <c r="N5" s="430">
        <f>SUM(M6:N12)</f>
        <v>0</v>
      </c>
      <c r="O5" s="632" t="s">
        <v>321</v>
      </c>
      <c r="P5" s="634">
        <f>SUM(O6:P12)</f>
        <v>0</v>
      </c>
      <c r="Q5" s="433" t="s">
        <v>322</v>
      </c>
      <c r="R5" s="432">
        <f>SUM(Q6:R12)</f>
        <v>0</v>
      </c>
      <c r="S5" s="632" t="s">
        <v>321</v>
      </c>
      <c r="T5" s="634">
        <f>SUM(S6:T12)</f>
        <v>0</v>
      </c>
      <c r="U5" s="431" t="s">
        <v>322</v>
      </c>
      <c r="V5" s="430">
        <f>SUM(U6:V12)</f>
        <v>0</v>
      </c>
      <c r="W5" s="632" t="s">
        <v>321</v>
      </c>
      <c r="X5" s="634">
        <f>SUM(W6:X12)</f>
        <v>0</v>
      </c>
      <c r="Y5" s="433" t="s">
        <v>322</v>
      </c>
      <c r="Z5" s="432">
        <f>SUM(Y6:Z12)</f>
        <v>0</v>
      </c>
      <c r="AA5" s="632" t="s">
        <v>321</v>
      </c>
      <c r="AB5" s="634">
        <f>SUM(AA6:AB12)</f>
        <v>0</v>
      </c>
      <c r="AC5" s="431" t="s">
        <v>322</v>
      </c>
      <c r="AD5" s="430">
        <f>SUM(AC6:AD12)</f>
        <v>0</v>
      </c>
      <c r="AE5" s="632" t="s">
        <v>321</v>
      </c>
      <c r="AF5" s="634">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x14ac:dyDescent="0.15">
      <c r="C6" s="1404" t="s">
        <v>283</v>
      </c>
      <c r="D6" s="1405"/>
      <c r="E6" s="412">
        <f>入力2【名簿】!BP17</f>
        <v>0</v>
      </c>
      <c r="F6" s="413"/>
      <c r="G6" s="412">
        <f>入力2【名簿】!BQ17</f>
        <v>0</v>
      </c>
      <c r="H6" s="429">
        <f>入力2【名簿】!BR17</f>
        <v>0</v>
      </c>
      <c r="I6" s="1458">
        <f>入力2【名簿】!BS17</f>
        <v>0</v>
      </c>
      <c r="J6" s="1440"/>
      <c r="K6" s="1437">
        <f>入力2【名簿】!BU17</f>
        <v>0</v>
      </c>
      <c r="L6" s="1438"/>
      <c r="M6" s="1439">
        <f>入力2【名簿】!BW17</f>
        <v>0</v>
      </c>
      <c r="N6" s="1440"/>
      <c r="O6" s="1439">
        <f>入力2【名簿】!BY17</f>
        <v>0</v>
      </c>
      <c r="P6" s="1438"/>
      <c r="Q6" s="1439">
        <f>入力2【名簿】!CA17</f>
        <v>0</v>
      </c>
      <c r="R6" s="1440"/>
      <c r="S6" s="1439">
        <f>入力2【名簿】!CC17</f>
        <v>0</v>
      </c>
      <c r="T6" s="1438"/>
      <c r="U6" s="1439">
        <f>入力2【名簿】!CE17</f>
        <v>0</v>
      </c>
      <c r="V6" s="1440"/>
      <c r="W6" s="1439">
        <f>入力2【名簿】!CG17</f>
        <v>0</v>
      </c>
      <c r="X6" s="1438"/>
      <c r="Y6" s="1439">
        <f>入力2【名簿】!CI17</f>
        <v>0</v>
      </c>
      <c r="Z6" s="1440"/>
      <c r="AA6" s="1439">
        <f>入力2【名簿】!CK17</f>
        <v>0</v>
      </c>
      <c r="AB6" s="1438"/>
      <c r="AC6" s="1439">
        <f>入力2【名簿】!CM17</f>
        <v>0</v>
      </c>
      <c r="AD6" s="1440"/>
      <c r="AE6" s="1439">
        <f>入力2【名簿】!CO17</f>
        <v>0</v>
      </c>
      <c r="AF6" s="1438"/>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x14ac:dyDescent="0.15">
      <c r="C7" s="1402" t="s">
        <v>284</v>
      </c>
      <c r="D7" s="1403"/>
      <c r="E7" s="404">
        <f>入力2【名簿】!BP18</f>
        <v>0</v>
      </c>
      <c r="F7" s="405"/>
      <c r="G7" s="404">
        <f>入力2【名簿】!BQ18</f>
        <v>0</v>
      </c>
      <c r="H7" s="403">
        <f>入力2【名簿】!BR18</f>
        <v>0</v>
      </c>
      <c r="I7" s="1433">
        <f>入力2【名簿】!BS18</f>
        <v>0</v>
      </c>
      <c r="J7" s="1434"/>
      <c r="K7" s="1435">
        <f>入力2【名簿】!BU18</f>
        <v>0</v>
      </c>
      <c r="L7" s="1436"/>
      <c r="M7" s="1433">
        <f>入力2【名簿】!BW18</f>
        <v>0</v>
      </c>
      <c r="N7" s="1434"/>
      <c r="O7" s="1433">
        <f>入力2【名簿】!BY18</f>
        <v>0</v>
      </c>
      <c r="P7" s="1436"/>
      <c r="Q7" s="1433">
        <f>入力2【名簿】!CA18</f>
        <v>0</v>
      </c>
      <c r="R7" s="1434"/>
      <c r="S7" s="1433">
        <f>入力2【名簿】!CC18</f>
        <v>0</v>
      </c>
      <c r="T7" s="1436"/>
      <c r="U7" s="1433">
        <f>入力2【名簿】!CE18</f>
        <v>0</v>
      </c>
      <c r="V7" s="1434"/>
      <c r="W7" s="1433">
        <f>入力2【名簿】!CG18</f>
        <v>0</v>
      </c>
      <c r="X7" s="1436"/>
      <c r="Y7" s="1433">
        <f>入力2【名簿】!CI18</f>
        <v>0</v>
      </c>
      <c r="Z7" s="1434"/>
      <c r="AA7" s="1433">
        <f>入力2【名簿】!CK18</f>
        <v>0</v>
      </c>
      <c r="AB7" s="1436"/>
      <c r="AC7" s="1433">
        <f>入力2【名簿】!CM18</f>
        <v>0</v>
      </c>
      <c r="AD7" s="1434"/>
      <c r="AE7" s="1433">
        <f>入力2【名簿】!CO18</f>
        <v>0</v>
      </c>
      <c r="AF7" s="1436"/>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x14ac:dyDescent="0.15">
      <c r="C8" s="1402" t="s">
        <v>83</v>
      </c>
      <c r="D8" s="1403"/>
      <c r="E8" s="404">
        <f>入力2【名簿】!BP19</f>
        <v>0</v>
      </c>
      <c r="F8" s="405"/>
      <c r="G8" s="404">
        <f>入力2【名簿】!BQ19</f>
        <v>0</v>
      </c>
      <c r="H8" s="403">
        <f>入力2【名簿】!BR19</f>
        <v>0</v>
      </c>
      <c r="I8" s="1433">
        <f>入力2【名簿】!BS19</f>
        <v>0</v>
      </c>
      <c r="J8" s="1434"/>
      <c r="K8" s="1435">
        <f>入力2【名簿】!BU19</f>
        <v>0</v>
      </c>
      <c r="L8" s="1436"/>
      <c r="M8" s="1433">
        <f>入力2【名簿】!BW19</f>
        <v>0</v>
      </c>
      <c r="N8" s="1434"/>
      <c r="O8" s="1433">
        <f>入力2【名簿】!BY19</f>
        <v>0</v>
      </c>
      <c r="P8" s="1436"/>
      <c r="Q8" s="1433">
        <f>入力2【名簿】!CA19</f>
        <v>0</v>
      </c>
      <c r="R8" s="1434"/>
      <c r="S8" s="1433">
        <f>入力2【名簿】!CC19</f>
        <v>0</v>
      </c>
      <c r="T8" s="1436"/>
      <c r="U8" s="1433">
        <f>入力2【名簿】!CE19</f>
        <v>0</v>
      </c>
      <c r="V8" s="1434"/>
      <c r="W8" s="1433">
        <f>入力2【名簿】!CG19</f>
        <v>0</v>
      </c>
      <c r="X8" s="1436"/>
      <c r="Y8" s="1433">
        <f>入力2【名簿】!CI19</f>
        <v>0</v>
      </c>
      <c r="Z8" s="1434"/>
      <c r="AA8" s="1433">
        <f>入力2【名簿】!CK19</f>
        <v>0</v>
      </c>
      <c r="AB8" s="1436"/>
      <c r="AC8" s="1433">
        <f>入力2【名簿】!CM19</f>
        <v>0</v>
      </c>
      <c r="AD8" s="1434"/>
      <c r="AE8" s="1433">
        <f>入力2【名簿】!CO19</f>
        <v>0</v>
      </c>
      <c r="AF8" s="1436"/>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x14ac:dyDescent="0.15">
      <c r="C9" s="1402" t="s">
        <v>84</v>
      </c>
      <c r="D9" s="1403"/>
      <c r="E9" s="404">
        <f>入力2【名簿】!BP20</f>
        <v>0</v>
      </c>
      <c r="F9" s="405"/>
      <c r="G9" s="404">
        <f>入力2【名簿】!BQ20</f>
        <v>0</v>
      </c>
      <c r="H9" s="403">
        <f>入力2【名簿】!BR20</f>
        <v>0</v>
      </c>
      <c r="I9" s="1433">
        <f>入力2【名簿】!BS20</f>
        <v>0</v>
      </c>
      <c r="J9" s="1434"/>
      <c r="K9" s="1435">
        <f>入力2【名簿】!BU20</f>
        <v>0</v>
      </c>
      <c r="L9" s="1436"/>
      <c r="M9" s="1433">
        <f>入力2【名簿】!BW20</f>
        <v>0</v>
      </c>
      <c r="N9" s="1434"/>
      <c r="O9" s="1433">
        <f>入力2【名簿】!BY20</f>
        <v>0</v>
      </c>
      <c r="P9" s="1436"/>
      <c r="Q9" s="1433">
        <f>入力2【名簿】!CA20</f>
        <v>0</v>
      </c>
      <c r="R9" s="1434"/>
      <c r="S9" s="1433">
        <f>入力2【名簿】!CC20</f>
        <v>0</v>
      </c>
      <c r="T9" s="1436"/>
      <c r="U9" s="1433">
        <f>入力2【名簿】!CE20</f>
        <v>0</v>
      </c>
      <c r="V9" s="1434"/>
      <c r="W9" s="1433">
        <f>入力2【名簿】!CG20</f>
        <v>0</v>
      </c>
      <c r="X9" s="1436"/>
      <c r="Y9" s="1433">
        <f>入力2【名簿】!CI20</f>
        <v>0</v>
      </c>
      <c r="Z9" s="1434"/>
      <c r="AA9" s="1433">
        <f>入力2【名簿】!CK20</f>
        <v>0</v>
      </c>
      <c r="AB9" s="1436"/>
      <c r="AC9" s="1433">
        <f>入力2【名簿】!CM20</f>
        <v>0</v>
      </c>
      <c r="AD9" s="1434"/>
      <c r="AE9" s="1433">
        <f>入力2【名簿】!CO20</f>
        <v>0</v>
      </c>
      <c r="AF9" s="1436"/>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x14ac:dyDescent="0.15">
      <c r="C10" s="1402" t="s">
        <v>285</v>
      </c>
      <c r="D10" s="1403"/>
      <c r="E10" s="404">
        <f>入力2【名簿】!BP21</f>
        <v>0</v>
      </c>
      <c r="F10" s="405"/>
      <c r="G10" s="404">
        <f>入力2【名簿】!BQ21</f>
        <v>0</v>
      </c>
      <c r="H10" s="403">
        <f>入力2【名簿】!BR21</f>
        <v>0</v>
      </c>
      <c r="I10" s="1433">
        <f>入力2【名簿】!BS21</f>
        <v>0</v>
      </c>
      <c r="J10" s="1434"/>
      <c r="K10" s="1423">
        <f>入力2【名簿】!BU21</f>
        <v>0</v>
      </c>
      <c r="L10" s="1425"/>
      <c r="M10" s="1433">
        <f>入力2【名簿】!BW21</f>
        <v>0</v>
      </c>
      <c r="N10" s="1434"/>
      <c r="O10" s="1433">
        <f>入力2【名簿】!BY21</f>
        <v>0</v>
      </c>
      <c r="P10" s="1436"/>
      <c r="Q10" s="1433">
        <f>入力2【名簿】!CA21</f>
        <v>0</v>
      </c>
      <c r="R10" s="1434"/>
      <c r="S10" s="1433">
        <f>入力2【名簿】!CC21</f>
        <v>0</v>
      </c>
      <c r="T10" s="1436"/>
      <c r="U10" s="1433">
        <f>入力2【名簿】!CE21</f>
        <v>0</v>
      </c>
      <c r="V10" s="1434"/>
      <c r="W10" s="1433">
        <f>入力2【名簿】!CG21</f>
        <v>0</v>
      </c>
      <c r="X10" s="1436"/>
      <c r="Y10" s="1433">
        <f>入力2【名簿】!CI21</f>
        <v>0</v>
      </c>
      <c r="Z10" s="1434"/>
      <c r="AA10" s="1433">
        <f>入力2【名簿】!CK21</f>
        <v>0</v>
      </c>
      <c r="AB10" s="1436"/>
      <c r="AC10" s="1433">
        <f>入力2【名簿】!CM21</f>
        <v>0</v>
      </c>
      <c r="AD10" s="1434"/>
      <c r="AE10" s="1433">
        <f>入力2【名簿】!CO21</f>
        <v>0</v>
      </c>
      <c r="AF10" s="1436"/>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x14ac:dyDescent="0.15">
      <c r="C11" s="1402" t="s">
        <v>286</v>
      </c>
      <c r="D11" s="1403"/>
      <c r="E11" s="404">
        <f>入力2【名簿】!BP22</f>
        <v>0</v>
      </c>
      <c r="F11" s="405"/>
      <c r="G11" s="404">
        <f>入力2【名簿】!BQ22</f>
        <v>0</v>
      </c>
      <c r="H11" s="403">
        <f>入力2【名簿】!BR22</f>
        <v>0</v>
      </c>
      <c r="I11" s="1433">
        <f>入力2【名簿】!BS22</f>
        <v>0</v>
      </c>
      <c r="J11" s="1434"/>
      <c r="K11" s="1435">
        <f>入力2【名簿】!BU22</f>
        <v>0</v>
      </c>
      <c r="L11" s="1436"/>
      <c r="M11" s="1433">
        <f>入力2【名簿】!BW22</f>
        <v>0</v>
      </c>
      <c r="N11" s="1434"/>
      <c r="O11" s="1433">
        <f>入力2【名簿】!BY22</f>
        <v>0</v>
      </c>
      <c r="P11" s="1436"/>
      <c r="Q11" s="1433">
        <f>入力2【名簿】!CA22</f>
        <v>0</v>
      </c>
      <c r="R11" s="1434"/>
      <c r="S11" s="1433">
        <f>入力2【名簿】!CC22</f>
        <v>0</v>
      </c>
      <c r="T11" s="1436"/>
      <c r="U11" s="1433">
        <f>入力2【名簿】!CE22</f>
        <v>0</v>
      </c>
      <c r="V11" s="1434"/>
      <c r="W11" s="1433">
        <f>入力2【名簿】!CG22</f>
        <v>0</v>
      </c>
      <c r="X11" s="1436"/>
      <c r="Y11" s="1433">
        <f>入力2【名簿】!CI22</f>
        <v>0</v>
      </c>
      <c r="Z11" s="1434"/>
      <c r="AA11" s="1433">
        <f>入力2【名簿】!CK22</f>
        <v>0</v>
      </c>
      <c r="AB11" s="1436"/>
      <c r="AC11" s="1433">
        <f>入力2【名簿】!CM22</f>
        <v>0</v>
      </c>
      <c r="AD11" s="1434"/>
      <c r="AE11" s="1433">
        <f>入力2【名簿】!CO22</f>
        <v>0</v>
      </c>
      <c r="AF11" s="1436"/>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x14ac:dyDescent="0.15">
      <c r="C12" s="1409" t="s">
        <v>318</v>
      </c>
      <c r="D12" s="1410"/>
      <c r="E12" s="397">
        <f>入力2【名簿】!BP23</f>
        <v>0</v>
      </c>
      <c r="F12" s="398"/>
      <c r="G12" s="404">
        <f>入力2【名簿】!BQ23</f>
        <v>0</v>
      </c>
      <c r="H12" s="403">
        <f>入力2【名簿】!BR23</f>
        <v>0</v>
      </c>
      <c r="I12" s="1433">
        <f>入力2【名簿】!BS23</f>
        <v>0</v>
      </c>
      <c r="J12" s="1434"/>
      <c r="K12" s="1423">
        <f>入力2【名簿】!BU23</f>
        <v>0</v>
      </c>
      <c r="L12" s="1425"/>
      <c r="M12" s="1423">
        <f>入力2【名簿】!BW23</f>
        <v>0</v>
      </c>
      <c r="N12" s="1424"/>
      <c r="O12" s="1423">
        <f>入力2【名簿】!BY23</f>
        <v>0</v>
      </c>
      <c r="P12" s="1425"/>
      <c r="Q12" s="1423">
        <f>入力2【名簿】!CA23</f>
        <v>0</v>
      </c>
      <c r="R12" s="1424"/>
      <c r="S12" s="1423">
        <f>入力2【名簿】!CC23</f>
        <v>0</v>
      </c>
      <c r="T12" s="1425"/>
      <c r="U12" s="1423">
        <f>入力2【名簿】!CE23</f>
        <v>0</v>
      </c>
      <c r="V12" s="1424"/>
      <c r="W12" s="1423">
        <f>入力2【名簿】!CG23</f>
        <v>0</v>
      </c>
      <c r="X12" s="1425"/>
      <c r="Y12" s="1423">
        <f>入力2【名簿】!CI23</f>
        <v>0</v>
      </c>
      <c r="Z12" s="1424"/>
      <c r="AA12" s="1423">
        <f>入力2【名簿】!CK23</f>
        <v>0</v>
      </c>
      <c r="AB12" s="1425"/>
      <c r="AC12" s="1423">
        <f>入力2【名簿】!CM23</f>
        <v>0</v>
      </c>
      <c r="AD12" s="1424"/>
      <c r="AE12" s="1423">
        <f>入力2【名簿】!CO23</f>
        <v>0</v>
      </c>
      <c r="AF12" s="1425"/>
    </row>
    <row r="13" spans="3:47" ht="18" customHeight="1" x14ac:dyDescent="0.15">
      <c r="C13" s="112"/>
      <c r="D13" s="112"/>
      <c r="E13" s="391"/>
      <c r="F13" s="428"/>
      <c r="G13" s="1441"/>
      <c r="H13" s="1442"/>
      <c r="I13" s="1443" t="s">
        <v>152</v>
      </c>
      <c r="J13" s="1443"/>
      <c r="K13" s="1444">
        <f>入力2【名簿】!BU24</f>
        <v>0</v>
      </c>
      <c r="L13" s="1444"/>
      <c r="M13" s="1443" t="s">
        <v>152</v>
      </c>
      <c r="N13" s="1443"/>
      <c r="O13" s="1445">
        <f>入力2【名簿】!BY24</f>
        <v>0</v>
      </c>
      <c r="P13" s="1446"/>
      <c r="Q13" s="1443" t="s">
        <v>152</v>
      </c>
      <c r="R13" s="1443"/>
      <c r="S13" s="1445">
        <f>入力2【名簿】!CC24</f>
        <v>0</v>
      </c>
      <c r="T13" s="1446"/>
      <c r="U13" s="1443" t="s">
        <v>152</v>
      </c>
      <c r="V13" s="1443"/>
      <c r="W13" s="1445">
        <f>入力2【名簿】!CG24</f>
        <v>0</v>
      </c>
      <c r="X13" s="1446"/>
      <c r="Y13" s="1443" t="s">
        <v>152</v>
      </c>
      <c r="Z13" s="1443"/>
      <c r="AA13" s="1445">
        <f>入力2【名簿】!CK24</f>
        <v>0</v>
      </c>
      <c r="AB13" s="1446"/>
      <c r="AC13" s="1443" t="s">
        <v>152</v>
      </c>
      <c r="AD13" s="1443"/>
      <c r="AE13" s="1445">
        <f>入力2【名簿】!CO24</f>
        <v>0</v>
      </c>
      <c r="AF13" s="1446"/>
      <c r="AJ13" s="653" t="str">
        <f t="shared" ref="AJ13:AU20" ca="1" si="2">OFFSET($A14,0,COLUMN(E14)*2-2)</f>
        <v>男</v>
      </c>
      <c r="AK13" s="653" t="str">
        <f t="shared" ca="1" si="2"/>
        <v>女</v>
      </c>
      <c r="AL13" s="653" t="str">
        <f t="shared" ca="1" si="2"/>
        <v>男</v>
      </c>
      <c r="AM13" s="653" t="str">
        <f t="shared" ca="1" si="2"/>
        <v>女</v>
      </c>
      <c r="AN13" s="653" t="str">
        <f t="shared" ca="1" si="2"/>
        <v>男</v>
      </c>
      <c r="AO13" s="653" t="str">
        <f t="shared" ca="1" si="2"/>
        <v>女</v>
      </c>
      <c r="AP13" s="653" t="str">
        <f t="shared" ca="1" si="2"/>
        <v>男</v>
      </c>
      <c r="AQ13" s="653" t="str">
        <f t="shared" ca="1" si="2"/>
        <v>女</v>
      </c>
      <c r="AR13" s="653" t="str">
        <f t="shared" ca="1" si="2"/>
        <v>男</v>
      </c>
      <c r="AS13" s="653" t="str">
        <f t="shared" ca="1" si="2"/>
        <v>女</v>
      </c>
      <c r="AT13" s="653" t="str">
        <f t="shared" ca="1" si="2"/>
        <v>男</v>
      </c>
      <c r="AU13" s="653" t="str">
        <f t="shared" ca="1" si="2"/>
        <v>女</v>
      </c>
    </row>
    <row r="14" spans="3:47" ht="18" customHeight="1" x14ac:dyDescent="0.15">
      <c r="E14" s="426"/>
      <c r="F14" s="387"/>
      <c r="G14" s="387"/>
      <c r="H14" s="427"/>
      <c r="I14" s="635" t="s">
        <v>322</v>
      </c>
      <c r="J14" s="636">
        <f>SUM(I15:J21)</f>
        <v>0</v>
      </c>
      <c r="K14" s="637" t="s">
        <v>321</v>
      </c>
      <c r="L14" s="638">
        <f>SUM(K15:L21)</f>
        <v>0</v>
      </c>
      <c r="M14" s="635" t="s">
        <v>322</v>
      </c>
      <c r="N14" s="639">
        <f>SUM(M15:N21)</f>
        <v>0</v>
      </c>
      <c r="O14" s="640" t="s">
        <v>321</v>
      </c>
      <c r="P14" s="638">
        <f>SUM(O15:P21)</f>
        <v>0</v>
      </c>
      <c r="Q14" s="635" t="s">
        <v>322</v>
      </c>
      <c r="R14" s="639">
        <f>SUM(Q15:R21)</f>
        <v>0</v>
      </c>
      <c r="S14" s="640" t="s">
        <v>321</v>
      </c>
      <c r="T14" s="638">
        <f>SUM(S15:T21)</f>
        <v>0</v>
      </c>
      <c r="U14" s="635" t="s">
        <v>322</v>
      </c>
      <c r="V14" s="639">
        <f>SUM(U15:V21)</f>
        <v>0</v>
      </c>
      <c r="W14" s="640" t="s">
        <v>321</v>
      </c>
      <c r="X14" s="638">
        <f>SUM(W15:X21)</f>
        <v>0</v>
      </c>
      <c r="Y14" s="635" t="s">
        <v>322</v>
      </c>
      <c r="Z14" s="639">
        <f>SUM(Y15:Z21)</f>
        <v>0</v>
      </c>
      <c r="AA14" s="640" t="s">
        <v>321</v>
      </c>
      <c r="AB14" s="638">
        <f>SUM(AA15:AB21)</f>
        <v>0</v>
      </c>
      <c r="AC14" s="635" t="s">
        <v>322</v>
      </c>
      <c r="AD14" s="636">
        <f>SUM(AC15:AD21)</f>
        <v>0</v>
      </c>
      <c r="AE14" s="637" t="s">
        <v>321</v>
      </c>
      <c r="AF14" s="638">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x14ac:dyDescent="0.15">
      <c r="C15" s="1404" t="s">
        <v>283</v>
      </c>
      <c r="D15" s="1405"/>
      <c r="E15" s="412"/>
      <c r="F15" s="413"/>
      <c r="G15" s="412"/>
      <c r="H15" s="411"/>
      <c r="I15" s="1459">
        <f>入力2【名簿】!BS26</f>
        <v>0</v>
      </c>
      <c r="J15" s="1460"/>
      <c r="K15" s="1437">
        <f>入力2【名簿】!BU26</f>
        <v>0</v>
      </c>
      <c r="L15" s="1438"/>
      <c r="M15" s="1439">
        <f>入力2【名簿】!BW26</f>
        <v>0</v>
      </c>
      <c r="N15" s="1440"/>
      <c r="O15" s="1439">
        <f>入力2【名簿】!BY26</f>
        <v>0</v>
      </c>
      <c r="P15" s="1438"/>
      <c r="Q15" s="1439">
        <f>入力2【名簿】!CA26</f>
        <v>0</v>
      </c>
      <c r="R15" s="1440"/>
      <c r="S15" s="1439">
        <f>入力2【名簿】!CC26</f>
        <v>0</v>
      </c>
      <c r="T15" s="1438"/>
      <c r="U15" s="1439">
        <f>入力2【名簿】!CE26</f>
        <v>0</v>
      </c>
      <c r="V15" s="1440"/>
      <c r="W15" s="1439">
        <f>入力2【名簿】!CG26</f>
        <v>0</v>
      </c>
      <c r="X15" s="1438"/>
      <c r="Y15" s="1439">
        <f>入力2【名簿】!CI26</f>
        <v>0</v>
      </c>
      <c r="Z15" s="1440"/>
      <c r="AA15" s="1439">
        <f>入力2【名簿】!CK26</f>
        <v>0</v>
      </c>
      <c r="AB15" s="1438"/>
      <c r="AC15" s="1439">
        <f>入力2【名簿】!CM26</f>
        <v>0</v>
      </c>
      <c r="AD15" s="1440"/>
      <c r="AE15" s="1437">
        <f>入力2【名簿】!CO26</f>
        <v>0</v>
      </c>
      <c r="AF15" s="1438"/>
      <c r="AI15" s="48" t="str">
        <f t="shared" ca="1" si="3"/>
        <v>3歳-学齢前</v>
      </c>
      <c r="AJ15" s="48">
        <f t="shared" ca="1" si="2"/>
        <v>0</v>
      </c>
      <c r="AK15" s="48">
        <f t="shared" ca="1" si="2"/>
        <v>0</v>
      </c>
      <c r="AL15" s="48">
        <f t="shared" ca="1" si="2"/>
        <v>0</v>
      </c>
      <c r="AM15" s="48">
        <f t="shared" ca="1" si="2"/>
        <v>0</v>
      </c>
      <c r="AN15" s="48">
        <f t="shared" ca="1" si="2"/>
        <v>0</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x14ac:dyDescent="0.15">
      <c r="C16" s="1402" t="s">
        <v>284</v>
      </c>
      <c r="D16" s="1403"/>
      <c r="E16" s="404"/>
      <c r="F16" s="405"/>
      <c r="G16" s="404"/>
      <c r="H16" s="403"/>
      <c r="I16" s="1433">
        <f>入力2【名簿】!BS27</f>
        <v>0</v>
      </c>
      <c r="J16" s="1434"/>
      <c r="K16" s="1435">
        <f>入力2【名簿】!BU27</f>
        <v>0</v>
      </c>
      <c r="L16" s="1436"/>
      <c r="M16" s="1433">
        <f>入力2【名簿】!BW27</f>
        <v>0</v>
      </c>
      <c r="N16" s="1434"/>
      <c r="O16" s="1433">
        <f>入力2【名簿】!BY27</f>
        <v>0</v>
      </c>
      <c r="P16" s="1436"/>
      <c r="Q16" s="1433">
        <f>入力2【名簿】!CA27</f>
        <v>0</v>
      </c>
      <c r="R16" s="1434"/>
      <c r="S16" s="1433">
        <f>入力2【名簿】!CC27</f>
        <v>0</v>
      </c>
      <c r="T16" s="1436"/>
      <c r="U16" s="1433">
        <f>入力2【名簿】!CE27</f>
        <v>0</v>
      </c>
      <c r="V16" s="1434"/>
      <c r="W16" s="1433">
        <f>入力2【名簿】!CG27</f>
        <v>0</v>
      </c>
      <c r="X16" s="1436"/>
      <c r="Y16" s="1433">
        <f>入力2【名簿】!CI27</f>
        <v>0</v>
      </c>
      <c r="Z16" s="1434"/>
      <c r="AA16" s="1433">
        <f>入力2【名簿】!CK27</f>
        <v>0</v>
      </c>
      <c r="AB16" s="1436"/>
      <c r="AC16" s="1433">
        <f>入力2【名簿】!CM27</f>
        <v>0</v>
      </c>
      <c r="AD16" s="1434"/>
      <c r="AE16" s="1435">
        <f>入力2【名簿】!CO27</f>
        <v>0</v>
      </c>
      <c r="AF16" s="1436"/>
      <c r="AI16" s="48" t="str">
        <f t="shared" ca="1" si="3"/>
        <v>小学生</v>
      </c>
      <c r="AJ16" s="48">
        <f t="shared" ca="1" si="2"/>
        <v>0</v>
      </c>
      <c r="AK16" s="48">
        <f t="shared" ca="1" si="2"/>
        <v>0</v>
      </c>
      <c r="AL16" s="48">
        <f t="shared" ca="1" si="2"/>
        <v>0</v>
      </c>
      <c r="AM16" s="48">
        <f t="shared" ca="1" si="2"/>
        <v>0</v>
      </c>
      <c r="AN16" s="48">
        <f t="shared" ca="1" si="2"/>
        <v>0</v>
      </c>
      <c r="AO16" s="48">
        <f t="shared" ca="1" si="2"/>
        <v>0</v>
      </c>
      <c r="AP16" s="48">
        <f t="shared" ca="1" si="2"/>
        <v>0</v>
      </c>
      <c r="AQ16" s="48">
        <f t="shared" ca="1" si="2"/>
        <v>0</v>
      </c>
      <c r="AR16" s="48">
        <f t="shared" ca="1" si="2"/>
        <v>0</v>
      </c>
      <c r="AS16" s="48">
        <f t="shared" ca="1" si="2"/>
        <v>0</v>
      </c>
      <c r="AT16" s="48">
        <f t="shared" ca="1" si="2"/>
        <v>0</v>
      </c>
      <c r="AU16" s="48">
        <f t="shared" ca="1" si="2"/>
        <v>0</v>
      </c>
    </row>
    <row r="17" spans="3:47" ht="18" customHeight="1" x14ac:dyDescent="0.15">
      <c r="C17" s="1402" t="s">
        <v>83</v>
      </c>
      <c r="D17" s="1403"/>
      <c r="E17" s="404"/>
      <c r="F17" s="405"/>
      <c r="G17" s="404"/>
      <c r="H17" s="403"/>
      <c r="I17" s="1433">
        <f>入力2【名簿】!BS28</f>
        <v>0</v>
      </c>
      <c r="J17" s="1434"/>
      <c r="K17" s="1435">
        <f>入力2【名簿】!BU28</f>
        <v>0</v>
      </c>
      <c r="L17" s="1436"/>
      <c r="M17" s="1433">
        <f>入力2【名簿】!BW28</f>
        <v>0</v>
      </c>
      <c r="N17" s="1434"/>
      <c r="O17" s="1433">
        <f>入力2【名簿】!BY28</f>
        <v>0</v>
      </c>
      <c r="P17" s="1436"/>
      <c r="Q17" s="1433">
        <f>入力2【名簿】!CA28</f>
        <v>0</v>
      </c>
      <c r="R17" s="1434"/>
      <c r="S17" s="1433">
        <f>入力2【名簿】!CC28</f>
        <v>0</v>
      </c>
      <c r="T17" s="1436"/>
      <c r="U17" s="1433">
        <f>入力2【名簿】!CE28</f>
        <v>0</v>
      </c>
      <c r="V17" s="1434"/>
      <c r="W17" s="1433">
        <f>入力2【名簿】!CG28</f>
        <v>0</v>
      </c>
      <c r="X17" s="1436"/>
      <c r="Y17" s="1433">
        <f>入力2【名簿】!CI28</f>
        <v>0</v>
      </c>
      <c r="Z17" s="1434"/>
      <c r="AA17" s="1433">
        <f>入力2【名簿】!CK28</f>
        <v>0</v>
      </c>
      <c r="AB17" s="1436"/>
      <c r="AC17" s="1433">
        <f>入力2【名簿】!CM28</f>
        <v>0</v>
      </c>
      <c r="AD17" s="1434"/>
      <c r="AE17" s="1435">
        <f>入力2【名簿】!CO28</f>
        <v>0</v>
      </c>
      <c r="AF17" s="1436"/>
      <c r="AI17" s="48" t="str">
        <f t="shared" ca="1" si="3"/>
        <v>中学生</v>
      </c>
      <c r="AJ17" s="48">
        <f t="shared" ca="1" si="2"/>
        <v>0</v>
      </c>
      <c r="AK17" s="48">
        <f t="shared" ca="1" si="2"/>
        <v>0</v>
      </c>
      <c r="AL17" s="48">
        <f t="shared" ca="1" si="2"/>
        <v>0</v>
      </c>
      <c r="AM17" s="48">
        <f t="shared" ca="1" si="2"/>
        <v>0</v>
      </c>
      <c r="AN17" s="48">
        <f t="shared" ca="1" si="2"/>
        <v>0</v>
      </c>
      <c r="AO17" s="48">
        <f t="shared" ca="1" si="2"/>
        <v>0</v>
      </c>
      <c r="AP17" s="48">
        <f t="shared" ca="1" si="2"/>
        <v>0</v>
      </c>
      <c r="AQ17" s="48">
        <f t="shared" ca="1" si="2"/>
        <v>0</v>
      </c>
      <c r="AR17" s="48">
        <f t="shared" ca="1" si="2"/>
        <v>0</v>
      </c>
      <c r="AS17" s="48">
        <f t="shared" ca="1" si="2"/>
        <v>0</v>
      </c>
      <c r="AT17" s="48">
        <f t="shared" ca="1" si="2"/>
        <v>0</v>
      </c>
      <c r="AU17" s="48">
        <f t="shared" ca="1" si="2"/>
        <v>0</v>
      </c>
    </row>
    <row r="18" spans="3:47" ht="18" customHeight="1" x14ac:dyDescent="0.15">
      <c r="C18" s="1402" t="s">
        <v>84</v>
      </c>
      <c r="D18" s="1403"/>
      <c r="E18" s="404"/>
      <c r="F18" s="405"/>
      <c r="G18" s="404"/>
      <c r="H18" s="403"/>
      <c r="I18" s="1433">
        <f>入力2【名簿】!BS29</f>
        <v>0</v>
      </c>
      <c r="J18" s="1434"/>
      <c r="K18" s="1435">
        <f>入力2【名簿】!BU29</f>
        <v>0</v>
      </c>
      <c r="L18" s="1436"/>
      <c r="M18" s="1433">
        <f>入力2【名簿】!BW29</f>
        <v>0</v>
      </c>
      <c r="N18" s="1434"/>
      <c r="O18" s="1433">
        <f>入力2【名簿】!BY29</f>
        <v>0</v>
      </c>
      <c r="P18" s="1436"/>
      <c r="Q18" s="1433">
        <f>入力2【名簿】!CA29</f>
        <v>0</v>
      </c>
      <c r="R18" s="1434"/>
      <c r="S18" s="1433">
        <f>入力2【名簿】!CC29</f>
        <v>0</v>
      </c>
      <c r="T18" s="1436"/>
      <c r="U18" s="1433">
        <f>入力2【名簿】!CE29</f>
        <v>0</v>
      </c>
      <c r="V18" s="1434"/>
      <c r="W18" s="1433">
        <f>入力2【名簿】!CG29</f>
        <v>0</v>
      </c>
      <c r="X18" s="1436"/>
      <c r="Y18" s="1433">
        <f>入力2【名簿】!CI29</f>
        <v>0</v>
      </c>
      <c r="Z18" s="1434"/>
      <c r="AA18" s="1433">
        <f>入力2【名簿】!CK29</f>
        <v>0</v>
      </c>
      <c r="AB18" s="1436"/>
      <c r="AC18" s="1433">
        <f>入力2【名簿】!CM29</f>
        <v>0</v>
      </c>
      <c r="AD18" s="1434"/>
      <c r="AE18" s="1435">
        <f>入力2【名簿】!CO29</f>
        <v>0</v>
      </c>
      <c r="AF18" s="1436"/>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x14ac:dyDescent="0.15">
      <c r="C19" s="1402" t="s">
        <v>285</v>
      </c>
      <c r="D19" s="1403"/>
      <c r="E19" s="404"/>
      <c r="F19" s="405"/>
      <c r="G19" s="404"/>
      <c r="H19" s="403"/>
      <c r="I19" s="1433">
        <f>入力2【名簿】!BS30</f>
        <v>0</v>
      </c>
      <c r="J19" s="1434"/>
      <c r="K19" s="1435">
        <f>入力2【名簿】!BU30</f>
        <v>0</v>
      </c>
      <c r="L19" s="1436"/>
      <c r="M19" s="1433">
        <f>入力2【名簿】!BW30</f>
        <v>0</v>
      </c>
      <c r="N19" s="1434"/>
      <c r="O19" s="1433">
        <f>入力2【名簿】!BY30</f>
        <v>0</v>
      </c>
      <c r="P19" s="1436"/>
      <c r="Q19" s="1433">
        <f>入力2【名簿】!CA30</f>
        <v>0</v>
      </c>
      <c r="R19" s="1434"/>
      <c r="S19" s="1433">
        <f>入力2【名簿】!CC30</f>
        <v>0</v>
      </c>
      <c r="T19" s="1436"/>
      <c r="U19" s="1433">
        <f>入力2【名簿】!CE30</f>
        <v>0</v>
      </c>
      <c r="V19" s="1434"/>
      <c r="W19" s="1433">
        <f>入力2【名簿】!CG30</f>
        <v>0</v>
      </c>
      <c r="X19" s="1436"/>
      <c r="Y19" s="1433">
        <f>入力2【名簿】!CI30</f>
        <v>0</v>
      </c>
      <c r="Z19" s="1434"/>
      <c r="AA19" s="1433">
        <f>入力2【名簿】!CK30</f>
        <v>0</v>
      </c>
      <c r="AB19" s="1436"/>
      <c r="AC19" s="1433">
        <f>入力2【名簿】!CM30</f>
        <v>0</v>
      </c>
      <c r="AD19" s="1434"/>
      <c r="AE19" s="1435">
        <f>入力2【名簿】!CO30</f>
        <v>0</v>
      </c>
      <c r="AF19" s="1436"/>
      <c r="AI19" s="48" t="str">
        <f t="shared" ca="1" si="3"/>
        <v>指導者等</v>
      </c>
      <c r="AJ19" s="48">
        <f t="shared" ca="1" si="2"/>
        <v>0</v>
      </c>
      <c r="AK19" s="48">
        <f t="shared" ca="1" si="2"/>
        <v>0</v>
      </c>
      <c r="AL19" s="48">
        <f t="shared" ca="1" si="2"/>
        <v>0</v>
      </c>
      <c r="AM19" s="48">
        <f t="shared" ca="1" si="2"/>
        <v>0</v>
      </c>
      <c r="AN19" s="48">
        <f t="shared" ca="1" si="2"/>
        <v>0</v>
      </c>
      <c r="AO19" s="48">
        <f t="shared" ca="1" si="2"/>
        <v>0</v>
      </c>
      <c r="AP19" s="48">
        <f t="shared" ca="1" si="2"/>
        <v>0</v>
      </c>
      <c r="AQ19" s="48">
        <f t="shared" ca="1" si="2"/>
        <v>0</v>
      </c>
      <c r="AR19" s="48">
        <f t="shared" ca="1" si="2"/>
        <v>0</v>
      </c>
      <c r="AS19" s="48">
        <f t="shared" ca="1" si="2"/>
        <v>0</v>
      </c>
      <c r="AT19" s="48">
        <f t="shared" ca="1" si="2"/>
        <v>0</v>
      </c>
      <c r="AU19" s="48">
        <f t="shared" ca="1" si="2"/>
        <v>0</v>
      </c>
    </row>
    <row r="20" spans="3:47" ht="18" customHeight="1" x14ac:dyDescent="0.15">
      <c r="C20" s="1402" t="s">
        <v>286</v>
      </c>
      <c r="D20" s="1403"/>
      <c r="E20" s="404"/>
      <c r="F20" s="405"/>
      <c r="G20" s="404"/>
      <c r="H20" s="403"/>
      <c r="I20" s="1433">
        <f>入力2【名簿】!BS31</f>
        <v>0</v>
      </c>
      <c r="J20" s="1434"/>
      <c r="K20" s="1435">
        <f>入力2【名簿】!BU31</f>
        <v>0</v>
      </c>
      <c r="L20" s="1436"/>
      <c r="M20" s="1433">
        <f>入力2【名簿】!BW31</f>
        <v>0</v>
      </c>
      <c r="N20" s="1434"/>
      <c r="O20" s="1433">
        <f>入力2【名簿】!BY31</f>
        <v>0</v>
      </c>
      <c r="P20" s="1436"/>
      <c r="Q20" s="1433">
        <f>入力2【名簿】!CA31</f>
        <v>0</v>
      </c>
      <c r="R20" s="1434"/>
      <c r="S20" s="1433">
        <f>入力2【名簿】!CC31</f>
        <v>0</v>
      </c>
      <c r="T20" s="1436"/>
      <c r="U20" s="1433">
        <f>入力2【名簿】!CE31</f>
        <v>0</v>
      </c>
      <c r="V20" s="1434"/>
      <c r="W20" s="1433">
        <f>入力2【名簿】!CG31</f>
        <v>0</v>
      </c>
      <c r="X20" s="1436"/>
      <c r="Y20" s="1433">
        <f>入力2【名簿】!CI31</f>
        <v>0</v>
      </c>
      <c r="Z20" s="1434"/>
      <c r="AA20" s="1433">
        <f>入力2【名簿】!CK31</f>
        <v>0</v>
      </c>
      <c r="AB20" s="1436"/>
      <c r="AC20" s="1433">
        <f>入力2【名簿】!CM31</f>
        <v>0</v>
      </c>
      <c r="AD20" s="1434"/>
      <c r="AE20" s="1435">
        <f>入力2【名簿】!CO31</f>
        <v>0</v>
      </c>
      <c r="AF20" s="1436"/>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x14ac:dyDescent="0.15">
      <c r="C21" s="1409" t="s">
        <v>320</v>
      </c>
      <c r="D21" s="1410"/>
      <c r="E21" s="397"/>
      <c r="F21" s="398"/>
      <c r="G21" s="397"/>
      <c r="H21" s="396"/>
      <c r="I21" s="1433">
        <f>入力2【名簿】!BS32</f>
        <v>0</v>
      </c>
      <c r="J21" s="1434"/>
      <c r="K21" s="1423">
        <f>入力2【名簿】!BU32</f>
        <v>0</v>
      </c>
      <c r="L21" s="1425"/>
      <c r="M21" s="1423">
        <f>入力2【名簿】!BW32</f>
        <v>0</v>
      </c>
      <c r="N21" s="1424"/>
      <c r="O21" s="1423">
        <f>入力2【名簿】!BY32</f>
        <v>0</v>
      </c>
      <c r="P21" s="1425"/>
      <c r="Q21" s="1423">
        <f>入力2【名簿】!CA32</f>
        <v>0</v>
      </c>
      <c r="R21" s="1424"/>
      <c r="S21" s="1423">
        <f>入力2【名簿】!CC32</f>
        <v>0</v>
      </c>
      <c r="T21" s="1425"/>
      <c r="U21" s="1426">
        <f>入力2【名簿】!CE32</f>
        <v>0</v>
      </c>
      <c r="V21" s="1427"/>
      <c r="W21" s="1423">
        <f>入力2【名簿】!CG32</f>
        <v>0</v>
      </c>
      <c r="X21" s="1425"/>
      <c r="Y21" s="1423">
        <f>入力2【名簿】!CI32</f>
        <v>0</v>
      </c>
      <c r="Z21" s="1424"/>
      <c r="AA21" s="1423">
        <f>入力2【名簿】!CK32</f>
        <v>0</v>
      </c>
      <c r="AB21" s="1425"/>
      <c r="AC21" s="1423">
        <f>入力2【名簿】!CM32</f>
        <v>0</v>
      </c>
      <c r="AD21" s="1424"/>
      <c r="AE21" s="1423">
        <f>入力2【名簿】!CO32</f>
        <v>0</v>
      </c>
      <c r="AF21" s="1425"/>
    </row>
    <row r="22" spans="3:47" ht="18" customHeight="1" x14ac:dyDescent="0.15">
      <c r="C22" s="388"/>
      <c r="D22" s="388"/>
      <c r="E22" s="112"/>
      <c r="F22" s="112"/>
      <c r="G22" s="389"/>
      <c r="H22" s="389"/>
      <c r="I22" s="391"/>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x14ac:dyDescent="0.15">
      <c r="C23" s="388" t="s">
        <v>319</v>
      </c>
      <c r="D23" s="388"/>
      <c r="E23" s="112"/>
      <c r="F23" s="112"/>
      <c r="G23" s="389"/>
      <c r="H23" s="389"/>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x14ac:dyDescent="0.15">
      <c r="C24" s="388"/>
      <c r="D24" s="388"/>
      <c r="E24" s="112"/>
      <c r="F24" s="112"/>
      <c r="G24" s="389"/>
      <c r="H24" s="389"/>
      <c r="I24" s="1430" t="s">
        <v>248</v>
      </c>
      <c r="J24" s="1431"/>
      <c r="K24" s="1431"/>
      <c r="L24" s="1432"/>
      <c r="M24" s="1430" t="s">
        <v>249</v>
      </c>
      <c r="N24" s="1431"/>
      <c r="O24" s="1431"/>
      <c r="P24" s="1432"/>
      <c r="Q24" s="1430" t="s">
        <v>250</v>
      </c>
      <c r="R24" s="1431"/>
      <c r="S24" s="1431"/>
      <c r="T24" s="1432"/>
      <c r="U24" s="1430" t="s">
        <v>332</v>
      </c>
      <c r="V24" s="1431"/>
      <c r="W24" s="1431"/>
      <c r="X24" s="1431"/>
      <c r="Y24" s="1453" t="s">
        <v>331</v>
      </c>
      <c r="Z24" s="1454"/>
      <c r="AA24" s="1454"/>
      <c r="AB24" s="1454"/>
      <c r="AC24" s="1447" t="s">
        <v>330</v>
      </c>
      <c r="AD24" s="1448"/>
      <c r="AE24" s="1448"/>
      <c r="AF24" s="1449"/>
    </row>
    <row r="25" spans="3:47" ht="18" customHeight="1" x14ac:dyDescent="0.15">
      <c r="C25" s="112"/>
      <c r="D25" s="112"/>
      <c r="E25" s="426"/>
      <c r="F25" s="387"/>
      <c r="G25" s="1428"/>
      <c r="H25" s="1429"/>
      <c r="I25" s="425"/>
      <c r="J25" s="424" t="s">
        <v>151</v>
      </c>
      <c r="K25" s="424" t="s">
        <v>150</v>
      </c>
      <c r="L25" s="420" t="s">
        <v>287</v>
      </c>
      <c r="M25" s="423"/>
      <c r="N25" s="424" t="s">
        <v>151</v>
      </c>
      <c r="O25" s="424" t="s">
        <v>150</v>
      </c>
      <c r="P25" s="420" t="s">
        <v>287</v>
      </c>
      <c r="Q25" s="423"/>
      <c r="R25" s="424" t="s">
        <v>151</v>
      </c>
      <c r="S25" s="424" t="s">
        <v>150</v>
      </c>
      <c r="T25" s="420" t="s">
        <v>287</v>
      </c>
      <c r="U25" s="423"/>
      <c r="V25" s="424" t="s">
        <v>151</v>
      </c>
      <c r="W25" s="424" t="s">
        <v>150</v>
      </c>
      <c r="X25" s="420" t="s">
        <v>287</v>
      </c>
      <c r="Y25" s="423"/>
      <c r="Z25" s="424" t="s">
        <v>151</v>
      </c>
      <c r="AA25" s="424" t="s">
        <v>150</v>
      </c>
      <c r="AB25" s="420" t="s">
        <v>287</v>
      </c>
      <c r="AC25" s="423"/>
      <c r="AD25" s="422" t="s">
        <v>151</v>
      </c>
      <c r="AE25" s="421" t="s">
        <v>150</v>
      </c>
      <c r="AF25" s="648" t="s">
        <v>287</v>
      </c>
    </row>
    <row r="26" spans="3:47" ht="18" customHeight="1" x14ac:dyDescent="0.2">
      <c r="C26" s="1422" t="s">
        <v>288</v>
      </c>
      <c r="D26" s="1422"/>
      <c r="E26" s="383"/>
      <c r="F26" s="112"/>
      <c r="G26" s="419"/>
      <c r="H26" s="418"/>
      <c r="I26" s="417"/>
      <c r="J26" s="415">
        <f>入力2【名簿】!BT35</f>
        <v>0</v>
      </c>
      <c r="K26" s="415">
        <f>入力2【名簿】!BU35</f>
        <v>0</v>
      </c>
      <c r="L26" s="414">
        <f>入力2【名簿】!BV35</f>
        <v>0</v>
      </c>
      <c r="M26" s="416"/>
      <c r="N26" s="415">
        <f>入力2【名簿】!BX35</f>
        <v>0</v>
      </c>
      <c r="O26" s="415">
        <f>入力2【名簿】!BY35</f>
        <v>0</v>
      </c>
      <c r="P26" s="414">
        <f>入力2【名簿】!BZ35</f>
        <v>0</v>
      </c>
      <c r="Q26" s="416"/>
      <c r="R26" s="415">
        <f>入力2【名簿】!CB35</f>
        <v>0</v>
      </c>
      <c r="S26" s="415">
        <f>入力2【名簿】!CC35</f>
        <v>0</v>
      </c>
      <c r="T26" s="414">
        <f>入力2【名簿】!CD35</f>
        <v>0</v>
      </c>
      <c r="U26" s="416"/>
      <c r="V26" s="415">
        <f>入力2【名簿】!CF35</f>
        <v>0</v>
      </c>
      <c r="W26" s="415">
        <f>入力2【名簿】!CG35</f>
        <v>0</v>
      </c>
      <c r="X26" s="415">
        <f>入力2【名簿】!CH35</f>
        <v>0</v>
      </c>
      <c r="Y26" s="416"/>
      <c r="Z26" s="415">
        <f>入力2【名簿】!CJ35</f>
        <v>0</v>
      </c>
      <c r="AA26" s="415">
        <f>入力2【名簿】!CK35</f>
        <v>0</v>
      </c>
      <c r="AB26" s="414">
        <f>入力2【名簿】!CL35</f>
        <v>0</v>
      </c>
      <c r="AC26" s="649"/>
      <c r="AD26" s="415">
        <f>入力2【名簿】!CN35</f>
        <v>0</v>
      </c>
      <c r="AE26" s="415">
        <f>入力2【名簿】!CO35</f>
        <v>0</v>
      </c>
      <c r="AF26" s="414">
        <f>入力2【名簿】!CP35</f>
        <v>0</v>
      </c>
    </row>
    <row r="27" spans="3:47" ht="18" customHeight="1" x14ac:dyDescent="0.15">
      <c r="C27" s="1404" t="s">
        <v>283</v>
      </c>
      <c r="D27" s="1405"/>
      <c r="E27" s="412"/>
      <c r="F27" s="413"/>
      <c r="G27" s="412"/>
      <c r="H27" s="411"/>
      <c r="I27" s="410"/>
      <c r="J27" s="408">
        <f>入力2【名簿】!BT36</f>
        <v>0</v>
      </c>
      <c r="K27" s="408">
        <f>入力2【名簿】!BU36</f>
        <v>0</v>
      </c>
      <c r="L27" s="407">
        <f>入力2【名簿】!BV36</f>
        <v>0</v>
      </c>
      <c r="M27" s="409"/>
      <c r="N27" s="408">
        <f>入力2【名簿】!BX36</f>
        <v>0</v>
      </c>
      <c r="O27" s="408">
        <f>入力2【名簿】!BY36</f>
        <v>0</v>
      </c>
      <c r="P27" s="407">
        <f>入力2【名簿】!BZ36</f>
        <v>0</v>
      </c>
      <c r="Q27" s="409"/>
      <c r="R27" s="408">
        <f>入力2【名簿】!CB36</f>
        <v>0</v>
      </c>
      <c r="S27" s="408">
        <f>入力2【名簿】!CC36</f>
        <v>0</v>
      </c>
      <c r="T27" s="407">
        <f>入力2【名簿】!CD36</f>
        <v>0</v>
      </c>
      <c r="U27" s="409"/>
      <c r="V27" s="408">
        <f>入力2【名簿】!CF36</f>
        <v>0</v>
      </c>
      <c r="W27" s="408">
        <f>入力2【名簿】!CG36</f>
        <v>0</v>
      </c>
      <c r="X27" s="408">
        <f>入力2【名簿】!CH36</f>
        <v>0</v>
      </c>
      <c r="Y27" s="409"/>
      <c r="Z27" s="408">
        <f>入力2【名簿】!CJ36</f>
        <v>0</v>
      </c>
      <c r="AA27" s="408">
        <f>入力2【名簿】!CK36</f>
        <v>0</v>
      </c>
      <c r="AB27" s="407">
        <f>入力2【名簿】!CL36</f>
        <v>0</v>
      </c>
      <c r="AC27" s="650"/>
      <c r="AD27" s="408">
        <f>入力2【名簿】!CN36</f>
        <v>0</v>
      </c>
      <c r="AE27" s="408">
        <f>入力2【名簿】!CO36</f>
        <v>0</v>
      </c>
      <c r="AF27" s="407">
        <f>入力2【名簿】!CP36</f>
        <v>0</v>
      </c>
    </row>
    <row r="28" spans="3:47" ht="18" customHeight="1" x14ac:dyDescent="0.15">
      <c r="C28" s="1402" t="s">
        <v>284</v>
      </c>
      <c r="D28" s="1403"/>
      <c r="E28" s="404"/>
      <c r="F28" s="405"/>
      <c r="G28" s="404"/>
      <c r="H28" s="403"/>
      <c r="I28" s="402"/>
      <c r="J28" s="400">
        <f>入力2【名簿】!BT37</f>
        <v>0</v>
      </c>
      <c r="K28" s="400">
        <f>入力2【名簿】!BU37</f>
        <v>0</v>
      </c>
      <c r="L28" s="399">
        <f>入力2【名簿】!BV37</f>
        <v>0</v>
      </c>
      <c r="M28" s="406"/>
      <c r="N28" s="400">
        <f>入力2【名簿】!BX37</f>
        <v>0</v>
      </c>
      <c r="O28" s="400">
        <f>入力2【名簿】!BY37</f>
        <v>0</v>
      </c>
      <c r="P28" s="399">
        <f>入力2【名簿】!BZ37</f>
        <v>0</v>
      </c>
      <c r="Q28" s="406"/>
      <c r="R28" s="400">
        <f>入力2【名簿】!CB37</f>
        <v>0</v>
      </c>
      <c r="S28" s="400">
        <f>入力2【名簿】!CC37</f>
        <v>0</v>
      </c>
      <c r="T28" s="399">
        <f>入力2【名簿】!CD37</f>
        <v>0</v>
      </c>
      <c r="U28" s="406"/>
      <c r="V28" s="400">
        <f>入力2【名簿】!CF37</f>
        <v>0</v>
      </c>
      <c r="W28" s="400">
        <f>入力2【名簿】!CG37</f>
        <v>0</v>
      </c>
      <c r="X28" s="400">
        <f>入力2【名簿】!CH37</f>
        <v>0</v>
      </c>
      <c r="Y28" s="406"/>
      <c r="Z28" s="400">
        <f>入力2【名簿】!CJ37</f>
        <v>0</v>
      </c>
      <c r="AA28" s="400">
        <f>入力2【名簿】!CK37</f>
        <v>0</v>
      </c>
      <c r="AB28" s="399">
        <f>入力2【名簿】!CL37</f>
        <v>0</v>
      </c>
      <c r="AC28" s="651"/>
      <c r="AD28" s="400">
        <f>入力2【名簿】!CN37</f>
        <v>0</v>
      </c>
      <c r="AE28" s="400">
        <f>入力2【名簿】!CO37</f>
        <v>0</v>
      </c>
      <c r="AF28" s="399">
        <f>入力2【名簿】!CP37</f>
        <v>0</v>
      </c>
    </row>
    <row r="29" spans="3:47" ht="18" customHeight="1" x14ac:dyDescent="0.15">
      <c r="C29" s="1402" t="s">
        <v>83</v>
      </c>
      <c r="D29" s="1403"/>
      <c r="E29" s="404"/>
      <c r="F29" s="405"/>
      <c r="G29" s="404"/>
      <c r="H29" s="403"/>
      <c r="I29" s="402"/>
      <c r="J29" s="400">
        <f>入力2【名簿】!BT38</f>
        <v>0</v>
      </c>
      <c r="K29" s="400">
        <f>入力2【名簿】!BU38</f>
        <v>0</v>
      </c>
      <c r="L29" s="399">
        <f>入力2【名簿】!BV38</f>
        <v>0</v>
      </c>
      <c r="M29" s="406"/>
      <c r="N29" s="400">
        <f>入力2【名簿】!BX38</f>
        <v>0</v>
      </c>
      <c r="O29" s="400">
        <f>入力2【名簿】!BY38</f>
        <v>0</v>
      </c>
      <c r="P29" s="399">
        <f>入力2【名簿】!BZ38</f>
        <v>0</v>
      </c>
      <c r="Q29" s="406"/>
      <c r="R29" s="400">
        <f>入力2【名簿】!CB38</f>
        <v>0</v>
      </c>
      <c r="S29" s="400">
        <f>入力2【名簿】!CC38</f>
        <v>0</v>
      </c>
      <c r="T29" s="399">
        <f>入力2【名簿】!CD38</f>
        <v>0</v>
      </c>
      <c r="U29" s="406"/>
      <c r="V29" s="400">
        <f>入力2【名簿】!CF38</f>
        <v>0</v>
      </c>
      <c r="W29" s="400">
        <f>入力2【名簿】!CG38</f>
        <v>0</v>
      </c>
      <c r="X29" s="400">
        <f>入力2【名簿】!CH38</f>
        <v>0</v>
      </c>
      <c r="Y29" s="406"/>
      <c r="Z29" s="400">
        <f>入力2【名簿】!CJ38</f>
        <v>0</v>
      </c>
      <c r="AA29" s="400">
        <f>入力2【名簿】!CK38</f>
        <v>0</v>
      </c>
      <c r="AB29" s="399">
        <f>入力2【名簿】!CL38</f>
        <v>0</v>
      </c>
      <c r="AC29" s="651"/>
      <c r="AD29" s="400">
        <f>入力2【名簿】!CN38</f>
        <v>0</v>
      </c>
      <c r="AE29" s="400">
        <f>入力2【名簿】!CO38</f>
        <v>0</v>
      </c>
      <c r="AF29" s="399">
        <f>入力2【名簿】!CP38</f>
        <v>0</v>
      </c>
    </row>
    <row r="30" spans="3:47" ht="18" customHeight="1" x14ac:dyDescent="0.15">
      <c r="C30" s="1402" t="s">
        <v>84</v>
      </c>
      <c r="D30" s="1403"/>
      <c r="E30" s="404"/>
      <c r="F30" s="405"/>
      <c r="G30" s="404"/>
      <c r="H30" s="403"/>
      <c r="I30" s="402"/>
      <c r="J30" s="400">
        <f>入力2【名簿】!BT39</f>
        <v>0</v>
      </c>
      <c r="K30" s="400">
        <f>入力2【名簿】!BU39</f>
        <v>0</v>
      </c>
      <c r="L30" s="399">
        <f>入力2【名簿】!BV39</f>
        <v>0</v>
      </c>
      <c r="M30" s="406"/>
      <c r="N30" s="400">
        <f>入力2【名簿】!BX39</f>
        <v>0</v>
      </c>
      <c r="O30" s="400">
        <f>入力2【名簿】!BY39</f>
        <v>0</v>
      </c>
      <c r="P30" s="399">
        <f>入力2【名簿】!BZ39</f>
        <v>0</v>
      </c>
      <c r="Q30" s="406"/>
      <c r="R30" s="400">
        <f>入力2【名簿】!CB39</f>
        <v>0</v>
      </c>
      <c r="S30" s="400">
        <f>入力2【名簿】!CC39</f>
        <v>0</v>
      </c>
      <c r="T30" s="399">
        <f>入力2【名簿】!CD39</f>
        <v>0</v>
      </c>
      <c r="U30" s="406"/>
      <c r="V30" s="400">
        <f>入力2【名簿】!CF39</f>
        <v>0</v>
      </c>
      <c r="W30" s="400">
        <f>入力2【名簿】!CG39</f>
        <v>0</v>
      </c>
      <c r="X30" s="400">
        <f>入力2【名簿】!CH39</f>
        <v>0</v>
      </c>
      <c r="Y30" s="406"/>
      <c r="Z30" s="400">
        <f>入力2【名簿】!CJ39</f>
        <v>0</v>
      </c>
      <c r="AA30" s="400">
        <f>入力2【名簿】!CK39</f>
        <v>0</v>
      </c>
      <c r="AB30" s="399">
        <f>入力2【名簿】!CL39</f>
        <v>0</v>
      </c>
      <c r="AC30" s="651"/>
      <c r="AD30" s="400">
        <f>入力2【名簿】!CN39</f>
        <v>0</v>
      </c>
      <c r="AE30" s="400">
        <f>入力2【名簿】!CO39</f>
        <v>0</v>
      </c>
      <c r="AF30" s="399">
        <f>入力2【名簿】!CP39</f>
        <v>0</v>
      </c>
    </row>
    <row r="31" spans="3:47" ht="18" customHeight="1" x14ac:dyDescent="0.15">
      <c r="C31" s="1402" t="s">
        <v>285</v>
      </c>
      <c r="D31" s="1403"/>
      <c r="E31" s="404"/>
      <c r="F31" s="405"/>
      <c r="G31" s="404"/>
      <c r="H31" s="403"/>
      <c r="I31" s="402"/>
      <c r="J31" s="400">
        <f>入力2【名簿】!BT40</f>
        <v>0</v>
      </c>
      <c r="K31" s="400">
        <f>入力2【名簿】!BU40</f>
        <v>0</v>
      </c>
      <c r="L31" s="399">
        <f>入力2【名簿】!BV40</f>
        <v>0</v>
      </c>
      <c r="M31" s="406"/>
      <c r="N31" s="400">
        <f>入力2【名簿】!BX40</f>
        <v>0</v>
      </c>
      <c r="O31" s="400">
        <f>入力2【名簿】!BY40</f>
        <v>0</v>
      </c>
      <c r="P31" s="399">
        <f>入力2【名簿】!BZ40</f>
        <v>0</v>
      </c>
      <c r="Q31" s="406"/>
      <c r="R31" s="400">
        <f>入力2【名簿】!CB40</f>
        <v>0</v>
      </c>
      <c r="S31" s="400">
        <f>入力2【名簿】!CC40</f>
        <v>0</v>
      </c>
      <c r="T31" s="399">
        <f>入力2【名簿】!CD40</f>
        <v>0</v>
      </c>
      <c r="U31" s="406"/>
      <c r="V31" s="400">
        <f>入力2【名簿】!CF40</f>
        <v>0</v>
      </c>
      <c r="W31" s="400">
        <f>入力2【名簿】!CG40</f>
        <v>0</v>
      </c>
      <c r="X31" s="400">
        <f>入力2【名簿】!CH40</f>
        <v>0</v>
      </c>
      <c r="Y31" s="406"/>
      <c r="Z31" s="400">
        <f>入力2【名簿】!CJ40</f>
        <v>0</v>
      </c>
      <c r="AA31" s="400">
        <f>入力2【名簿】!CK40</f>
        <v>0</v>
      </c>
      <c r="AB31" s="399">
        <f>入力2【名簿】!CL40</f>
        <v>0</v>
      </c>
      <c r="AC31" s="651"/>
      <c r="AD31" s="400">
        <f>入力2【名簿】!CN40</f>
        <v>0</v>
      </c>
      <c r="AE31" s="400">
        <f>入力2【名簿】!CO40</f>
        <v>0</v>
      </c>
      <c r="AF31" s="399">
        <f>入力2【名簿】!CP40</f>
        <v>0</v>
      </c>
    </row>
    <row r="32" spans="3:47" ht="18" customHeight="1" x14ac:dyDescent="0.15">
      <c r="C32" s="1402" t="s">
        <v>286</v>
      </c>
      <c r="D32" s="1403"/>
      <c r="E32" s="404"/>
      <c r="F32" s="405"/>
      <c r="G32" s="404"/>
      <c r="H32" s="403"/>
      <c r="I32" s="402"/>
      <c r="J32" s="400">
        <f>入力2【名簿】!BT41</f>
        <v>0</v>
      </c>
      <c r="K32" s="400">
        <f>入力2【名簿】!BU41</f>
        <v>0</v>
      </c>
      <c r="L32" s="399">
        <f>入力2【名簿】!BV41</f>
        <v>0</v>
      </c>
      <c r="M32" s="401"/>
      <c r="N32" s="400">
        <f>入力2【名簿】!BX41</f>
        <v>0</v>
      </c>
      <c r="O32" s="400">
        <f>入力2【名簿】!BY41</f>
        <v>0</v>
      </c>
      <c r="P32" s="399">
        <f>入力2【名簿】!BZ41</f>
        <v>0</v>
      </c>
      <c r="Q32" s="401"/>
      <c r="R32" s="400">
        <f>入力2【名簿】!CB41</f>
        <v>0</v>
      </c>
      <c r="S32" s="400">
        <f>入力2【名簿】!CC41</f>
        <v>0</v>
      </c>
      <c r="T32" s="399">
        <f>入力2【名簿】!CD41</f>
        <v>0</v>
      </c>
      <c r="U32" s="401"/>
      <c r="V32" s="400">
        <f>入力2【名簿】!CF41</f>
        <v>0</v>
      </c>
      <c r="W32" s="400">
        <f>入力2【名簿】!CG41</f>
        <v>0</v>
      </c>
      <c r="X32" s="400">
        <f>入力2【名簿】!CH41</f>
        <v>0</v>
      </c>
      <c r="Y32" s="401"/>
      <c r="Z32" s="400">
        <f>入力2【名簿】!CJ41</f>
        <v>0</v>
      </c>
      <c r="AA32" s="400">
        <f>入力2【名簿】!CK41</f>
        <v>0</v>
      </c>
      <c r="AB32" s="399">
        <f>入力2【名簿】!CL41</f>
        <v>0</v>
      </c>
      <c r="AC32" s="651"/>
      <c r="AD32" s="400">
        <f>入力2【名簿】!CN41</f>
        <v>0</v>
      </c>
      <c r="AE32" s="400">
        <f>入力2【名簿】!CO41</f>
        <v>0</v>
      </c>
      <c r="AF32" s="399">
        <f>入力2【名簿】!CP41</f>
        <v>0</v>
      </c>
    </row>
    <row r="33" spans="3:32" ht="18" customHeight="1" x14ac:dyDescent="0.15">
      <c r="C33" s="1409" t="s">
        <v>318</v>
      </c>
      <c r="D33" s="1410"/>
      <c r="E33" s="397"/>
      <c r="F33" s="398"/>
      <c r="G33" s="397"/>
      <c r="H33" s="396"/>
      <c r="I33" s="395"/>
      <c r="J33" s="393">
        <f>入力2【名簿】!BT42</f>
        <v>0</v>
      </c>
      <c r="K33" s="393">
        <f>入力2【名簿】!BU42</f>
        <v>0</v>
      </c>
      <c r="L33" s="392">
        <f>入力2【名簿】!BV42</f>
        <v>0</v>
      </c>
      <c r="M33" s="394"/>
      <c r="N33" s="393">
        <f>入力2【名簿】!BX42</f>
        <v>0</v>
      </c>
      <c r="O33" s="393">
        <f>入力2【名簿】!BY42</f>
        <v>0</v>
      </c>
      <c r="P33" s="392">
        <f>入力2【名簿】!BZ42</f>
        <v>0</v>
      </c>
      <c r="Q33" s="394"/>
      <c r="R33" s="393">
        <f>入力2【名簿】!CB42</f>
        <v>0</v>
      </c>
      <c r="S33" s="393">
        <f>入力2【名簿】!CC42</f>
        <v>0</v>
      </c>
      <c r="T33" s="392">
        <f>入力2【名簿】!CD42</f>
        <v>0</v>
      </c>
      <c r="U33" s="394"/>
      <c r="V33" s="393">
        <f>入力2【名簿】!CF42</f>
        <v>0</v>
      </c>
      <c r="W33" s="393">
        <f>入力2【名簿】!CG42</f>
        <v>0</v>
      </c>
      <c r="X33" s="392">
        <f>入力2【名簿】!CH42</f>
        <v>0</v>
      </c>
      <c r="Y33" s="394"/>
      <c r="Z33" s="393">
        <f>入力2【名簿】!CJ42</f>
        <v>0</v>
      </c>
      <c r="AA33" s="393">
        <f>入力2【名簿】!CK42</f>
        <v>0</v>
      </c>
      <c r="AB33" s="392">
        <f>入力2【名簿】!CL42</f>
        <v>0</v>
      </c>
      <c r="AC33" s="652"/>
      <c r="AD33" s="393">
        <f>入力2【名簿】!CN42</f>
        <v>0</v>
      </c>
      <c r="AE33" s="393">
        <f>入力2【名簿】!CO42</f>
        <v>0</v>
      </c>
      <c r="AF33" s="392">
        <f>入力2【名簿】!CP42</f>
        <v>0</v>
      </c>
    </row>
    <row r="34" spans="3:32" ht="18" customHeight="1" x14ac:dyDescent="0.15">
      <c r="C34" s="388"/>
      <c r="D34" s="388"/>
      <c r="E34" s="391"/>
      <c r="F34" s="391"/>
      <c r="G34" s="390"/>
      <c r="H34" s="390"/>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x14ac:dyDescent="0.15">
      <c r="C35" s="388" t="s">
        <v>317</v>
      </c>
      <c r="D35" s="388"/>
      <c r="E35" s="112"/>
      <c r="F35" s="112"/>
      <c r="G35" s="389"/>
      <c r="H35" s="389"/>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x14ac:dyDescent="0.15">
      <c r="C36" s="388"/>
      <c r="D36" s="388"/>
      <c r="E36" s="112"/>
      <c r="F36" s="387"/>
      <c r="G36" s="386"/>
      <c r="H36" s="386"/>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x14ac:dyDescent="0.15">
      <c r="C37" s="385"/>
      <c r="D37" s="385"/>
      <c r="E37" s="385"/>
      <c r="F37" s="384" t="s">
        <v>77</v>
      </c>
      <c r="G37" s="1411">
        <f>SUM(G39:H45)</f>
        <v>0</v>
      </c>
      <c r="H37" s="1412"/>
      <c r="I37" s="1411">
        <f>SUM(I39:J45)</f>
        <v>0</v>
      </c>
      <c r="J37" s="1413"/>
      <c r="K37" s="1414" t="s">
        <v>78</v>
      </c>
      <c r="L37" s="1415"/>
      <c r="M37" s="1411">
        <f>SUM(M39:N45)</f>
        <v>0</v>
      </c>
      <c r="N37" s="1412"/>
      <c r="O37" s="1411">
        <f>SUM(O39:P45)</f>
        <v>0</v>
      </c>
      <c r="P37" s="1413"/>
      <c r="Q37" s="369"/>
      <c r="R37" s="369"/>
      <c r="S37" s="369"/>
      <c r="T37" s="369"/>
      <c r="U37" s="369"/>
      <c r="V37" s="369"/>
      <c r="W37" s="369"/>
      <c r="X37" s="369"/>
      <c r="Y37" s="369"/>
      <c r="Z37" s="369"/>
      <c r="AA37" s="369"/>
      <c r="AB37" s="369"/>
      <c r="AC37" s="369"/>
      <c r="AD37" s="369"/>
      <c r="AE37" s="369"/>
      <c r="AF37" s="369"/>
    </row>
    <row r="38" spans="3:32" ht="18" customHeight="1" x14ac:dyDescent="0.15">
      <c r="C38" s="1416" t="s">
        <v>288</v>
      </c>
      <c r="D38" s="1416"/>
      <c r="E38" s="383">
        <f>SUM(E39:E45)</f>
        <v>0</v>
      </c>
      <c r="F38" s="382">
        <f>SUM(F39:F45)</f>
        <v>0</v>
      </c>
      <c r="G38" s="1417" t="s">
        <v>152</v>
      </c>
      <c r="H38" s="1418"/>
      <c r="I38" s="1417" t="s">
        <v>282</v>
      </c>
      <c r="J38" s="1419"/>
      <c r="K38" s="1420">
        <f>SUM(K39:L45)</f>
        <v>0</v>
      </c>
      <c r="L38" s="1421"/>
      <c r="M38" s="1417" t="s">
        <v>152</v>
      </c>
      <c r="N38" s="1418"/>
      <c r="O38" s="1417" t="s">
        <v>282</v>
      </c>
      <c r="P38" s="1419"/>
      <c r="Q38" s="369"/>
      <c r="R38" s="369"/>
      <c r="S38" s="369"/>
      <c r="T38" s="369"/>
      <c r="U38" s="369"/>
      <c r="V38" s="369"/>
      <c r="W38" s="369"/>
      <c r="X38" s="369"/>
      <c r="Y38" s="369"/>
      <c r="Z38" s="369"/>
      <c r="AA38" s="369"/>
      <c r="AB38" s="369"/>
      <c r="AC38" s="369"/>
      <c r="AD38" s="369"/>
      <c r="AE38" s="369"/>
      <c r="AF38" s="369"/>
    </row>
    <row r="39" spans="3:32" ht="18" customHeight="1" x14ac:dyDescent="0.15">
      <c r="C39" s="1404" t="s">
        <v>283</v>
      </c>
      <c r="D39" s="1405"/>
      <c r="E39" s="381">
        <f>入力2【名簿】!BP5</f>
        <v>0</v>
      </c>
      <c r="F39" s="378">
        <f>入力2【名簿】!BQ5</f>
        <v>0</v>
      </c>
      <c r="G39" s="1406">
        <f>入力2【名簿】!BS5</f>
        <v>0</v>
      </c>
      <c r="H39" s="1407"/>
      <c r="I39" s="1406">
        <f>入力2【名簿】!BU5</f>
        <v>0</v>
      </c>
      <c r="J39" s="1407"/>
      <c r="K39" s="1393">
        <f>入力2【名簿】!BW5</f>
        <v>0</v>
      </c>
      <c r="L39" s="1394"/>
      <c r="M39" s="1406">
        <f>入力2【名簿】!BY5</f>
        <v>0</v>
      </c>
      <c r="N39" s="1407"/>
      <c r="O39" s="1406">
        <f>入力2【名簿】!CA5</f>
        <v>0</v>
      </c>
      <c r="P39" s="1408"/>
      <c r="Q39" s="369"/>
      <c r="R39" s="369"/>
      <c r="S39" s="369"/>
      <c r="T39" s="369"/>
      <c r="U39" s="369"/>
      <c r="V39" s="369"/>
      <c r="W39" s="369"/>
      <c r="X39" s="369"/>
      <c r="Y39" s="369"/>
      <c r="Z39" s="369"/>
      <c r="AA39" s="369"/>
      <c r="AB39" s="369"/>
      <c r="AC39" s="369"/>
      <c r="AD39" s="369"/>
      <c r="AE39" s="369"/>
      <c r="AF39" s="369"/>
    </row>
    <row r="40" spans="3:32" ht="18" customHeight="1" x14ac:dyDescent="0.15">
      <c r="C40" s="1402" t="s">
        <v>284</v>
      </c>
      <c r="D40" s="1403"/>
      <c r="E40" s="379">
        <f>入力2【名簿】!BP6</f>
        <v>0</v>
      </c>
      <c r="F40" s="378">
        <f>入力2【名簿】!BQ6</f>
        <v>0</v>
      </c>
      <c r="G40" s="1391">
        <f>入力2【名簿】!BS6</f>
        <v>0</v>
      </c>
      <c r="H40" s="1392"/>
      <c r="I40" s="1391">
        <f>入力2【名簿】!BU6</f>
        <v>0</v>
      </c>
      <c r="J40" s="1392"/>
      <c r="K40" s="1393">
        <f>入力2【名簿】!BW6</f>
        <v>0</v>
      </c>
      <c r="L40" s="1394"/>
      <c r="M40" s="1391">
        <f>入力2【名簿】!BY6</f>
        <v>0</v>
      </c>
      <c r="N40" s="1392"/>
      <c r="O40" s="1391">
        <f>入力2【名簿】!CA6</f>
        <v>0</v>
      </c>
      <c r="P40" s="1395"/>
      <c r="Q40" s="369"/>
      <c r="R40" s="369"/>
      <c r="S40" s="369"/>
      <c r="T40" s="369"/>
      <c r="U40" s="369"/>
      <c r="V40" s="369"/>
      <c r="W40" s="369"/>
      <c r="X40" s="369"/>
      <c r="Y40" s="369"/>
      <c r="Z40" s="369"/>
      <c r="AA40" s="369"/>
      <c r="AB40" s="369"/>
      <c r="AC40" s="369"/>
      <c r="AD40" s="369"/>
      <c r="AE40" s="369"/>
      <c r="AF40" s="369"/>
    </row>
    <row r="41" spans="3:32" ht="18" customHeight="1" x14ac:dyDescent="0.15">
      <c r="C41" s="1402" t="s">
        <v>83</v>
      </c>
      <c r="D41" s="1403"/>
      <c r="E41" s="379">
        <f>入力2【名簿】!BP7</f>
        <v>0</v>
      </c>
      <c r="F41" s="378">
        <f>入力2【名簿】!BQ7</f>
        <v>0</v>
      </c>
      <c r="G41" s="1391">
        <f>入力2【名簿】!BS7</f>
        <v>0</v>
      </c>
      <c r="H41" s="1392"/>
      <c r="I41" s="1391">
        <f>入力2【名簿】!BU7</f>
        <v>0</v>
      </c>
      <c r="J41" s="1392"/>
      <c r="K41" s="1393">
        <f>入力2【名簿】!BW7</f>
        <v>0</v>
      </c>
      <c r="L41" s="1394"/>
      <c r="M41" s="1391">
        <f>入力2【名簿】!BY7</f>
        <v>0</v>
      </c>
      <c r="N41" s="1392"/>
      <c r="O41" s="1391">
        <f>入力2【名簿】!CA7</f>
        <v>0</v>
      </c>
      <c r="P41" s="1395"/>
      <c r="Q41" s="369"/>
      <c r="R41" s="369"/>
      <c r="S41" s="369"/>
      <c r="T41" s="369"/>
      <c r="U41" s="369"/>
      <c r="V41" s="369"/>
      <c r="W41" s="369"/>
      <c r="X41" s="370"/>
      <c r="Y41" s="369"/>
      <c r="Z41" s="369"/>
      <c r="AA41" s="369"/>
      <c r="AB41" s="369"/>
      <c r="AC41" s="369"/>
      <c r="AD41" s="369"/>
      <c r="AE41" s="369"/>
      <c r="AF41" s="369"/>
    </row>
    <row r="42" spans="3:32" ht="18" customHeight="1" x14ac:dyDescent="0.15">
      <c r="C42" s="1389" t="s">
        <v>84</v>
      </c>
      <c r="D42" s="1390"/>
      <c r="E42" s="379">
        <f>入力2【名簿】!BP8</f>
        <v>0</v>
      </c>
      <c r="F42" s="378">
        <f>入力2【名簿】!BQ8</f>
        <v>0</v>
      </c>
      <c r="G42" s="1391">
        <f>入力2【名簿】!BS8</f>
        <v>0</v>
      </c>
      <c r="H42" s="1392"/>
      <c r="I42" s="1391">
        <f>入力2【名簿】!BU8</f>
        <v>0</v>
      </c>
      <c r="J42" s="1392"/>
      <c r="K42" s="1393">
        <f>入力2【名簿】!BW8</f>
        <v>0</v>
      </c>
      <c r="L42" s="1394"/>
      <c r="M42" s="1391">
        <f>入力2【名簿】!BY8</f>
        <v>0</v>
      </c>
      <c r="N42" s="1392"/>
      <c r="O42" s="1391">
        <f>入力2【名簿】!CA8</f>
        <v>0</v>
      </c>
      <c r="P42" s="1395"/>
      <c r="Q42" s="369"/>
      <c r="R42" s="369"/>
      <c r="S42" s="369"/>
      <c r="T42" s="369"/>
      <c r="U42" s="369"/>
      <c r="V42" s="369"/>
      <c r="W42" s="369"/>
      <c r="X42" s="369"/>
      <c r="Y42" s="369"/>
      <c r="Z42" s="369"/>
      <c r="AA42" s="369"/>
      <c r="AB42" s="369"/>
      <c r="AC42" s="369"/>
      <c r="AD42" s="369"/>
      <c r="AE42" s="369"/>
      <c r="AF42" s="369"/>
    </row>
    <row r="43" spans="3:32" ht="18" customHeight="1" x14ac:dyDescent="0.15">
      <c r="C43" s="1389" t="s">
        <v>285</v>
      </c>
      <c r="D43" s="1390"/>
      <c r="E43" s="379">
        <f>入力2【名簿】!BP9</f>
        <v>0</v>
      </c>
      <c r="F43" s="378">
        <f>入力2【名簿】!BQ9</f>
        <v>0</v>
      </c>
      <c r="G43" s="1391">
        <f>入力2【名簿】!BS9</f>
        <v>0</v>
      </c>
      <c r="H43" s="1392"/>
      <c r="I43" s="1391">
        <f>入力2【名簿】!BU9</f>
        <v>0</v>
      </c>
      <c r="J43" s="1392"/>
      <c r="K43" s="1393">
        <f>入力2【名簿】!BW9</f>
        <v>0</v>
      </c>
      <c r="L43" s="1394"/>
      <c r="M43" s="1391">
        <f>入力2【名簿】!BY9</f>
        <v>0</v>
      </c>
      <c r="N43" s="1392"/>
      <c r="O43" s="1391">
        <f>入力2【名簿】!CA9</f>
        <v>0</v>
      </c>
      <c r="P43" s="1395"/>
      <c r="Q43" s="369"/>
      <c r="R43" s="369"/>
      <c r="S43" s="369"/>
      <c r="T43" s="369"/>
      <c r="U43" s="380"/>
      <c r="V43" s="369"/>
      <c r="W43" s="369"/>
      <c r="X43" s="369"/>
      <c r="Y43" s="369"/>
      <c r="Z43" s="369"/>
      <c r="AA43" s="369"/>
      <c r="AB43" s="369"/>
      <c r="AC43" s="369"/>
      <c r="AD43" s="369"/>
      <c r="AE43" s="369"/>
      <c r="AF43" s="369"/>
    </row>
    <row r="44" spans="3:32" ht="18" customHeight="1" x14ac:dyDescent="0.15">
      <c r="C44" s="1389" t="s">
        <v>286</v>
      </c>
      <c r="D44" s="1390"/>
      <c r="E44" s="379">
        <f>入力2【名簿】!BP10</f>
        <v>0</v>
      </c>
      <c r="F44" s="378">
        <f>入力2【名簿】!BQ10</f>
        <v>0</v>
      </c>
      <c r="G44" s="1391">
        <f>入力2【名簿】!BS10</f>
        <v>0</v>
      </c>
      <c r="H44" s="1392"/>
      <c r="I44" s="1391">
        <f>入力2【名簿】!BU10</f>
        <v>0</v>
      </c>
      <c r="J44" s="1392"/>
      <c r="K44" s="1393">
        <f>入力2【名簿】!BW10</f>
        <v>0</v>
      </c>
      <c r="L44" s="1394"/>
      <c r="M44" s="1391">
        <f>入力2【名簿】!BY10</f>
        <v>0</v>
      </c>
      <c r="N44" s="1392"/>
      <c r="O44" s="1391">
        <f>入力2【名簿】!CA10</f>
        <v>0</v>
      </c>
      <c r="P44" s="1395"/>
      <c r="Q44" s="369"/>
      <c r="R44" s="369"/>
      <c r="S44" s="369"/>
      <c r="T44" s="369"/>
      <c r="U44" s="369"/>
      <c r="V44" s="369"/>
      <c r="W44" s="369"/>
      <c r="X44" s="369"/>
      <c r="Y44" s="369"/>
      <c r="Z44" s="369"/>
      <c r="AA44" s="369"/>
      <c r="AB44" s="369"/>
      <c r="AC44" s="369"/>
      <c r="AD44" s="369"/>
      <c r="AE44" s="369"/>
      <c r="AF44" s="369"/>
    </row>
    <row r="45" spans="3:32" ht="18" customHeight="1" x14ac:dyDescent="0.15">
      <c r="C45" s="1398" t="s">
        <v>316</v>
      </c>
      <c r="D45" s="1399"/>
      <c r="E45" s="377">
        <f>入力2【名簿】!BP11</f>
        <v>0</v>
      </c>
      <c r="F45" s="376">
        <f>入力2【名簿】!BQ11</f>
        <v>0</v>
      </c>
      <c r="G45" s="1387">
        <f>入力2【名簿】!BS11</f>
        <v>0</v>
      </c>
      <c r="H45" s="1400"/>
      <c r="I45" s="1387">
        <f>入力2【名簿】!BU11</f>
        <v>0</v>
      </c>
      <c r="J45" s="1388"/>
      <c r="K45" s="1393">
        <f>入力2【名簿】!BW11</f>
        <v>0</v>
      </c>
      <c r="L45" s="1394"/>
      <c r="M45" s="1387">
        <f>入力2【名簿】!BY11</f>
        <v>0</v>
      </c>
      <c r="N45" s="1401"/>
      <c r="O45" s="1387">
        <f>入力2【名簿】!CA11</f>
        <v>0</v>
      </c>
      <c r="P45" s="1388"/>
      <c r="Q45" s="369"/>
      <c r="R45" s="369"/>
      <c r="S45" s="369"/>
      <c r="T45" s="369"/>
      <c r="U45" s="369"/>
      <c r="V45" s="369"/>
      <c r="W45" s="369"/>
      <c r="X45" s="370"/>
      <c r="Y45" s="369"/>
      <c r="Z45" s="369"/>
      <c r="AA45" s="369"/>
      <c r="AB45" s="369"/>
      <c r="AC45" s="369"/>
      <c r="AD45" s="369"/>
      <c r="AE45" s="369"/>
      <c r="AF45" s="369"/>
    </row>
    <row r="46" spans="3:32" ht="18" customHeight="1" x14ac:dyDescent="0.15">
      <c r="C46" s="375"/>
      <c r="D46" s="375"/>
      <c r="E46" s="374"/>
      <c r="F46" s="373"/>
      <c r="G46" s="371"/>
      <c r="H46" s="371"/>
      <c r="I46" s="371"/>
      <c r="J46" s="371"/>
      <c r="K46" s="372"/>
      <c r="L46" s="372"/>
      <c r="M46" s="371"/>
      <c r="N46" s="371"/>
      <c r="O46" s="371"/>
      <c r="P46" s="371"/>
      <c r="Q46" s="369"/>
      <c r="R46" s="369"/>
      <c r="S46" s="369"/>
      <c r="T46" s="369"/>
      <c r="U46" s="369"/>
      <c r="V46" s="369"/>
      <c r="W46" s="369"/>
      <c r="X46" s="369"/>
      <c r="Y46" s="369"/>
      <c r="Z46" s="369"/>
      <c r="AA46" s="369"/>
      <c r="AB46" s="370"/>
      <c r="AC46" s="369"/>
      <c r="AD46" s="369"/>
      <c r="AE46" s="369"/>
      <c r="AF46" s="369"/>
    </row>
  </sheetData>
  <dataConsolidate link="1"/>
  <mergeCells count="291">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I17:J17"/>
    <mergeCell ref="I18:J18"/>
    <mergeCell ref="I21:J21"/>
    <mergeCell ref="K17:L17"/>
    <mergeCell ref="K18:L18"/>
    <mergeCell ref="O19:P19"/>
    <mergeCell ref="O20:P20"/>
    <mergeCell ref="M19:N19"/>
    <mergeCell ref="M20:N20"/>
    <mergeCell ref="M17:N17"/>
    <mergeCell ref="M18:N18"/>
    <mergeCell ref="K21:L21"/>
    <mergeCell ref="M21:N21"/>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AC3:AF3"/>
    <mergeCell ref="M4:N4"/>
    <mergeCell ref="O4:P4"/>
    <mergeCell ref="Q4:R4"/>
    <mergeCell ref="S4:T4"/>
    <mergeCell ref="U4:V4"/>
    <mergeCell ref="W4:X4"/>
    <mergeCell ref="AC4:AD4"/>
    <mergeCell ref="AE4:AF4"/>
    <mergeCell ref="AC6:AD6"/>
    <mergeCell ref="AE6:AF6"/>
    <mergeCell ref="I7:J7"/>
    <mergeCell ref="K7:L7"/>
    <mergeCell ref="M7:N7"/>
    <mergeCell ref="O7:P7"/>
    <mergeCell ref="Q7:R7"/>
    <mergeCell ref="S7:T7"/>
    <mergeCell ref="U7:V7"/>
    <mergeCell ref="W7:X7"/>
    <mergeCell ref="Y7:Z7"/>
    <mergeCell ref="AA7:AB7"/>
    <mergeCell ref="AC7:AD7"/>
    <mergeCell ref="AE7:AF7"/>
    <mergeCell ref="AC8:AD8"/>
    <mergeCell ref="AE8:AF8"/>
    <mergeCell ref="O9:P9"/>
    <mergeCell ref="Q9:R9"/>
    <mergeCell ref="S9:T9"/>
    <mergeCell ref="U9:V9"/>
    <mergeCell ref="W9:X9"/>
    <mergeCell ref="Y9:Z9"/>
    <mergeCell ref="AA9:AB9"/>
    <mergeCell ref="AC9:AD9"/>
    <mergeCell ref="AE9:AF9"/>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39:D39"/>
    <mergeCell ref="G39:H39"/>
    <mergeCell ref="I39:J39"/>
    <mergeCell ref="K39:L39"/>
    <mergeCell ref="M39:N39"/>
    <mergeCell ref="O39:P39"/>
    <mergeCell ref="C40:D40"/>
    <mergeCell ref="G40:H40"/>
    <mergeCell ref="I40:J40"/>
    <mergeCell ref="K40:L40"/>
    <mergeCell ref="M40:N40"/>
    <mergeCell ref="O40:P40"/>
    <mergeCell ref="O41:P41"/>
    <mergeCell ref="M43:N43"/>
    <mergeCell ref="O43:P43"/>
    <mergeCell ref="C42:D42"/>
    <mergeCell ref="G42:H42"/>
    <mergeCell ref="I42:J42"/>
    <mergeCell ref="K42:L42"/>
    <mergeCell ref="M42:N42"/>
    <mergeCell ref="O42:P42"/>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H8" sqref="H8:H10"/>
    </sheetView>
  </sheetViews>
  <sheetFormatPr defaultRowHeight="13.5" x14ac:dyDescent="0.1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7"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x14ac:dyDescent="0.2"/>
    <row r="2" spans="1:41" ht="19.5" customHeight="1" thickBot="1" x14ac:dyDescent="0.2">
      <c r="A2" s="112"/>
      <c r="B2" s="1495" t="s">
        <v>464</v>
      </c>
      <c r="C2" s="1496"/>
      <c r="D2" s="1496"/>
      <c r="E2" s="1514" t="str">
        <f>入力1!L18&amp;入力1!N18&amp;" 　"&amp;'入力3【⑥計画書 9時】'!V9&amp;'入力3【⑥計画書 9時】'!T9</f>
        <v>県 　月年</v>
      </c>
      <c r="F2" s="1514"/>
      <c r="G2" s="1515"/>
      <c r="H2" s="113"/>
      <c r="I2" s="740" t="s">
        <v>466</v>
      </c>
      <c r="J2" s="1500" t="s">
        <v>226</v>
      </c>
      <c r="K2" s="1500"/>
      <c r="L2" s="1500"/>
      <c r="M2" s="1501">
        <f>入力1!F33</f>
        <v>0</v>
      </c>
      <c r="N2" s="1501"/>
      <c r="O2" s="833" t="s">
        <v>196</v>
      </c>
      <c r="P2" s="1502" t="s">
        <v>227</v>
      </c>
      <c r="Q2" s="1502"/>
      <c r="R2" s="1502"/>
      <c r="S2" s="1501">
        <f>入力1!M33</f>
        <v>0</v>
      </c>
      <c r="T2" s="1501"/>
      <c r="U2" s="834" t="s">
        <v>196</v>
      </c>
      <c r="V2" s="48"/>
      <c r="W2" s="111"/>
    </row>
    <row r="3" spans="1:41" ht="18.75" customHeight="1" thickBot="1" x14ac:dyDescent="0.2">
      <c r="B3" s="738"/>
      <c r="C3" s="739" t="s">
        <v>465</v>
      </c>
      <c r="D3" s="1497" t="s">
        <v>467</v>
      </c>
      <c r="E3" s="1497"/>
      <c r="F3" s="1497"/>
      <c r="G3" s="1497"/>
      <c r="H3" s="48"/>
      <c r="I3" s="1519" t="s">
        <v>468</v>
      </c>
      <c r="J3" s="1503" t="s">
        <v>226</v>
      </c>
      <c r="K3" s="1503"/>
      <c r="L3" s="1503"/>
      <c r="M3" s="1504">
        <f>入力2【名簿】!BP4</f>
        <v>0</v>
      </c>
      <c r="N3" s="1504"/>
      <c r="O3" s="835" t="s">
        <v>196</v>
      </c>
      <c r="P3" s="1516" t="s">
        <v>227</v>
      </c>
      <c r="Q3" s="1516"/>
      <c r="R3" s="1516"/>
      <c r="S3" s="1517">
        <f>入力2【名簿】!BP10+入力2【名簿】!BP11</f>
        <v>0</v>
      </c>
      <c r="T3" s="1517"/>
      <c r="U3" s="836" t="s">
        <v>196</v>
      </c>
      <c r="V3" s="48"/>
      <c r="W3" s="111"/>
    </row>
    <row r="4" spans="1:41" ht="15" customHeight="1" thickTop="1" thickBot="1" x14ac:dyDescent="0.2">
      <c r="A4" s="737"/>
      <c r="B4" s="1505" t="s">
        <v>512</v>
      </c>
      <c r="C4" s="1506"/>
      <c r="D4" s="1507"/>
      <c r="E4" s="736"/>
      <c r="G4" s="1511" t="s">
        <v>489</v>
      </c>
      <c r="H4" s="1512"/>
      <c r="I4" s="1520"/>
      <c r="J4" s="1518" t="s">
        <v>490</v>
      </c>
      <c r="K4" s="1518"/>
      <c r="L4" s="1518"/>
      <c r="M4" s="1518"/>
      <c r="N4" s="1518"/>
      <c r="O4" s="1518"/>
      <c r="P4" s="1518"/>
      <c r="Q4" s="762">
        <f>入力2【名簿】!BP11</f>
        <v>0</v>
      </c>
      <c r="R4" s="1521" t="s">
        <v>491</v>
      </c>
      <c r="S4" s="1521"/>
      <c r="T4" s="1521"/>
      <c r="U4" s="1522"/>
    </row>
    <row r="5" spans="1:41" ht="15" customHeight="1" thickBot="1" x14ac:dyDescent="0.2">
      <c r="A5" s="737"/>
      <c r="B5" s="1508"/>
      <c r="C5" s="1509"/>
      <c r="D5" s="1510"/>
      <c r="E5" s="736"/>
      <c r="G5" s="1513" t="s">
        <v>492</v>
      </c>
      <c r="H5" s="1513"/>
      <c r="I5" s="1497" t="s">
        <v>519</v>
      </c>
      <c r="J5" s="1497"/>
      <c r="K5" s="1497"/>
      <c r="L5" s="1497"/>
      <c r="M5" s="1497"/>
      <c r="N5" s="1497"/>
      <c r="O5" s="1497"/>
      <c r="P5" s="1497"/>
      <c r="Q5" s="1497"/>
      <c r="R5" s="1497"/>
      <c r="S5" s="1497"/>
      <c r="T5" s="1497"/>
      <c r="U5" s="1497"/>
      <c r="V5" s="1497"/>
      <c r="Z5" s="1489" t="s">
        <v>508</v>
      </c>
      <c r="AA5" s="1489"/>
      <c r="AB5" s="1489"/>
      <c r="AC5" s="1489"/>
      <c r="AD5" s="1489"/>
      <c r="AE5" s="1489"/>
      <c r="AF5" s="1489"/>
      <c r="AG5" s="1489"/>
    </row>
    <row r="6" spans="1:41" ht="7.5" customHeight="1" thickTop="1" x14ac:dyDescent="0.15">
      <c r="I6" s="1497"/>
      <c r="J6" s="1497"/>
      <c r="K6" s="1497"/>
      <c r="L6" s="1497"/>
      <c r="M6" s="1497"/>
      <c r="N6" s="1497"/>
      <c r="O6" s="1497"/>
      <c r="P6" s="1497"/>
      <c r="Q6" s="1497"/>
      <c r="R6" s="1497"/>
      <c r="S6" s="1497"/>
      <c r="T6" s="1497"/>
      <c r="U6" s="1497"/>
      <c r="V6" s="1497"/>
      <c r="Z6" s="1489"/>
      <c r="AA6" s="1489"/>
      <c r="AB6" s="1489"/>
      <c r="AC6" s="1489"/>
      <c r="AD6" s="1489"/>
      <c r="AE6" s="1489"/>
      <c r="AF6" s="1489"/>
      <c r="AG6" s="1489"/>
    </row>
    <row r="7" spans="1:41" ht="18" customHeight="1" thickBot="1" x14ac:dyDescent="0.3">
      <c r="C7" s="1499" t="s">
        <v>368</v>
      </c>
      <c r="D7" s="1499"/>
      <c r="E7" s="1499"/>
      <c r="F7" s="1499"/>
      <c r="G7" s="1499"/>
      <c r="H7" s="1612" t="str">
        <f>入力1!B7</f>
        <v/>
      </c>
      <c r="I7" s="1612"/>
      <c r="J7" s="1612"/>
      <c r="K7" s="1612"/>
      <c r="L7" s="1612"/>
      <c r="M7" s="1612"/>
      <c r="N7" s="1612"/>
      <c r="O7" s="1612"/>
      <c r="P7" s="1612"/>
      <c r="Q7" s="1612"/>
      <c r="S7" s="467" t="s">
        <v>367</v>
      </c>
      <c r="T7" s="1498"/>
      <c r="U7" s="1498"/>
      <c r="V7" s="1498"/>
      <c r="Y7" s="113"/>
      <c r="Z7" s="1489"/>
      <c r="AA7" s="1489"/>
      <c r="AB7" s="1489"/>
      <c r="AC7" s="1489"/>
      <c r="AD7" s="1489"/>
      <c r="AE7" s="1489"/>
      <c r="AF7" s="1489"/>
      <c r="AG7" s="1489"/>
      <c r="AH7" s="839"/>
      <c r="AI7" s="839"/>
      <c r="AJ7" s="839"/>
      <c r="AK7" s="839"/>
      <c r="AL7" s="839"/>
      <c r="AM7" s="839"/>
      <c r="AN7"/>
      <c r="AO7"/>
    </row>
    <row r="8" spans="1:41" ht="14.25" customHeight="1" x14ac:dyDescent="0.15">
      <c r="B8" s="1595" t="s">
        <v>366</v>
      </c>
      <c r="C8" s="1553"/>
      <c r="D8" s="1553"/>
      <c r="E8" s="1553"/>
      <c r="F8" s="1553"/>
      <c r="G8" s="1554"/>
      <c r="H8" s="1599" t="s">
        <v>365</v>
      </c>
      <c r="I8" s="1600" t="s">
        <v>364</v>
      </c>
      <c r="J8" s="1603" t="s">
        <v>363</v>
      </c>
      <c r="K8" s="1604"/>
      <c r="L8" s="1605" t="s">
        <v>362</v>
      </c>
      <c r="M8" s="1604"/>
      <c r="N8" s="1605" t="s">
        <v>361</v>
      </c>
      <c r="O8" s="1604"/>
      <c r="P8" s="1605" t="s">
        <v>360</v>
      </c>
      <c r="Q8" s="1604"/>
      <c r="R8" s="1605" t="s">
        <v>359</v>
      </c>
      <c r="S8" s="1604"/>
      <c r="T8" s="1605" t="s">
        <v>358</v>
      </c>
      <c r="U8" s="1607"/>
      <c r="V8" s="466"/>
      <c r="X8" s="845"/>
      <c r="Y8" s="727"/>
      <c r="Z8" s="1487" t="s">
        <v>200</v>
      </c>
      <c r="AA8" s="906" t="s">
        <v>469</v>
      </c>
      <c r="AB8" s="854">
        <f>VLOOKUP($B$4,◎施設管理!G6:S7,2,FALSE)</f>
        <v>200</v>
      </c>
      <c r="AC8" s="860">
        <f>SUM(入力2【名簿】!BU5:BV8,入力2【名簿】!CA5:CB8)</f>
        <v>0</v>
      </c>
      <c r="AD8" s="864" t="s">
        <v>196</v>
      </c>
      <c r="AE8" s="744" t="s">
        <v>229</v>
      </c>
      <c r="AF8" s="857">
        <f>AB8*AC8</f>
        <v>0</v>
      </c>
      <c r="AG8" s="870" t="s">
        <v>58</v>
      </c>
      <c r="AH8" s="9"/>
      <c r="AI8" s="9"/>
      <c r="AJ8" s="9"/>
      <c r="AK8" s="9"/>
    </row>
    <row r="9" spans="1:41" ht="14.25" customHeight="1" x14ac:dyDescent="0.15">
      <c r="B9" s="1596"/>
      <c r="C9" s="1584"/>
      <c r="D9" s="1584"/>
      <c r="E9" s="1584"/>
      <c r="F9" s="1584"/>
      <c r="G9" s="1594"/>
      <c r="H9" s="1549"/>
      <c r="I9" s="1601"/>
      <c r="J9" s="1608" t="str">
        <f>IF(入力1!I66=" ","／",入力1!I66)</f>
        <v/>
      </c>
      <c r="K9" s="1609"/>
      <c r="L9" s="1610" t="str">
        <f>IF(入力1!M66=" ","／",入力1!M66)</f>
        <v/>
      </c>
      <c r="M9" s="1609"/>
      <c r="N9" s="1610" t="str">
        <f>IF(入力1!Q66=" ","／",入力1!Q66)</f>
        <v/>
      </c>
      <c r="O9" s="1609"/>
      <c r="P9" s="1610" t="str">
        <f>IF(入力1!U66=" ","／",入力1!U66)</f>
        <v/>
      </c>
      <c r="Q9" s="1609"/>
      <c r="R9" s="1610" t="str">
        <f>IF(入力1!Y66=" ","／",入力1!Y66)</f>
        <v/>
      </c>
      <c r="S9" s="1611"/>
      <c r="T9" s="1610" t="str">
        <f>IF(入力1!AC66=" ","／",入力1!AC66)</f>
        <v/>
      </c>
      <c r="U9" s="1611"/>
      <c r="V9" s="465" t="s">
        <v>357</v>
      </c>
      <c r="X9" s="845"/>
      <c r="Y9" s="727"/>
      <c r="Z9" s="1488"/>
      <c r="AA9" s="908" t="s">
        <v>237</v>
      </c>
      <c r="AB9" s="854">
        <f>VLOOKUP($B$4,◎施設管理!G6:S7,3,FALSE)</f>
        <v>300</v>
      </c>
      <c r="AC9" s="861">
        <f>SUM(入力2【名簿】!BU9,入力2【名簿】!CA9)</f>
        <v>0</v>
      </c>
      <c r="AD9" s="865" t="s">
        <v>196</v>
      </c>
      <c r="AE9" s="744" t="s">
        <v>228</v>
      </c>
      <c r="AF9" s="857">
        <f>AB9*AC9</f>
        <v>0</v>
      </c>
      <c r="AG9" s="870" t="s">
        <v>58</v>
      </c>
      <c r="AH9" s="9"/>
      <c r="AI9" s="9"/>
      <c r="AJ9" s="9"/>
      <c r="AK9" s="9"/>
    </row>
    <row r="10" spans="1:41" ht="14.25" customHeight="1" thickBot="1" x14ac:dyDescent="0.2">
      <c r="B10" s="1597"/>
      <c r="C10" s="1586"/>
      <c r="D10" s="1586"/>
      <c r="E10" s="1586"/>
      <c r="F10" s="1586"/>
      <c r="G10" s="1598"/>
      <c r="H10" s="1556"/>
      <c r="I10" s="1602"/>
      <c r="J10" s="464" t="s">
        <v>77</v>
      </c>
      <c r="K10" s="462" t="s">
        <v>78</v>
      </c>
      <c r="L10" s="461" t="s">
        <v>77</v>
      </c>
      <c r="M10" s="462" t="s">
        <v>78</v>
      </c>
      <c r="N10" s="461" t="s">
        <v>77</v>
      </c>
      <c r="O10" s="462" t="s">
        <v>78</v>
      </c>
      <c r="P10" s="463" t="s">
        <v>77</v>
      </c>
      <c r="Q10" s="462" t="s">
        <v>78</v>
      </c>
      <c r="R10" s="461" t="s">
        <v>77</v>
      </c>
      <c r="S10" s="462" t="s">
        <v>78</v>
      </c>
      <c r="T10" s="461" t="s">
        <v>77</v>
      </c>
      <c r="U10" s="460" t="s">
        <v>78</v>
      </c>
      <c r="V10" s="459"/>
      <c r="X10" s="846"/>
      <c r="Y10" s="754"/>
      <c r="Z10" s="1488"/>
      <c r="AA10" s="906" t="s">
        <v>230</v>
      </c>
      <c r="AB10" s="854">
        <f>VLOOKUP($B$4,◎施設管理!G6:S7,4,FALSE)</f>
        <v>500</v>
      </c>
      <c r="AC10" s="861">
        <f>SUM(入力2【名簿】!BU10,入力2【名簿】!CA10)</f>
        <v>0</v>
      </c>
      <c r="AD10" s="864" t="s">
        <v>196</v>
      </c>
      <c r="AE10" s="744" t="s">
        <v>229</v>
      </c>
      <c r="AF10" s="857">
        <f>AB10*AC10</f>
        <v>0</v>
      </c>
      <c r="AG10" s="870" t="s">
        <v>58</v>
      </c>
      <c r="AH10" s="9"/>
      <c r="AI10" s="9"/>
      <c r="AJ10" s="9"/>
      <c r="AK10" s="9"/>
    </row>
    <row r="11" spans="1:41" ht="14.25" customHeight="1" thickTop="1" x14ac:dyDescent="0.15">
      <c r="B11" s="1587" t="s">
        <v>356</v>
      </c>
      <c r="C11" s="1542" t="s">
        <v>353</v>
      </c>
      <c r="D11" s="1543" t="s">
        <v>347</v>
      </c>
      <c r="E11" s="1546" t="s">
        <v>352</v>
      </c>
      <c r="F11" s="1547"/>
      <c r="G11" s="1548"/>
      <c r="H11" s="1549" t="s">
        <v>351</v>
      </c>
      <c r="I11" s="1527">
        <f>◎施設管理!K6</f>
        <v>350</v>
      </c>
      <c r="J11" s="666" t="str">
        <f>IF(B4="県内",集計表!$AJ$15+集計表!$AJ$16,"")</f>
        <v/>
      </c>
      <c r="K11" s="669" t="str">
        <f>IF(B4="県内",集計表!$AK$15+集計表!$AK$16,"")</f>
        <v/>
      </c>
      <c r="L11" s="712" t="str">
        <f>IF(B4="県内",集計表!$AL$15+集計表!$AL$16,"")</f>
        <v/>
      </c>
      <c r="M11" s="667" t="str">
        <f>IF(B4="県内",集計表!$AM$15+集計表!$AM$16,"")</f>
        <v/>
      </c>
      <c r="N11" s="668" t="str">
        <f>IF(B4="県内",集計表!$AN$15+集計表!$AN$16,"")</f>
        <v/>
      </c>
      <c r="O11" s="669" t="str">
        <f>IF(B4="県内",集計表!$AO$15+集計表!$AO$16,"")</f>
        <v/>
      </c>
      <c r="P11" s="712" t="str">
        <f>IF(B4="県内",集計表!$AP$15+集計表!$AP$16,"")</f>
        <v/>
      </c>
      <c r="Q11" s="667" t="str">
        <f>IF(B4="県内",集計表!$AQ$15+集計表!$AQ$16,"")</f>
        <v/>
      </c>
      <c r="R11" s="668" t="str">
        <f>IF(B4="県内",集計表!$AR$15+集計表!$AR$16,"")</f>
        <v/>
      </c>
      <c r="S11" s="669" t="str">
        <f>IF(B4="県内",集計表!$AS$15+集計表!$AS$16,"")</f>
        <v/>
      </c>
      <c r="T11" s="712" t="str">
        <f>IF(B4="県内",集計表!$AT$15+集計表!$AT$16,"")</f>
        <v/>
      </c>
      <c r="U11" s="667" t="str">
        <f>IF(B4="県内",集計表!$AU$15+集計表!$AU$16,"")</f>
        <v/>
      </c>
      <c r="V11" s="670"/>
      <c r="W11" s="22"/>
      <c r="X11" s="847"/>
      <c r="Y11" s="755"/>
      <c r="Z11" s="1488"/>
      <c r="AA11" s="906" t="s">
        <v>470</v>
      </c>
      <c r="AB11" s="854">
        <f>VLOOKUP($B$4,◎施設管理!G6:S7,4,FALSE)</f>
        <v>500</v>
      </c>
      <c r="AC11" s="861">
        <f>SUM(入力2【名簿】!BU11,入力2【名簿】!CA11)</f>
        <v>0</v>
      </c>
      <c r="AD11" s="864" t="s">
        <v>196</v>
      </c>
      <c r="AE11" s="744" t="s">
        <v>228</v>
      </c>
      <c r="AF11" s="857">
        <f>AB11*AC11</f>
        <v>0</v>
      </c>
      <c r="AG11" s="870" t="s">
        <v>58</v>
      </c>
      <c r="AH11" s="9"/>
      <c r="AI11" s="9"/>
      <c r="AJ11" s="9"/>
      <c r="AK11" s="9"/>
    </row>
    <row r="12" spans="1:41" ht="14.25" customHeight="1" x14ac:dyDescent="0.15">
      <c r="B12" s="1588"/>
      <c r="C12" s="1542"/>
      <c r="D12" s="1544"/>
      <c r="E12" s="458"/>
      <c r="F12" s="451"/>
      <c r="G12" s="453" t="s">
        <v>345</v>
      </c>
      <c r="H12" s="1549"/>
      <c r="I12" s="1528"/>
      <c r="J12" s="671" t="str">
        <f>IF(B4="県内",集計表!$AJ$15,"")</f>
        <v/>
      </c>
      <c r="K12" s="674" t="str">
        <f>IF(B4="県内",集計表!$AK$15,"")</f>
        <v/>
      </c>
      <c r="L12" s="713" t="str">
        <f>IF(B4="県内",集計表!$AL$15,"")</f>
        <v/>
      </c>
      <c r="M12" s="674" t="str">
        <f>IF(B4="県内",集計表!$AM$15,"")</f>
        <v/>
      </c>
      <c r="N12" s="713" t="str">
        <f>IF(B4="県内",集計表!$AN$15,"")</f>
        <v/>
      </c>
      <c r="O12" s="674" t="str">
        <f>IF(B4="県内",集計表!$AO$15,"")</f>
        <v/>
      </c>
      <c r="P12" s="713" t="str">
        <f>IF(B4="県内",集計表!$AP$15,"")</f>
        <v/>
      </c>
      <c r="Q12" s="674" t="str">
        <f>IF(B4="県内",集計表!$AQ$15,"")</f>
        <v/>
      </c>
      <c r="R12" s="713" t="str">
        <f>IF(B4="県内",集計表!$AR$15,"")</f>
        <v/>
      </c>
      <c r="S12" s="673" t="str">
        <f>IF(B4="県内",集計表!$AS$15,"")</f>
        <v/>
      </c>
      <c r="T12" s="675" t="str">
        <f>IF(B4="県内",集計表!$AT$15,"")</f>
        <v/>
      </c>
      <c r="U12" s="672" t="str">
        <f>IF(B4="県内",集計表!$AU$15,"")</f>
        <v/>
      </c>
      <c r="V12" s="676">
        <f>SUM(J12:U12)</f>
        <v>0</v>
      </c>
      <c r="W12" s="22"/>
      <c r="X12" s="848"/>
      <c r="Y12" s="755"/>
      <c r="Z12" s="1493" t="s">
        <v>238</v>
      </c>
      <c r="AA12" s="909" t="s">
        <v>469</v>
      </c>
      <c r="AB12" s="855">
        <f>VLOOKUP($B$4,◎施設管理!G6:S7,5,FALSE)</f>
        <v>700</v>
      </c>
      <c r="AC12" s="862">
        <f>SUM(入力2【名簿】!BS5:BT8,入力2【名簿】!BY5:BZ8)</f>
        <v>0</v>
      </c>
      <c r="AD12" s="866" t="s">
        <v>196</v>
      </c>
      <c r="AE12" s="744" t="s">
        <v>229</v>
      </c>
      <c r="AF12" s="858">
        <f>AB12*AC12*Z14</f>
        <v>0</v>
      </c>
      <c r="AG12" s="871" t="s">
        <v>58</v>
      </c>
      <c r="AH12" s="9"/>
      <c r="AI12" s="9"/>
      <c r="AJ12" s="9"/>
      <c r="AK12" s="9"/>
    </row>
    <row r="13" spans="1:41" ht="14.25" customHeight="1" x14ac:dyDescent="0.15">
      <c r="B13" s="1588"/>
      <c r="C13" s="1542"/>
      <c r="D13" s="1544"/>
      <c r="E13" s="458"/>
      <c r="F13" s="451"/>
      <c r="G13" s="450"/>
      <c r="H13" s="1549"/>
      <c r="I13" s="837">
        <f>◎施設管理!L6</f>
        <v>200</v>
      </c>
      <c r="J13" s="677"/>
      <c r="K13" s="678">
        <f>SUM(J11,K11)</f>
        <v>0</v>
      </c>
      <c r="L13" s="679"/>
      <c r="M13" s="678">
        <f>SUM(L11,M11)</f>
        <v>0</v>
      </c>
      <c r="N13" s="679"/>
      <c r="O13" s="678">
        <f>SUM(N11,O11)</f>
        <v>0</v>
      </c>
      <c r="P13" s="679"/>
      <c r="Q13" s="678">
        <f>SUM(P11,Q11)</f>
        <v>0</v>
      </c>
      <c r="R13" s="679"/>
      <c r="S13" s="678">
        <f>SUM(R11,S11)</f>
        <v>0</v>
      </c>
      <c r="T13" s="679"/>
      <c r="U13" s="678">
        <f>SUM(T11,U11)</f>
        <v>0</v>
      </c>
      <c r="V13" s="676">
        <f>SUM(J13:U13)</f>
        <v>0</v>
      </c>
      <c r="W13" s="22"/>
      <c r="X13" s="849">
        <f>I11*V13</f>
        <v>0</v>
      </c>
      <c r="Y13" s="754"/>
      <c r="Z13" s="1494"/>
      <c r="AA13" s="910" t="s">
        <v>237</v>
      </c>
      <c r="AB13" s="855">
        <f>VLOOKUP($B$4,◎施設管理!G6:S7,7,FALSE)</f>
        <v>2500</v>
      </c>
      <c r="AC13" s="862">
        <f>SUM(入力2【名簿】!BS9,入力2【名簿】!BY9)</f>
        <v>0</v>
      </c>
      <c r="AD13" s="867" t="s">
        <v>196</v>
      </c>
      <c r="AE13" s="744" t="s">
        <v>229</v>
      </c>
      <c r="AF13" s="858">
        <f>AB13*AC13*Z14</f>
        <v>0</v>
      </c>
      <c r="AG13" s="871" t="s">
        <v>58</v>
      </c>
      <c r="AH13" s="9"/>
      <c r="AI13" s="9"/>
      <c r="AJ13" s="9"/>
      <c r="AK13" s="9"/>
    </row>
    <row r="14" spans="1:41" ht="14.25" customHeight="1" x14ac:dyDescent="0.15">
      <c r="B14" s="1588"/>
      <c r="C14" s="1542"/>
      <c r="D14" s="1545"/>
      <c r="E14" s="448"/>
      <c r="F14" s="447"/>
      <c r="G14" s="457" t="s">
        <v>344</v>
      </c>
      <c r="H14" s="1549"/>
      <c r="I14" s="456" t="s">
        <v>271</v>
      </c>
      <c r="J14" s="680" t="str">
        <f>IF(B4="県内",集計表!$AJ$14,"")</f>
        <v/>
      </c>
      <c r="K14" s="715" t="str">
        <f>IF(B4="県内",集計表!$AK$14,"")</f>
        <v/>
      </c>
      <c r="L14" s="682" t="str">
        <f>IF(B4="県内",集計表!$AL$14,"")</f>
        <v/>
      </c>
      <c r="M14" s="715" t="str">
        <f>IF(B4="県内",集計表!$AM$14,"")</f>
        <v/>
      </c>
      <c r="N14" s="682" t="str">
        <f>IF(B4="県内",集計表!$AN$14,"")</f>
        <v/>
      </c>
      <c r="O14" s="681" t="str">
        <f>IF(B4="県内",集計表!$AO$14,"")</f>
        <v/>
      </c>
      <c r="P14" s="714" t="str">
        <f>IF(B4="県内",集計表!$AP$14,"")</f>
        <v/>
      </c>
      <c r="Q14" s="681" t="str">
        <f>IF(B4="県内",集計表!$AQ$14,"")</f>
        <v/>
      </c>
      <c r="R14" s="714" t="str">
        <f>IF(B4="県内",集計表!$AR$14,"")</f>
        <v/>
      </c>
      <c r="S14" s="681" t="str">
        <f>IF(B4="県内",集計表!$AS$14,"")</f>
        <v/>
      </c>
      <c r="T14" s="714" t="str">
        <f>IF(B4="県内",集計表!$AT$14,"")</f>
        <v/>
      </c>
      <c r="U14" s="681" t="str">
        <f>IF(B4="県内",集計表!$AU$14,"")</f>
        <v/>
      </c>
      <c r="V14" s="684">
        <f>SUM(J14:U14)</f>
        <v>0</v>
      </c>
      <c r="W14" s="22"/>
      <c r="X14" s="850"/>
      <c r="Y14" s="755"/>
      <c r="Z14" s="912">
        <f>入力1!F23</f>
        <v>0</v>
      </c>
      <c r="AA14" s="910" t="s">
        <v>230</v>
      </c>
      <c r="AB14" s="855">
        <f>VLOOKUP($B$4,◎施設管理!G6:S7,9,FALSE)</f>
        <v>5000</v>
      </c>
      <c r="AC14" s="862">
        <f>SUM(入力2【名簿】!BS10,入力2【名簿】!BY10)</f>
        <v>0</v>
      </c>
      <c r="AD14" s="866" t="s">
        <v>196</v>
      </c>
      <c r="AE14" s="744" t="s">
        <v>229</v>
      </c>
      <c r="AF14" s="858">
        <f>AB14*AC14*Z14</f>
        <v>0</v>
      </c>
      <c r="AG14" s="871" t="s">
        <v>58</v>
      </c>
      <c r="AH14" s="9"/>
      <c r="AK14" s="745"/>
    </row>
    <row r="15" spans="1:41" ht="14.25" customHeight="1" x14ac:dyDescent="0.15">
      <c r="B15" s="1588"/>
      <c r="C15" s="1542"/>
      <c r="D15" s="1576" t="s">
        <v>84</v>
      </c>
      <c r="E15" s="1577" t="s">
        <v>349</v>
      </c>
      <c r="F15" s="1568"/>
      <c r="G15" s="1569"/>
      <c r="H15" s="1549"/>
      <c r="I15" s="455">
        <f>◎施設管理!K6</f>
        <v>350</v>
      </c>
      <c r="J15" s="685" t="str">
        <f>IF(B4="県内",集計表!$AJ$17,"")</f>
        <v/>
      </c>
      <c r="K15" s="688" t="str">
        <f>IF(B4="県内",集計表!$AK$17,"")</f>
        <v/>
      </c>
      <c r="L15" s="728" t="str">
        <f>IF(B4="県内",集計表!$AL$17,"")</f>
        <v/>
      </c>
      <c r="M15" s="704" t="str">
        <f>IF(B4="県内",集計表!$AM$17,"")</f>
        <v/>
      </c>
      <c r="N15" s="728" t="str">
        <f>IF(B4="県内",集計表!$AN$17,"")</f>
        <v/>
      </c>
      <c r="O15" s="688" t="str">
        <f>IF(B4="県内",集計表!$AO$17,"")</f>
        <v/>
      </c>
      <c r="P15" s="728" t="str">
        <f>IF(B4="県内",集計表!$AP$17,"")</f>
        <v/>
      </c>
      <c r="Q15" s="688" t="str">
        <f>IF(B4="県内",集計表!$AQ$17,"")</f>
        <v/>
      </c>
      <c r="R15" s="728" t="str">
        <f>IF(B4="県内",集計表!$AR$17,"")</f>
        <v/>
      </c>
      <c r="S15" s="704" t="str">
        <f>IF(B4="県内",集計表!$AS$17,"")</f>
        <v/>
      </c>
      <c r="T15" s="728" t="str">
        <f>IF(B4="県内",集計表!$AT$17,"")</f>
        <v/>
      </c>
      <c r="U15" s="686" t="str">
        <f>IF(B4="県内",集計表!$AU$17,"")</f>
        <v/>
      </c>
      <c r="V15" s="689"/>
      <c r="W15" s="22"/>
      <c r="X15" s="850"/>
      <c r="Y15" s="754"/>
      <c r="Z15" s="874" t="s">
        <v>472</v>
      </c>
      <c r="AA15" s="911" t="s">
        <v>471</v>
      </c>
      <c r="AB15" s="855">
        <f>VLOOKUP($B$4,◎施設管理!G6:S7,9,FALSE)</f>
        <v>5000</v>
      </c>
      <c r="AC15" s="862">
        <f>SUM(入力2【名簿】!BS11,入力2【名簿】!BY11)</f>
        <v>0</v>
      </c>
      <c r="AD15" s="866" t="s">
        <v>196</v>
      </c>
      <c r="AE15" s="744" t="s">
        <v>228</v>
      </c>
      <c r="AF15" s="858">
        <f>AB15*AC15*Z14</f>
        <v>0</v>
      </c>
      <c r="AG15" s="871" t="s">
        <v>58</v>
      </c>
      <c r="AH15" s="749"/>
      <c r="AI15" s="749"/>
      <c r="AJ15" s="747"/>
      <c r="AK15" s="745"/>
    </row>
    <row r="16" spans="1:41" ht="14.25" customHeight="1" x14ac:dyDescent="0.15">
      <c r="B16" s="1588"/>
      <c r="C16" s="1542"/>
      <c r="D16" s="1545"/>
      <c r="E16" s="1578"/>
      <c r="F16" s="1571"/>
      <c r="G16" s="1572"/>
      <c r="H16" s="1549"/>
      <c r="I16" s="838">
        <f>◎施設管理!L6</f>
        <v>200</v>
      </c>
      <c r="J16" s="690"/>
      <c r="K16" s="691">
        <f>SUM(J15,K15)</f>
        <v>0</v>
      </c>
      <c r="L16" s="692"/>
      <c r="M16" s="691">
        <f>SUM(L15,M15)</f>
        <v>0</v>
      </c>
      <c r="N16" s="692"/>
      <c r="O16" s="691">
        <f>SUM(N15,O15)</f>
        <v>0</v>
      </c>
      <c r="P16" s="692"/>
      <c r="Q16" s="691">
        <f>SUM(P15,Q15)</f>
        <v>0</v>
      </c>
      <c r="R16" s="692"/>
      <c r="S16" s="691">
        <f>SUM(R15,S15)</f>
        <v>0</v>
      </c>
      <c r="T16" s="692"/>
      <c r="U16" s="691">
        <f>SUM(T15,U15)</f>
        <v>0</v>
      </c>
      <c r="V16" s="693">
        <f>SUM(J16:U16)</f>
        <v>0</v>
      </c>
      <c r="W16" s="22"/>
      <c r="X16" s="849">
        <f>I15*V16</f>
        <v>0</v>
      </c>
      <c r="Y16" s="755"/>
      <c r="Z16" s="1475" t="s">
        <v>231</v>
      </c>
      <c r="AA16" s="1476"/>
      <c r="AB16" s="856">
        <f>◎施設管理!H10</f>
        <v>350</v>
      </c>
      <c r="AC16" s="863">
        <f>COUNTIFS(入力2【名簿】!I15:AH74,"宿泊")</f>
        <v>0</v>
      </c>
      <c r="AD16" s="868"/>
      <c r="AE16" s="744" t="s">
        <v>229</v>
      </c>
      <c r="AF16" s="857">
        <f>AB16*AC16</f>
        <v>0</v>
      </c>
      <c r="AG16" s="870" t="s">
        <v>58</v>
      </c>
      <c r="AH16" s="892" t="s">
        <v>473</v>
      </c>
      <c r="AI16" s="892"/>
      <c r="AJ16" s="892"/>
      <c r="AK16" s="892"/>
      <c r="AL16" s="892"/>
    </row>
    <row r="17" spans="2:40" ht="14.25" customHeight="1" thickBot="1" x14ac:dyDescent="0.2">
      <c r="B17" s="1588"/>
      <c r="C17" s="1542"/>
      <c r="D17" s="1576" t="s">
        <v>343</v>
      </c>
      <c r="E17" s="1577" t="s">
        <v>349</v>
      </c>
      <c r="F17" s="1568"/>
      <c r="G17" s="1569"/>
      <c r="H17" s="1549"/>
      <c r="I17" s="455">
        <f>◎施設管理!M6</f>
        <v>1250</v>
      </c>
      <c r="J17" s="685" t="str">
        <f>IF(B4="県内",集計表!$AJ$18,"")</f>
        <v/>
      </c>
      <c r="K17" s="688" t="str">
        <f>IF(B4="県内",集計表!$AK$18,"")</f>
        <v/>
      </c>
      <c r="L17" s="728" t="str">
        <f>IF(B4="県内",集計表!$AL$18,"")</f>
        <v/>
      </c>
      <c r="M17" s="688" t="str">
        <f>IF(B4="県内",集計表!$AM$18,"")</f>
        <v/>
      </c>
      <c r="N17" s="728" t="str">
        <f>IF(B4="県内",集計表!$AN$18,"")</f>
        <v/>
      </c>
      <c r="O17" s="688" t="str">
        <f>IF(B4="県内",集計表!$AO$18,"")</f>
        <v/>
      </c>
      <c r="P17" s="728" t="str">
        <f>IF(B4="県内",集計表!$AP$18,"")</f>
        <v/>
      </c>
      <c r="Q17" s="688" t="str">
        <f>IF(B4="県内",集計表!$AQ$18,"")</f>
        <v/>
      </c>
      <c r="R17" s="728" t="str">
        <f>IF(B4="県内",集計表!$AR$18,"")</f>
        <v/>
      </c>
      <c r="S17" s="688" t="str">
        <f>IF(B4="県内",集計表!$AS$18,"")</f>
        <v/>
      </c>
      <c r="T17" s="728" t="str">
        <f>IF(B4="県内",集計表!$AT$18,"")</f>
        <v/>
      </c>
      <c r="U17" s="686" t="str">
        <f>IF(B4="県内",集計表!$AU$18,"")</f>
        <v/>
      </c>
      <c r="V17" s="689"/>
      <c r="W17" s="22"/>
      <c r="X17" s="851"/>
      <c r="Y17" s="756"/>
      <c r="Z17" s="1475" t="s">
        <v>476</v>
      </c>
      <c r="AA17" s="1476"/>
      <c r="AB17" s="856">
        <f>◎施設管理!I10</f>
        <v>200</v>
      </c>
      <c r="AC17" s="863">
        <f>SUM(入力1!P48:R50)</f>
        <v>0</v>
      </c>
      <c r="AD17" s="869" t="s">
        <v>483</v>
      </c>
      <c r="AE17" s="744" t="s">
        <v>229</v>
      </c>
      <c r="AF17" s="859">
        <f>AB17*AC17</f>
        <v>0</v>
      </c>
      <c r="AG17" s="873" t="s">
        <v>58</v>
      </c>
      <c r="AH17" s="891" t="s">
        <v>474</v>
      </c>
      <c r="AI17" s="891"/>
      <c r="AJ17" s="891"/>
      <c r="AK17" s="891"/>
    </row>
    <row r="18" spans="2:40" ht="14.25" customHeight="1" x14ac:dyDescent="0.15">
      <c r="B18" s="1588"/>
      <c r="C18" s="1542"/>
      <c r="D18" s="1545"/>
      <c r="E18" s="1578"/>
      <c r="F18" s="1571"/>
      <c r="G18" s="1572"/>
      <c r="H18" s="1549"/>
      <c r="I18" s="838">
        <f>◎施設管理!N6</f>
        <v>300</v>
      </c>
      <c r="J18" s="690"/>
      <c r="K18" s="691">
        <f>SUM(J17,K17)</f>
        <v>0</v>
      </c>
      <c r="L18" s="692"/>
      <c r="M18" s="691">
        <f>SUM(L17,M17)</f>
        <v>0</v>
      </c>
      <c r="N18" s="692"/>
      <c r="O18" s="691">
        <f>SUM(N17,O17)</f>
        <v>0</v>
      </c>
      <c r="P18" s="692"/>
      <c r="Q18" s="691">
        <f>SUM(P17,Q17)</f>
        <v>0</v>
      </c>
      <c r="R18" s="692"/>
      <c r="S18" s="691">
        <f>SUM(R17,S17)</f>
        <v>0</v>
      </c>
      <c r="T18" s="692"/>
      <c r="U18" s="691">
        <f>SUM(T17,U17)</f>
        <v>0</v>
      </c>
      <c r="V18" s="693">
        <f>SUM(J18:U18)</f>
        <v>0</v>
      </c>
      <c r="W18" s="694"/>
      <c r="X18" s="849">
        <f>I17*V18</f>
        <v>0</v>
      </c>
      <c r="Y18" s="122"/>
      <c r="Z18" s="1477" t="s">
        <v>239</v>
      </c>
      <c r="AA18" s="1477"/>
      <c r="AB18" s="843" t="str">
        <f>SUM(AC12:AC15)-AC17&amp;" 名】"</f>
        <v>0 名】</v>
      </c>
      <c r="AC18" s="844"/>
      <c r="AE18" s="1462" t="s">
        <v>511</v>
      </c>
      <c r="AF18" s="1481">
        <f>SUM(AF8:AF17)</f>
        <v>0</v>
      </c>
      <c r="AG18" s="1482"/>
      <c r="AH18" s="1469" t="s">
        <v>225</v>
      </c>
      <c r="AI18" s="9"/>
      <c r="AJ18" s="9"/>
      <c r="AK18" s="9"/>
    </row>
    <row r="19" spans="2:40" ht="14.25" customHeight="1" thickBot="1" x14ac:dyDescent="0.2">
      <c r="B19" s="1588"/>
      <c r="C19" s="1542"/>
      <c r="D19" s="1566" t="s">
        <v>350</v>
      </c>
      <c r="E19" s="1593" t="s">
        <v>349</v>
      </c>
      <c r="F19" s="1584"/>
      <c r="G19" s="1594"/>
      <c r="H19" s="1549"/>
      <c r="I19" s="578">
        <f>◎施設管理!O6</f>
        <v>3000</v>
      </c>
      <c r="J19" s="695" t="str">
        <f>IF(B4="県内",集計表!$AJ$19+集計表!$AJ$20,"")</f>
        <v/>
      </c>
      <c r="K19" s="688" t="str">
        <f>IF(B4="県内",集計表!$AK$19+集計表!$AK$20,"")</f>
        <v/>
      </c>
      <c r="L19" s="687" t="str">
        <f>IF(B4="県内",集計表!$AL$19+集計表!$AL$20,"")</f>
        <v/>
      </c>
      <c r="M19" s="688" t="str">
        <f>IF(B4="県内",集計表!$AM$19+集計表!$AM$20,"")</f>
        <v/>
      </c>
      <c r="N19" s="687" t="str">
        <f>IF(B4="県内",集計表!$AN$19+集計表!$AN$20,"")</f>
        <v/>
      </c>
      <c r="O19" s="688" t="str">
        <f>IF(B4="県内",集計表!$AO$19+集計表!$AO$20,"")</f>
        <v/>
      </c>
      <c r="P19" s="687" t="str">
        <f>IF(B4="県内",集計表!$AP$19+集計表!$AP$20,"")</f>
        <v/>
      </c>
      <c r="Q19" s="688" t="str">
        <f>IF(B4="県内",集計表!$AQ$19+集計表!$AQ$20,"")</f>
        <v/>
      </c>
      <c r="R19" s="687" t="str">
        <f>IF(B4="県内",集計表!$AR$19+集計表!$AR$20,"")</f>
        <v/>
      </c>
      <c r="S19" s="688" t="str">
        <f>IF(B4="県内",集計表!$AS$19+集計表!$AS$20,"")</f>
        <v/>
      </c>
      <c r="T19" s="687" t="str">
        <f>IF(B4="県内",集計表!$AT$19+集計表!$AT$20,"")</f>
        <v/>
      </c>
      <c r="U19" s="688" t="str">
        <f>IF(B4="県内",集計表!$AU$19+集計表!$AU$20,"")</f>
        <v/>
      </c>
      <c r="V19" s="689"/>
      <c r="W19" s="22"/>
      <c r="X19" s="850"/>
      <c r="Y19" s="122"/>
      <c r="Z19" s="1492" t="s">
        <v>509</v>
      </c>
      <c r="AA19" s="1492"/>
      <c r="AB19" s="1492"/>
      <c r="AC19" s="1492"/>
      <c r="AD19" s="872"/>
      <c r="AE19" s="1462"/>
      <c r="AF19" s="1483"/>
      <c r="AG19" s="1484"/>
      <c r="AH19" s="1470"/>
      <c r="AI19" s="9"/>
      <c r="AJ19" s="9"/>
      <c r="AK19" s="9"/>
    </row>
    <row r="20" spans="2:40" ht="14.25" customHeight="1" thickBot="1" x14ac:dyDescent="0.2">
      <c r="B20" s="1588"/>
      <c r="C20" s="1542"/>
      <c r="D20" s="1566"/>
      <c r="E20" s="1578"/>
      <c r="F20" s="1571"/>
      <c r="G20" s="1572"/>
      <c r="H20" s="1549"/>
      <c r="I20" s="838">
        <f>◎施設管理!P6</f>
        <v>400</v>
      </c>
      <c r="J20" s="690"/>
      <c r="K20" s="691">
        <f>SUM(J19,K19)</f>
        <v>0</v>
      </c>
      <c r="L20" s="697"/>
      <c r="M20" s="691">
        <f>SUM(L19,M19)</f>
        <v>0</v>
      </c>
      <c r="N20" s="697"/>
      <c r="O20" s="691">
        <f>SUM(N19,O19)</f>
        <v>0</v>
      </c>
      <c r="P20" s="697"/>
      <c r="Q20" s="691">
        <f>SUM(P19,Q19)</f>
        <v>0</v>
      </c>
      <c r="R20" s="697"/>
      <c r="S20" s="691">
        <f>SUM(R19,S19)</f>
        <v>0</v>
      </c>
      <c r="T20" s="697"/>
      <c r="U20" s="691">
        <f>SUM(T19,U19)</f>
        <v>0</v>
      </c>
      <c r="V20" s="693">
        <f>SUM(J20:U20)</f>
        <v>0</v>
      </c>
      <c r="W20" s="22"/>
      <c r="X20" s="852">
        <f>I19*V20</f>
        <v>0</v>
      </c>
      <c r="Y20" s="756"/>
      <c r="Z20" s="1478" t="s">
        <v>463</v>
      </c>
      <c r="AA20" s="1490" t="e">
        <f>IF(入力1!#REF!="あり","利用あり","利用なし")</f>
        <v>#REF!</v>
      </c>
      <c r="AB20" s="1491"/>
      <c r="AC20" s="750"/>
      <c r="AD20" s="9"/>
      <c r="AE20" s="9"/>
      <c r="AF20" s="9"/>
      <c r="AG20" s="9"/>
      <c r="AH20" s="9"/>
      <c r="AI20" s="9"/>
      <c r="AJ20" s="9"/>
    </row>
    <row r="21" spans="2:40" ht="14.25" customHeight="1" x14ac:dyDescent="0.15">
      <c r="B21" s="1588"/>
      <c r="C21" s="1550" t="s">
        <v>348</v>
      </c>
      <c r="D21" s="1552" t="s">
        <v>347</v>
      </c>
      <c r="E21" s="1553"/>
      <c r="F21" s="1553"/>
      <c r="G21" s="1554"/>
      <c r="H21" s="1555" t="s">
        <v>346</v>
      </c>
      <c r="I21" s="1527">
        <f>◎施設管理!H6</f>
        <v>100</v>
      </c>
      <c r="J21" s="698" t="str">
        <f>IF(B4="県内",集計表!$I$7+集計表!$I$8,"")</f>
        <v/>
      </c>
      <c r="K21" s="699" t="str">
        <f>IF(B4="県内",集計表!$K$7+集計表!$K$8,"")</f>
        <v/>
      </c>
      <c r="L21" s="700" t="str">
        <f>IF(B4="県内",集計表!$M$7+集計表!$M$8,"")</f>
        <v/>
      </c>
      <c r="M21" s="699" t="str">
        <f>IF(B4="県内",集計表!$O$7+集計表!$O$8,"")</f>
        <v/>
      </c>
      <c r="N21" s="700" t="str">
        <f>IF(B4="県内",集計表!$Q$7+集計表!$Q$8,"")</f>
        <v/>
      </c>
      <c r="O21" s="699" t="str">
        <f>IF(B4="県内",集計表!$S$7+集計表!$S$8,"")</f>
        <v/>
      </c>
      <c r="P21" s="700" t="str">
        <f>IF(B4="県内",集計表!$U$7+集計表!$U$8,"")</f>
        <v/>
      </c>
      <c r="Q21" s="699" t="str">
        <f>IF(B4="県内",集計表!$W$7+集計表!$W$8,"")</f>
        <v/>
      </c>
      <c r="R21" s="700" t="str">
        <f>IF(B4="県内",集計表!$Y$7+集計表!$Y$8,"")</f>
        <v/>
      </c>
      <c r="S21" s="699" t="str">
        <f>IF(B4="県内",集計表!$AA$7+集計表!$AA$8,"")</f>
        <v/>
      </c>
      <c r="T21" s="700" t="str">
        <f>IF(B4="県内",集計表!$AC$7+集計表!$AC$8,"")</f>
        <v/>
      </c>
      <c r="U21" s="699" t="str">
        <f>IF(B4="県内",集計表!$AE$7+集計表!$AE$8,"")</f>
        <v/>
      </c>
      <c r="V21" s="701"/>
      <c r="W21" s="22"/>
      <c r="X21" s="851"/>
      <c r="Y21" s="122"/>
      <c r="Z21" s="1479"/>
      <c r="AA21" s="906" t="s">
        <v>469</v>
      </c>
      <c r="AB21" s="875">
        <f>VLOOKUP($B$4,◎施設管理!G6:S7,11,FALSE)</f>
        <v>200</v>
      </c>
      <c r="AC21" s="876">
        <f>IF(B4="県外",V54,V31)</f>
        <v>0</v>
      </c>
      <c r="AD21" s="877"/>
      <c r="AE21" s="744" t="s">
        <v>229</v>
      </c>
      <c r="AF21" s="857">
        <f>AB21*AC21</f>
        <v>0</v>
      </c>
      <c r="AG21" s="870" t="s">
        <v>58</v>
      </c>
      <c r="AH21" s="9"/>
      <c r="AI21" s="745"/>
      <c r="AJ21" s="745"/>
    </row>
    <row r="22" spans="2:40" ht="14.25" customHeight="1" x14ac:dyDescent="0.15">
      <c r="B22" s="1588"/>
      <c r="C22" s="1542"/>
      <c r="D22" s="454"/>
      <c r="E22" s="451"/>
      <c r="F22" s="451"/>
      <c r="G22" s="453" t="s">
        <v>345</v>
      </c>
      <c r="H22" s="1549"/>
      <c r="I22" s="1528"/>
      <c r="J22" s="671" t="str">
        <f>IF(B4="県内",集計表!$AJ$6,"")</f>
        <v/>
      </c>
      <c r="K22" s="672" t="str">
        <f>IF(B4="県内",集計表!$AK$6,"")</f>
        <v/>
      </c>
      <c r="L22" s="675" t="str">
        <f>IF(B4="県内",集計表!$AL$6,"")</f>
        <v/>
      </c>
      <c r="M22" s="672" t="str">
        <f>IF(B4="県内",集計表!$AM$6,"")</f>
        <v/>
      </c>
      <c r="N22" s="673" t="str">
        <f>IF(B4="県内",集計表!$AN$6,"")</f>
        <v/>
      </c>
      <c r="O22" s="674" t="str">
        <f>IF(B4="県内",集計表!$AO$6,"")</f>
        <v/>
      </c>
      <c r="P22" s="673" t="str">
        <f>IF(B4="県内",集計表!$AP$6,"")</f>
        <v/>
      </c>
      <c r="Q22" s="674" t="str">
        <f>IF(B4="県内",集計表!$AQ$6,"")</f>
        <v/>
      </c>
      <c r="R22" s="675" t="str">
        <f>IF(B4="県内",集計表!$AR$6,"")</f>
        <v/>
      </c>
      <c r="S22" s="672" t="str">
        <f>IF(B4="県内",集計表!$AS$6,"")</f>
        <v/>
      </c>
      <c r="T22" s="675" t="str">
        <f>IF(B4="県内",集計表!$AT$6,"")</f>
        <v/>
      </c>
      <c r="U22" s="672" t="str">
        <f>IF(B4="県内",集計表!$AU$6,"")</f>
        <v/>
      </c>
      <c r="V22" s="676">
        <f>SUM(J22:U22)</f>
        <v>0</v>
      </c>
      <c r="W22" s="22"/>
      <c r="X22" s="851"/>
      <c r="Y22" s="122"/>
      <c r="Z22" s="1479"/>
      <c r="AA22" s="907" t="s">
        <v>237</v>
      </c>
      <c r="AB22" s="875">
        <f>VLOOKUP($B$4,◎施設管理!G6:S7,12,FALSE)</f>
        <v>300</v>
      </c>
      <c r="AC22" s="876">
        <f>IF(B4="県外",V55,V32)</f>
        <v>0</v>
      </c>
      <c r="AD22" s="878"/>
      <c r="AE22" s="744" t="s">
        <v>228</v>
      </c>
      <c r="AF22" s="857">
        <f>AB22*AC22</f>
        <v>0</v>
      </c>
      <c r="AG22" s="870" t="s">
        <v>58</v>
      </c>
      <c r="AH22" s="9"/>
      <c r="AI22" s="745"/>
      <c r="AJ22" s="745"/>
    </row>
    <row r="23" spans="2:40" ht="14.25" customHeight="1" thickBot="1" x14ac:dyDescent="0.2">
      <c r="B23" s="1588"/>
      <c r="C23" s="1542"/>
      <c r="D23" s="452"/>
      <c r="E23" s="451"/>
      <c r="F23" s="451"/>
      <c r="G23" s="450"/>
      <c r="H23" s="1549"/>
      <c r="I23" s="1532"/>
      <c r="J23" s="677"/>
      <c r="K23" s="702">
        <f>SUM(J21,K21)</f>
        <v>0</v>
      </c>
      <c r="L23" s="679"/>
      <c r="M23" s="703">
        <f>SUM(L21,M21)</f>
        <v>0</v>
      </c>
      <c r="N23" s="679"/>
      <c r="O23" s="703">
        <f>SUM(N21,O21)</f>
        <v>0</v>
      </c>
      <c r="P23" s="679"/>
      <c r="Q23" s="703">
        <f>SUM(P21,Q21)</f>
        <v>0</v>
      </c>
      <c r="R23" s="679"/>
      <c r="S23" s="703">
        <f>SUM(R21,S21)</f>
        <v>0</v>
      </c>
      <c r="T23" s="679"/>
      <c r="U23" s="703">
        <f>SUM(T21,U21)</f>
        <v>0</v>
      </c>
      <c r="V23" s="676">
        <f>SUM(J23:U23)</f>
        <v>0</v>
      </c>
      <c r="W23" s="22"/>
      <c r="X23" s="852">
        <f>I21*V23</f>
        <v>0</v>
      </c>
      <c r="Y23" s="756"/>
      <c r="Z23" s="1480"/>
      <c r="AA23" s="906" t="s">
        <v>230</v>
      </c>
      <c r="AB23" s="875">
        <f>VLOOKUP($B$4,◎施設管理!G6:S7,13,FALSE)</f>
        <v>500</v>
      </c>
      <c r="AC23" s="876">
        <f>IF(B4="県外",V56,V33)</f>
        <v>0</v>
      </c>
      <c r="AD23" s="877"/>
      <c r="AE23" s="744" t="s">
        <v>229</v>
      </c>
      <c r="AF23" s="857">
        <f>AB23*AC23</f>
        <v>0</v>
      </c>
      <c r="AG23" s="870" t="s">
        <v>58</v>
      </c>
      <c r="AH23" s="9"/>
      <c r="AI23" s="745"/>
      <c r="AJ23" s="745"/>
    </row>
    <row r="24" spans="2:40" ht="14.25" customHeight="1" x14ac:dyDescent="0.15">
      <c r="B24" s="1588"/>
      <c r="C24" s="1542"/>
      <c r="D24" s="449"/>
      <c r="E24" s="448"/>
      <c r="F24" s="447"/>
      <c r="G24" s="446" t="s">
        <v>344</v>
      </c>
      <c r="H24" s="1549"/>
      <c r="I24" s="456" t="s">
        <v>271</v>
      </c>
      <c r="J24" s="680" t="str">
        <f>IF(B4="県内",集計表!$AJ$5,"")</f>
        <v/>
      </c>
      <c r="K24" s="683" t="str">
        <f>IF(B4="県内",集計表!$AK$5,"")</f>
        <v/>
      </c>
      <c r="L24" s="682" t="str">
        <f>IF(B4="県内",集計表!$AL$5,"")</f>
        <v/>
      </c>
      <c r="M24" s="683" t="str">
        <f>IF(B4="県内",集計表!$AM$5,"")</f>
        <v/>
      </c>
      <c r="N24" s="682" t="str">
        <f>IF(B4="県内",集計表!$AN$5,"")</f>
        <v/>
      </c>
      <c r="O24" s="683" t="str">
        <f>IF(B4="県内",集計表!$AO$5,"")</f>
        <v/>
      </c>
      <c r="P24" s="682" t="str">
        <f>IF(B4="県内",集計表!$AP$5,"")</f>
        <v/>
      </c>
      <c r="Q24" s="683" t="str">
        <f>IF(B4="県内",集計表!$AQ$5,"")</f>
        <v/>
      </c>
      <c r="R24" s="682" t="str">
        <f>IF(B4="県内",集計表!$AR$5,"")</f>
        <v/>
      </c>
      <c r="S24" s="683" t="str">
        <f>IF(B4="県内",集計表!$AS$5,"")</f>
        <v/>
      </c>
      <c r="T24" s="682" t="str">
        <f>IF(B4="県内",集計表!$AT$5,"")</f>
        <v/>
      </c>
      <c r="U24" s="683" t="str">
        <f>IF(B4="県内",集計表!$AU$5,"")</f>
        <v/>
      </c>
      <c r="V24" s="684">
        <f>SUM(J24:U24)</f>
        <v>0</v>
      </c>
      <c r="W24" s="22"/>
      <c r="X24" s="851"/>
      <c r="Y24" s="122"/>
      <c r="Z24" s="743"/>
      <c r="AA24" s="743"/>
      <c r="AB24" s="743"/>
      <c r="AC24" s="842"/>
      <c r="AD24" s="842"/>
      <c r="AE24" s="1462" t="s">
        <v>511</v>
      </c>
      <c r="AF24" s="1481">
        <f>SUM(AF21:AF23)</f>
        <v>0</v>
      </c>
      <c r="AG24" s="1482"/>
      <c r="AH24" s="1469" t="s">
        <v>225</v>
      </c>
      <c r="AI24" s="745"/>
      <c r="AJ24" s="745"/>
      <c r="AK24" s="745"/>
    </row>
    <row r="25" spans="2:40" ht="14.25" customHeight="1" thickBot="1" x14ac:dyDescent="0.2">
      <c r="B25" s="1588"/>
      <c r="C25" s="1542"/>
      <c r="D25" s="1567" t="s">
        <v>84</v>
      </c>
      <c r="E25" s="1568"/>
      <c r="F25" s="1568"/>
      <c r="G25" s="1569"/>
      <c r="H25" s="1549"/>
      <c r="I25" s="1528">
        <f>◎施設管理!H6</f>
        <v>100</v>
      </c>
      <c r="J25" s="729" t="str">
        <f>IF(B4="県内",集計表!$AJ$8,"")</f>
        <v/>
      </c>
      <c r="K25" s="704" t="str">
        <f>IF(B4="県内",集計表!$AK$8,"")</f>
        <v/>
      </c>
      <c r="L25" s="696" t="str">
        <f>IF(B4="県内",集計表!$AL$8,"")</f>
        <v/>
      </c>
      <c r="M25" s="704" t="str">
        <f>IF(B4="県内",集計表!$AM$8,"")</f>
        <v/>
      </c>
      <c r="N25" s="696" t="str">
        <f>IF(B4="県内",集計表!$AN$8,"")</f>
        <v/>
      </c>
      <c r="O25" s="704" t="str">
        <f>IF(B4="県内",集計表!$AO$8,"")</f>
        <v/>
      </c>
      <c r="P25" s="696" t="str">
        <f>IF(B4="県内",集計表!$AP$8,"")</f>
        <v/>
      </c>
      <c r="Q25" s="704" t="str">
        <f>IF(B4="県内",集計表!$AQ$8,"")</f>
        <v/>
      </c>
      <c r="R25" s="696" t="str">
        <f>IF(B4="県内",集計表!$AR$8,"")</f>
        <v/>
      </c>
      <c r="S25" s="704" t="str">
        <f>IF(B4="県内",集計表!$AS$8,"")</f>
        <v/>
      </c>
      <c r="T25" s="696" t="str">
        <f>IF(B4="県内",集計表!$AT$8,"")</f>
        <v/>
      </c>
      <c r="U25" s="730" t="str">
        <f>IF(B4="県内",集計表!$AU$8,"")</f>
        <v/>
      </c>
      <c r="V25" s="689"/>
      <c r="W25" s="22"/>
      <c r="X25" s="851"/>
      <c r="Y25" s="756"/>
      <c r="Z25" s="743"/>
      <c r="AA25" s="743"/>
      <c r="AB25" s="743"/>
      <c r="AC25" s="842"/>
      <c r="AD25" s="842"/>
      <c r="AE25" s="1462"/>
      <c r="AF25" s="1483"/>
      <c r="AG25" s="1484"/>
      <c r="AH25" s="1470"/>
      <c r="AI25" s="742"/>
      <c r="AJ25" s="742"/>
      <c r="AK25" s="742"/>
    </row>
    <row r="26" spans="2:40" ht="14.25" customHeight="1" x14ac:dyDescent="0.15">
      <c r="B26" s="1588"/>
      <c r="C26" s="1542"/>
      <c r="D26" s="1570"/>
      <c r="E26" s="1571"/>
      <c r="F26" s="1571"/>
      <c r="G26" s="1572"/>
      <c r="H26" s="1549"/>
      <c r="I26" s="1530"/>
      <c r="J26" s="690"/>
      <c r="K26" s="691">
        <f>SUM(J25,K25)</f>
        <v>0</v>
      </c>
      <c r="L26" s="692"/>
      <c r="M26" s="691">
        <f>SUM(L25,M25)</f>
        <v>0</v>
      </c>
      <c r="N26" s="692"/>
      <c r="O26" s="691">
        <f>SUM(N25,O25)</f>
        <v>0</v>
      </c>
      <c r="P26" s="692"/>
      <c r="Q26" s="691">
        <f>SUM(P25,Q25)</f>
        <v>0</v>
      </c>
      <c r="R26" s="692"/>
      <c r="S26" s="691">
        <f>SUM(R25,S25)</f>
        <v>0</v>
      </c>
      <c r="T26" s="692"/>
      <c r="U26" s="691">
        <f>SUM(T25,U25)</f>
        <v>0</v>
      </c>
      <c r="V26" s="693">
        <f>SUM(J26:U26)</f>
        <v>0</v>
      </c>
      <c r="W26" s="22"/>
      <c r="X26" s="852">
        <f>I25*V26</f>
        <v>0</v>
      </c>
      <c r="Y26" s="122"/>
      <c r="Z26" s="887"/>
      <c r="AA26" s="741"/>
      <c r="AB26" s="741"/>
      <c r="AC26" s="741"/>
      <c r="AD26" s="887"/>
      <c r="AE26" s="741"/>
      <c r="AF26" s="741"/>
      <c r="AG26" s="741"/>
      <c r="AH26" s="741"/>
      <c r="AI26" s="742"/>
      <c r="AJ26" s="742"/>
      <c r="AK26" s="742"/>
      <c r="AL26" s="742"/>
      <c r="AM26" s="742"/>
      <c r="AN26" s="742"/>
    </row>
    <row r="27" spans="2:40" ht="14.25" customHeight="1" x14ac:dyDescent="0.15">
      <c r="B27" s="1588"/>
      <c r="C27" s="1542"/>
      <c r="D27" s="1567" t="s">
        <v>343</v>
      </c>
      <c r="E27" s="1568"/>
      <c r="F27" s="1568"/>
      <c r="G27" s="1568"/>
      <c r="H27" s="1549"/>
      <c r="I27" s="1529">
        <f>◎施設管理!I6</f>
        <v>200</v>
      </c>
      <c r="J27" s="729" t="str">
        <f>IF(B4="県内",集計表!$AJ$9,"")</f>
        <v/>
      </c>
      <c r="K27" s="716" t="str">
        <f>IF(B4="県内",集計表!$AK$9,"")</f>
        <v/>
      </c>
      <c r="L27" s="705" t="str">
        <f>IF(B4="県内",集計表!$AL$9,"")</f>
        <v/>
      </c>
      <c r="M27" s="688" t="str">
        <f>IF(B4="県内",集計表!$AM$9,"")</f>
        <v/>
      </c>
      <c r="N27" s="696" t="str">
        <f>IF(B4="県内",集計表!$AN$9,"")</f>
        <v/>
      </c>
      <c r="O27" s="704" t="str">
        <f>IF(B4="県内",集計表!$AO$9,"")</f>
        <v/>
      </c>
      <c r="P27" s="696" t="str">
        <f>IF(B4="県内",集計表!$AP$9,"")</f>
        <v/>
      </c>
      <c r="Q27" s="704" t="str">
        <f>IF(B4="県内",集計表!$AQ$9,"")</f>
        <v/>
      </c>
      <c r="R27" s="696" t="str">
        <f>IF(B4="県内",集計表!$AR$9,"")</f>
        <v/>
      </c>
      <c r="S27" s="731" t="str">
        <f>IF(B4="県内",集計表!$AS$9,"")</f>
        <v/>
      </c>
      <c r="T27" s="687" t="str">
        <f>IF(B4="県内",集計表!$AT$9,"")</f>
        <v/>
      </c>
      <c r="U27" s="773" t="str">
        <f>IF(B4="県内",集計表!$AU$9,"")</f>
        <v/>
      </c>
      <c r="V27" s="689"/>
      <c r="W27" s="22"/>
      <c r="X27" s="851"/>
      <c r="Y27" s="756"/>
      <c r="Z27" s="1463" t="s">
        <v>513</v>
      </c>
      <c r="AA27" s="879" t="s">
        <v>481</v>
      </c>
      <c r="AB27" s="885">
        <f>◎施設管理!J10</f>
        <v>370</v>
      </c>
      <c r="AC27" s="899">
        <f>SUM(入力2【名簿】!BT37,入力2【名簿】!BX37,入力2【名簿】!CB37,入力2【名簿】!CF37,入力2【名簿】!CJ37,入力2【名簿】!CN37)</f>
        <v>0</v>
      </c>
      <c r="AD27" s="867" t="s">
        <v>510</v>
      </c>
      <c r="AE27" s="744" t="s">
        <v>228</v>
      </c>
      <c r="AF27" s="897">
        <f t="shared" ref="AF27:AF35" si="0">AB27*AC27</f>
        <v>0</v>
      </c>
      <c r="AG27" s="893" t="s">
        <v>482</v>
      </c>
      <c r="AH27" s="745"/>
      <c r="AI27" s="745"/>
      <c r="AJ27" s="745"/>
      <c r="AK27" s="742"/>
      <c r="AL27" s="742"/>
      <c r="AM27" s="742"/>
    </row>
    <row r="28" spans="2:40" ht="14.25" customHeight="1" x14ac:dyDescent="0.15">
      <c r="B28" s="1588"/>
      <c r="C28" s="1542"/>
      <c r="D28" s="1570"/>
      <c r="E28" s="1571"/>
      <c r="F28" s="1571"/>
      <c r="G28" s="1571"/>
      <c r="H28" s="1549"/>
      <c r="I28" s="1606"/>
      <c r="J28" s="690"/>
      <c r="K28" s="691">
        <f>SUM(J27,K27)</f>
        <v>0</v>
      </c>
      <c r="L28" s="692"/>
      <c r="M28" s="691">
        <f>SUM(L27,M27)</f>
        <v>0</v>
      </c>
      <c r="N28" s="692"/>
      <c r="O28" s="691">
        <f>SUM(N27,O27)</f>
        <v>0</v>
      </c>
      <c r="P28" s="692"/>
      <c r="Q28" s="691">
        <f>SUM(P27,Q27)</f>
        <v>0</v>
      </c>
      <c r="R28" s="692"/>
      <c r="S28" s="717">
        <f>SUM(R27,S27)</f>
        <v>0</v>
      </c>
      <c r="T28" s="692"/>
      <c r="U28" s="691">
        <f>SUM(T27,U27)</f>
        <v>0</v>
      </c>
      <c r="V28" s="693">
        <f>SUM(J28:U28)</f>
        <v>0</v>
      </c>
      <c r="W28" s="22"/>
      <c r="X28" s="852">
        <f>I27*V28</f>
        <v>0</v>
      </c>
      <c r="Y28" s="756"/>
      <c r="Z28" s="1463"/>
      <c r="AA28" s="879" t="s">
        <v>83</v>
      </c>
      <c r="AB28" s="885">
        <f>◎施設管理!K10</f>
        <v>530</v>
      </c>
      <c r="AC28" s="899">
        <f>SUM(入力2【名簿】!BT38,入力2【名簿】!BX38,入力2【名簿】!CB38,入力2【名簿】!CF38,入力2【名簿】!CJ38,入力2【名簿】!CN38)</f>
        <v>0</v>
      </c>
      <c r="AD28" s="867" t="s">
        <v>510</v>
      </c>
      <c r="AE28" s="744" t="s">
        <v>228</v>
      </c>
      <c r="AF28" s="897">
        <f t="shared" si="0"/>
        <v>0</v>
      </c>
      <c r="AG28" s="893" t="s">
        <v>482</v>
      </c>
      <c r="AH28" s="745"/>
      <c r="AI28" s="745"/>
      <c r="AJ28" s="745"/>
      <c r="AK28" s="742"/>
      <c r="AL28" s="742"/>
      <c r="AM28" s="742"/>
    </row>
    <row r="29" spans="2:40" ht="14.25" customHeight="1" x14ac:dyDescent="0.15">
      <c r="B29" s="1588"/>
      <c r="C29" s="1542"/>
      <c r="D29" s="1583" t="s">
        <v>338</v>
      </c>
      <c r="E29" s="1584"/>
      <c r="F29" s="1584"/>
      <c r="G29" s="1584"/>
      <c r="H29" s="1549"/>
      <c r="I29" s="1528">
        <f>◎施設管理!J6</f>
        <v>400</v>
      </c>
      <c r="J29" s="729" t="str">
        <f>IF(B4="県内",集計表!$AJ$10+集計表!$AJ$11,"")</f>
        <v/>
      </c>
      <c r="K29" s="688" t="str">
        <f>IF(B4="県内",集計表!$AK$10+集計表!$AK$11,"")</f>
        <v/>
      </c>
      <c r="L29" s="734" t="str">
        <f>IF(B4="県内",集計表!$AL$10+集計表!$AL$11,"")</f>
        <v/>
      </c>
      <c r="M29" s="688" t="str">
        <f>IF(B4="県内",集計表!$AM$10+集計表!$AM$11,"")</f>
        <v/>
      </c>
      <c r="N29" s="734" t="str">
        <f>IF(B4="県内",集計表!$AN$10+集計表!$AN$11,"")</f>
        <v/>
      </c>
      <c r="O29" s="688" t="str">
        <f>IF(B4="県内",集計表!$AO$10+集計表!$AO$11,"")</f>
        <v/>
      </c>
      <c r="P29" s="734" t="str">
        <f>IF(B4="県内",集計表!$AP$10+集計表!$AP$11,"")</f>
        <v/>
      </c>
      <c r="Q29" s="688" t="str">
        <f>IF(B4="県内",集計表!$AQ$10+集計表!$AQ$11,"")</f>
        <v/>
      </c>
      <c r="R29" s="734" t="str">
        <f>IF(B4="県内",集計表!$AR$10+集計表!$AR$11,"")</f>
        <v/>
      </c>
      <c r="S29" s="688" t="str">
        <f>IF(B4="県内",集計表!$AS$10+集計表!$AS$11,"")</f>
        <v/>
      </c>
      <c r="T29" s="734" t="str">
        <f>IF(B4="県内",集計表!$AT$10+集計表!$AT$11,"")</f>
        <v/>
      </c>
      <c r="U29" s="704" t="str">
        <f>IF(B4="県内",集計表!$AU$10+集計表!$AU$11,"")</f>
        <v/>
      </c>
      <c r="V29" s="689"/>
      <c r="W29" s="22"/>
      <c r="X29" s="851"/>
      <c r="Y29" s="756"/>
      <c r="Z29" s="1464"/>
      <c r="AA29" s="880" t="s">
        <v>480</v>
      </c>
      <c r="AB29" s="885">
        <f>◎施設管理!L10</f>
        <v>640</v>
      </c>
      <c r="AC29" s="899">
        <f>SUM(入力2【名簿】!BX39:BX42,入力2【名簿】!CB39:CB42,入力2【名簿】!CF39:CF42,入力2【名簿】!CJ39:CJ42,入力2【名簿】!CN39:CN42)</f>
        <v>0</v>
      </c>
      <c r="AD29" s="867" t="s">
        <v>510</v>
      </c>
      <c r="AE29" s="744" t="s">
        <v>228</v>
      </c>
      <c r="AF29" s="897">
        <f t="shared" si="0"/>
        <v>0</v>
      </c>
      <c r="AG29" s="893" t="s">
        <v>482</v>
      </c>
      <c r="AH29" s="9"/>
      <c r="AI29" s="745"/>
      <c r="AJ29" s="745"/>
      <c r="AK29" s="742"/>
      <c r="AL29" s="741"/>
      <c r="AM29" s="742"/>
    </row>
    <row r="30" spans="2:40" ht="14.25" customHeight="1" thickBot="1" x14ac:dyDescent="0.2">
      <c r="B30" s="1588"/>
      <c r="C30" s="1551"/>
      <c r="D30" s="1585"/>
      <c r="E30" s="1586"/>
      <c r="F30" s="1586"/>
      <c r="G30" s="1586"/>
      <c r="H30" s="1556"/>
      <c r="I30" s="1531"/>
      <c r="J30" s="706"/>
      <c r="K30" s="707">
        <f>SUM(J29,K29)</f>
        <v>0</v>
      </c>
      <c r="L30" s="708"/>
      <c r="M30" s="707">
        <f>SUM(L29,M29)</f>
        <v>0</v>
      </c>
      <c r="N30" s="708"/>
      <c r="O30" s="707">
        <f>SUM(N29,O29)</f>
        <v>0</v>
      </c>
      <c r="P30" s="708"/>
      <c r="Q30" s="707">
        <f>SUM(P29,Q29)</f>
        <v>0</v>
      </c>
      <c r="R30" s="708"/>
      <c r="S30" s="707">
        <f>SUM(R29,S29)</f>
        <v>0</v>
      </c>
      <c r="T30" s="708"/>
      <c r="U30" s="707">
        <f>SUM(T29,U29)</f>
        <v>0</v>
      </c>
      <c r="V30" s="689">
        <f>SUM(J30:U30)</f>
        <v>0</v>
      </c>
      <c r="W30" s="22"/>
      <c r="X30" s="852">
        <f>I29*V30</f>
        <v>0</v>
      </c>
      <c r="Y30" s="756"/>
      <c r="Z30" s="1465" t="s">
        <v>514</v>
      </c>
      <c r="AA30" s="881" t="s">
        <v>481</v>
      </c>
      <c r="AB30" s="886">
        <f>◎施設管理!M10</f>
        <v>400</v>
      </c>
      <c r="AC30" s="900">
        <f>SUM(入力2【名簿】!BU37,入力2【名簿】!BY37,入力2【名簿】!CC37,入力2【名簿】!CG37,入力2【名簿】!CK37,入力2【名簿】!CO37)</f>
        <v>0</v>
      </c>
      <c r="AD30" s="888" t="s">
        <v>510</v>
      </c>
      <c r="AE30" s="744" t="s">
        <v>228</v>
      </c>
      <c r="AF30" s="898">
        <f t="shared" si="0"/>
        <v>0</v>
      </c>
      <c r="AG30" s="894" t="s">
        <v>482</v>
      </c>
      <c r="AH30" s="9"/>
      <c r="AI30" s="9"/>
      <c r="AJ30" s="9"/>
      <c r="AK30" s="742"/>
      <c r="AL30" s="741"/>
      <c r="AM30" s="741"/>
    </row>
    <row r="31" spans="2:40" ht="14.25" customHeight="1" x14ac:dyDescent="0.15">
      <c r="B31" s="1588"/>
      <c r="C31" s="1557" t="s">
        <v>342</v>
      </c>
      <c r="D31" s="1560" t="s">
        <v>355</v>
      </c>
      <c r="E31" s="1561"/>
      <c r="F31" s="1561"/>
      <c r="G31" s="1562"/>
      <c r="H31" s="1563" t="s">
        <v>340</v>
      </c>
      <c r="I31" s="444">
        <f>◎施設管理!Q6</f>
        <v>100</v>
      </c>
      <c r="J31" s="1535"/>
      <c r="K31" s="1536"/>
      <c r="L31" s="1533"/>
      <c r="M31" s="1536"/>
      <c r="N31" s="1533"/>
      <c r="O31" s="1536"/>
      <c r="P31" s="1533"/>
      <c r="Q31" s="1536"/>
      <c r="R31" s="1533"/>
      <c r="S31" s="1536"/>
      <c r="T31" s="1533"/>
      <c r="U31" s="1534"/>
      <c r="V31" s="709">
        <f>SUM(J31+L31+N31+P31+R31+T31)</f>
        <v>0</v>
      </c>
      <c r="W31" s="22"/>
      <c r="X31" s="852">
        <f>V31*I31</f>
        <v>0</v>
      </c>
      <c r="Y31" s="122"/>
      <c r="Z31" s="1466"/>
      <c r="AA31" s="882" t="s">
        <v>83</v>
      </c>
      <c r="AB31" s="886">
        <f>◎施設管理!N10</f>
        <v>550</v>
      </c>
      <c r="AC31" s="900">
        <f>SUM(入力2【名簿】!BU38,入力2【名簿】!BY38,入力2【名簿】!CC38,入力2【名簿】!CG38,入力2【名簿】!CK38,入力2【名簿】!CO38)</f>
        <v>0</v>
      </c>
      <c r="AD31" s="889" t="s">
        <v>510</v>
      </c>
      <c r="AE31" s="744" t="s">
        <v>228</v>
      </c>
      <c r="AF31" s="898">
        <f t="shared" si="0"/>
        <v>0</v>
      </c>
      <c r="AG31" s="894" t="s">
        <v>482</v>
      </c>
      <c r="AH31" s="9"/>
      <c r="AI31" s="9"/>
      <c r="AJ31" s="9"/>
      <c r="AK31" s="742"/>
      <c r="AL31" s="741"/>
      <c r="AM31" s="741"/>
    </row>
    <row r="32" spans="2:40" ht="14.25" customHeight="1" x14ac:dyDescent="0.15">
      <c r="B32" s="1588"/>
      <c r="C32" s="1558"/>
      <c r="D32" s="1590" t="s">
        <v>339</v>
      </c>
      <c r="E32" s="1591"/>
      <c r="F32" s="1591"/>
      <c r="G32" s="1592"/>
      <c r="H32" s="1564"/>
      <c r="I32" s="443">
        <f>◎施設管理!R6</f>
        <v>200</v>
      </c>
      <c r="J32" s="1523"/>
      <c r="K32" s="1524"/>
      <c r="L32" s="1525"/>
      <c r="M32" s="1524"/>
      <c r="N32" s="1525"/>
      <c r="O32" s="1524"/>
      <c r="P32" s="1525"/>
      <c r="Q32" s="1524"/>
      <c r="R32" s="1525"/>
      <c r="S32" s="1524"/>
      <c r="T32" s="1525"/>
      <c r="U32" s="1526"/>
      <c r="V32" s="710">
        <f>SUM(J32+L32+N32+P32+R32+T32)</f>
        <v>0</v>
      </c>
      <c r="W32" s="22"/>
      <c r="X32" s="852">
        <f>V32*I32</f>
        <v>0</v>
      </c>
      <c r="Y32" s="122"/>
      <c r="Z32" s="1467"/>
      <c r="AA32" s="883" t="s">
        <v>480</v>
      </c>
      <c r="AB32" s="886">
        <f>◎施設管理!O10</f>
        <v>670</v>
      </c>
      <c r="AC32" s="900">
        <f>SUM(入力2【名簿】!BU39:BU42,入力2【名簿】!BY39:BY42,入力2【名簿】!CC39:CC42,入力2【名簿】!CG39:CG42,入力2【名簿】!CK39:CK42,入力2【名簿】!CO39:CO42)</f>
        <v>0</v>
      </c>
      <c r="AD32" s="890" t="s">
        <v>510</v>
      </c>
      <c r="AE32" s="744" t="s">
        <v>228</v>
      </c>
      <c r="AF32" s="898">
        <f t="shared" si="0"/>
        <v>0</v>
      </c>
      <c r="AG32" s="894" t="s">
        <v>482</v>
      </c>
      <c r="AH32" s="9"/>
      <c r="AI32" s="9"/>
      <c r="AJ32" s="9"/>
      <c r="AK32" s="741"/>
      <c r="AL32" s="741"/>
      <c r="AM32" s="741"/>
    </row>
    <row r="33" spans="2:40" ht="14.25" customHeight="1" thickBot="1" x14ac:dyDescent="0.2">
      <c r="B33" s="1589"/>
      <c r="C33" s="1559"/>
      <c r="D33" s="1573" t="s">
        <v>338</v>
      </c>
      <c r="E33" s="1574"/>
      <c r="F33" s="1574"/>
      <c r="G33" s="1575"/>
      <c r="H33" s="1565"/>
      <c r="I33" s="442">
        <f>◎施設管理!S6</f>
        <v>400</v>
      </c>
      <c r="J33" s="1622"/>
      <c r="K33" s="1538"/>
      <c r="L33" s="1537"/>
      <c r="M33" s="1538"/>
      <c r="N33" s="1537"/>
      <c r="O33" s="1538"/>
      <c r="P33" s="1537"/>
      <c r="Q33" s="1538"/>
      <c r="R33" s="1537"/>
      <c r="S33" s="1538"/>
      <c r="T33" s="1537"/>
      <c r="U33" s="1623"/>
      <c r="V33" s="711">
        <f>SUM(J33+L33+N33+P33+R33+T33)</f>
        <v>0</v>
      </c>
      <c r="W33" s="22"/>
      <c r="X33" s="852">
        <f>V33*I33</f>
        <v>0</v>
      </c>
      <c r="Y33" s="756"/>
      <c r="Z33" s="1468" t="s">
        <v>515</v>
      </c>
      <c r="AA33" s="884" t="s">
        <v>481</v>
      </c>
      <c r="AB33" s="885">
        <f>◎施設管理!P10</f>
        <v>440</v>
      </c>
      <c r="AC33" s="901">
        <f>SUM(入力2【名簿】!BV37,入力2【名簿】!BZ37,入力2【名簿】!CD37,入力2【名簿】!CH37,入力2【名簿】!CL37,入力2【名簿】!CP37)</f>
        <v>0</v>
      </c>
      <c r="AD33" s="867" t="s">
        <v>510</v>
      </c>
      <c r="AE33" s="744" t="s">
        <v>228</v>
      </c>
      <c r="AF33" s="897">
        <f t="shared" si="0"/>
        <v>0</v>
      </c>
      <c r="AG33" s="895" t="s">
        <v>482</v>
      </c>
      <c r="AH33" s="9"/>
      <c r="AI33" s="9"/>
      <c r="AJ33" s="9"/>
      <c r="AK33" s="741"/>
      <c r="AL33" s="741"/>
      <c r="AM33" s="741"/>
    </row>
    <row r="34" spans="2:40" ht="14.25" customHeight="1" thickTop="1" x14ac:dyDescent="0.15">
      <c r="B34" s="1540" t="s">
        <v>354</v>
      </c>
      <c r="C34" s="1542" t="s">
        <v>353</v>
      </c>
      <c r="D34" s="1543" t="s">
        <v>347</v>
      </c>
      <c r="E34" s="1546" t="s">
        <v>352</v>
      </c>
      <c r="F34" s="1547"/>
      <c r="G34" s="1548"/>
      <c r="H34" s="1549" t="s">
        <v>351</v>
      </c>
      <c r="I34" s="1527">
        <f>◎施設管理!K7</f>
        <v>700</v>
      </c>
      <c r="J34" s="666">
        <f ca="1">IF(B4="県外",集計表!$AJ$15+集計表!$AJ$16,"")</f>
        <v>0</v>
      </c>
      <c r="K34" s="669">
        <f ca="1">IF(B4="県外",集計表!$AK$15+集計表!$AK$16,"")</f>
        <v>0</v>
      </c>
      <c r="L34" s="712">
        <f ca="1">IF(B4="県外",集計表!$AL$15+集計表!$AL$16,"")</f>
        <v>0</v>
      </c>
      <c r="M34" s="667">
        <f ca="1">IF(B4="県外",集計表!$AM$15+集計表!$AM$16,"")</f>
        <v>0</v>
      </c>
      <c r="N34" s="668">
        <f ca="1">IF(B4="県外",集計表!$AN$15+集計表!$AN$16,"")</f>
        <v>0</v>
      </c>
      <c r="O34" s="669">
        <f ca="1">IF(B4="県外",集計表!$AO$15+集計表!$AO$16,"")</f>
        <v>0</v>
      </c>
      <c r="P34" s="712">
        <f ca="1">IF(B4="県外",集計表!$AP$15+集計表!$AP$16,"")</f>
        <v>0</v>
      </c>
      <c r="Q34" s="667">
        <f ca="1">IF(B4="県外",集計表!$AQ$15+集計表!$AQ$16,"")</f>
        <v>0</v>
      </c>
      <c r="R34" s="668">
        <f ca="1">IF(B4="県外",集計表!$AR$15+集計表!$AR$16,"")</f>
        <v>0</v>
      </c>
      <c r="S34" s="669">
        <f ca="1">IF(B4="県外",集計表!$AS$15+集計表!$AS$16,"")</f>
        <v>0</v>
      </c>
      <c r="T34" s="712">
        <f ca="1">IF(B4="県外",集計表!$AT$15+集計表!$AT$16,"")</f>
        <v>0</v>
      </c>
      <c r="U34" s="667">
        <f ca="1">IF(B4="県外",集計表!$AU$15+集計表!$AU$16,"")</f>
        <v>0</v>
      </c>
      <c r="V34" s="670"/>
      <c r="W34" s="22"/>
      <c r="X34" s="851"/>
      <c r="Y34" s="122"/>
      <c r="Z34" s="1463"/>
      <c r="AA34" s="879" t="s">
        <v>83</v>
      </c>
      <c r="AB34" s="885">
        <f>◎施設管理!Q10</f>
        <v>880</v>
      </c>
      <c r="AC34" s="902">
        <f>SUM(入力2【名簿】!BV38,入力2【名簿】!BZ38,入力2【名簿】!CD38,入力2【名簿】!CH38,入力2【名簿】!CL38,入力2【名簿】!CP38)</f>
        <v>0</v>
      </c>
      <c r="AD34" s="867" t="s">
        <v>510</v>
      </c>
      <c r="AE34" s="744" t="s">
        <v>228</v>
      </c>
      <c r="AF34" s="897">
        <f t="shared" si="0"/>
        <v>0</v>
      </c>
      <c r="AG34" s="895" t="s">
        <v>482</v>
      </c>
      <c r="AH34" s="9"/>
      <c r="AI34" s="9"/>
      <c r="AJ34" s="9"/>
      <c r="AK34" s="741"/>
      <c r="AL34" s="741"/>
      <c r="AM34" s="741"/>
    </row>
    <row r="35" spans="2:40" ht="14.25" customHeight="1" thickBot="1" x14ac:dyDescent="0.2">
      <c r="B35" s="1540"/>
      <c r="C35" s="1542"/>
      <c r="D35" s="1544"/>
      <c r="E35" s="458"/>
      <c r="F35" s="735"/>
      <c r="G35" s="453" t="s">
        <v>345</v>
      </c>
      <c r="H35" s="1549"/>
      <c r="I35" s="1528"/>
      <c r="J35" s="671">
        <f ca="1">IF(B4="県外",集計表!$AJ$15,"")</f>
        <v>0</v>
      </c>
      <c r="K35" s="674">
        <f ca="1">IF(B4="県外",集計表!$AK$15,"")</f>
        <v>0</v>
      </c>
      <c r="L35" s="713">
        <f ca="1">IF(B4="県外",集計表!$AL$15,"")</f>
        <v>0</v>
      </c>
      <c r="M35" s="674">
        <f ca="1">IF(B4="県外",集計表!$AM$15,"")</f>
        <v>0</v>
      </c>
      <c r="N35" s="713">
        <f ca="1">IF(B4="県外",集計表!$AN$15,"")</f>
        <v>0</v>
      </c>
      <c r="O35" s="674">
        <f ca="1">IF(B4="県外",集計表!$AO$15,"")</f>
        <v>0</v>
      </c>
      <c r="P35" s="713">
        <f ca="1">IF(B4="県外",集計表!$AP$15,"")</f>
        <v>0</v>
      </c>
      <c r="Q35" s="674">
        <f ca="1">IF(B4="県外",集計表!$AQ$15,"")</f>
        <v>0</v>
      </c>
      <c r="R35" s="713">
        <f ca="1">IF(B4="県外",集計表!$AR$15,"")</f>
        <v>0</v>
      </c>
      <c r="S35" s="673">
        <f ca="1">IF(B4="県外",集計表!$AS$15,"")</f>
        <v>0</v>
      </c>
      <c r="T35" s="675">
        <f ca="1">IF(B4="県外",集計表!$AT$15,"")</f>
        <v>0</v>
      </c>
      <c r="U35" s="672">
        <f ca="1">IF(B4="県外",集計表!$AU$15,"")</f>
        <v>0</v>
      </c>
      <c r="V35" s="676">
        <f ca="1">SUM(J35:U35)</f>
        <v>0</v>
      </c>
      <c r="W35" s="22"/>
      <c r="X35" s="851"/>
      <c r="Y35" s="122"/>
      <c r="Z35" s="1464"/>
      <c r="AA35" s="880" t="s">
        <v>480</v>
      </c>
      <c r="AB35" s="885">
        <f>◎施設管理!R10</f>
        <v>1090</v>
      </c>
      <c r="AC35" s="902">
        <f>SUM(入力2【名簿】!BV39:BV42,入力2【名簿】!BZ39:BZ42,入力2【名簿】!CD39:CD42,入力2【名簿】!CH39:CH42,入力2【名簿】!CL39:CL42,入力2【名簿】!CP39:CP42)</f>
        <v>0</v>
      </c>
      <c r="AD35" s="867" t="s">
        <v>510</v>
      </c>
      <c r="AE35" s="744" t="s">
        <v>228</v>
      </c>
      <c r="AF35" s="903">
        <f t="shared" si="0"/>
        <v>0</v>
      </c>
      <c r="AG35" s="904" t="s">
        <v>482</v>
      </c>
      <c r="AH35" s="751"/>
      <c r="AI35" s="9"/>
      <c r="AJ35" s="9"/>
      <c r="AK35" s="741"/>
      <c r="AL35" s="741"/>
      <c r="AM35" s="741"/>
    </row>
    <row r="36" spans="2:40" ht="14.25" customHeight="1" x14ac:dyDescent="0.15">
      <c r="B36" s="1540"/>
      <c r="C36" s="1542"/>
      <c r="D36" s="1544"/>
      <c r="E36" s="458"/>
      <c r="F36" s="451"/>
      <c r="G36" s="450"/>
      <c r="H36" s="1549"/>
      <c r="I36" s="837">
        <f>◎施設管理!L7</f>
        <v>400</v>
      </c>
      <c r="J36" s="677"/>
      <c r="K36" s="678">
        <f ca="1">SUM(J34,K34)</f>
        <v>0</v>
      </c>
      <c r="L36" s="679"/>
      <c r="M36" s="678">
        <f ca="1">SUM(L34,M34)</f>
        <v>0</v>
      </c>
      <c r="N36" s="679"/>
      <c r="O36" s="678">
        <f ca="1">SUM(N34,O34)</f>
        <v>0</v>
      </c>
      <c r="P36" s="679"/>
      <c r="Q36" s="678">
        <f ca="1">SUM(P34,Q34)</f>
        <v>0</v>
      </c>
      <c r="R36" s="679"/>
      <c r="S36" s="678">
        <f ca="1">SUM(R34,S34)</f>
        <v>0</v>
      </c>
      <c r="T36" s="679"/>
      <c r="U36" s="678">
        <f ca="1">SUM(T34,U34)</f>
        <v>0</v>
      </c>
      <c r="V36" s="676">
        <f ca="1">SUM(J36:U36)</f>
        <v>0</v>
      </c>
      <c r="W36" s="22"/>
      <c r="X36" s="852">
        <f ca="1">I34*V36</f>
        <v>0</v>
      </c>
      <c r="Y36" s="756"/>
      <c r="Z36" s="9"/>
      <c r="AA36" s="9"/>
      <c r="AB36" s="9"/>
      <c r="AC36" s="842"/>
      <c r="AD36" s="842"/>
      <c r="AE36" s="1462" t="s">
        <v>511</v>
      </c>
      <c r="AF36" s="1471">
        <f>SUM(AF27:AF35)</f>
        <v>0</v>
      </c>
      <c r="AG36" s="1472"/>
      <c r="AH36" s="1469" t="s">
        <v>225</v>
      </c>
      <c r="AI36" s="9"/>
      <c r="AJ36" s="9"/>
      <c r="AK36" s="741"/>
    </row>
    <row r="37" spans="2:40" ht="14.25" customHeight="1" thickBot="1" x14ac:dyDescent="0.2">
      <c r="B37" s="1540"/>
      <c r="C37" s="1542"/>
      <c r="D37" s="1545"/>
      <c r="E37" s="448"/>
      <c r="F37" s="447"/>
      <c r="G37" s="457" t="s">
        <v>344</v>
      </c>
      <c r="H37" s="1549"/>
      <c r="I37" s="456" t="s">
        <v>271</v>
      </c>
      <c r="J37" s="680">
        <f ca="1">IF(B4="県外",集計表!$AJ$14,"")</f>
        <v>0</v>
      </c>
      <c r="K37" s="715">
        <f ca="1">IF(B4="県外",集計表!$AK$14,"")</f>
        <v>0</v>
      </c>
      <c r="L37" s="682">
        <f ca="1">IF(B4="県外",集計表!$AL$14,"")</f>
        <v>0</v>
      </c>
      <c r="M37" s="715">
        <f ca="1">IF(B4="県外",集計表!$AM$14,"")</f>
        <v>0</v>
      </c>
      <c r="N37" s="682">
        <f ca="1">IF(B4="県外",集計表!$AN$14,"")</f>
        <v>0</v>
      </c>
      <c r="O37" s="681">
        <f ca="1">IF(B4="県外",集計表!$AO$14,"")</f>
        <v>0</v>
      </c>
      <c r="P37" s="714">
        <f ca="1">IF(B4="県外",集計表!$AP$14,"")</f>
        <v>0</v>
      </c>
      <c r="Q37" s="681">
        <f ca="1">IF(B4="県外",集計表!$AQ$14,"")</f>
        <v>0</v>
      </c>
      <c r="R37" s="714">
        <f ca="1">IF(B4="県外",集計表!$AR$14,"")</f>
        <v>0</v>
      </c>
      <c r="S37" s="681">
        <f ca="1">IF(B4="県外",集計表!$AS$14,"")</f>
        <v>0</v>
      </c>
      <c r="T37" s="714">
        <f ca="1">IF(B4="県外",集計表!$AT$14,"")</f>
        <v>0</v>
      </c>
      <c r="U37" s="681">
        <f ca="1">IF(B4="県外",集計表!$AU$14,"")</f>
        <v>0</v>
      </c>
      <c r="V37" s="684">
        <f ca="1">SUM(J37:U37)</f>
        <v>0</v>
      </c>
      <c r="W37" s="22"/>
      <c r="X37" s="851"/>
      <c r="Y37" s="122"/>
      <c r="Z37" s="9"/>
      <c r="AA37" s="9"/>
      <c r="AB37" s="752"/>
      <c r="AC37" s="752"/>
      <c r="AD37" s="752"/>
      <c r="AE37" s="1462"/>
      <c r="AF37" s="1473"/>
      <c r="AG37" s="1474"/>
      <c r="AH37" s="1470"/>
      <c r="AI37" s="9"/>
      <c r="AJ37" s="9"/>
      <c r="AK37" s="741"/>
      <c r="AL37" s="741"/>
    </row>
    <row r="38" spans="2:40" ht="14.25" customHeight="1" thickBot="1" x14ac:dyDescent="0.2">
      <c r="B38" s="1540"/>
      <c r="C38" s="1542"/>
      <c r="D38" s="1576" t="s">
        <v>84</v>
      </c>
      <c r="E38" s="1577" t="s">
        <v>349</v>
      </c>
      <c r="F38" s="1568"/>
      <c r="G38" s="1569"/>
      <c r="H38" s="1549"/>
      <c r="I38" s="455">
        <f>◎施設管理!K7</f>
        <v>700</v>
      </c>
      <c r="J38" s="685">
        <f ca="1">IF(B4="県外",集計表!$AJ$17,"")</f>
        <v>0</v>
      </c>
      <c r="K38" s="688">
        <f ca="1">IF(B4="県外",集計表!$AK$17,"")</f>
        <v>0</v>
      </c>
      <c r="L38" s="728">
        <f ca="1">IF(B4="県外",集計表!$AL$17,"")</f>
        <v>0</v>
      </c>
      <c r="M38" s="704">
        <f ca="1">IF(B4="県外",集計表!$AM$17,"")</f>
        <v>0</v>
      </c>
      <c r="N38" s="728">
        <f ca="1">IF(B4="県外",集計表!$AN$17,"")</f>
        <v>0</v>
      </c>
      <c r="O38" s="688">
        <f ca="1">IF(B4="県外",集計表!$AO$17,"")</f>
        <v>0</v>
      </c>
      <c r="P38" s="728">
        <f ca="1">IF(B4="県外",集計表!$AP$17,"")</f>
        <v>0</v>
      </c>
      <c r="Q38" s="688">
        <f ca="1">IF(B4="県外",集計表!$AQ$17,"")</f>
        <v>0</v>
      </c>
      <c r="R38" s="728">
        <f ca="1">IF(B4="県外",集計表!$AR$17,"")</f>
        <v>0</v>
      </c>
      <c r="S38" s="704">
        <f ca="1">IF(B4="県外",集計表!$AS$17,"")</f>
        <v>0</v>
      </c>
      <c r="T38" s="728">
        <f ca="1">IF(B4="県外",集計表!$AT$17,"")</f>
        <v>0</v>
      </c>
      <c r="U38" s="686">
        <f ca="1">IF(B4="県外",集計表!$AU$17,"")</f>
        <v>0</v>
      </c>
      <c r="V38" s="689"/>
      <c r="W38" s="22"/>
      <c r="X38" s="851"/>
      <c r="Y38" s="756"/>
      <c r="Z38" s="9"/>
      <c r="AA38" s="9"/>
      <c r="AB38" s="752"/>
      <c r="AC38" s="752"/>
      <c r="AD38" s="752"/>
      <c r="AE38" s="752"/>
      <c r="AF38" s="913"/>
      <c r="AG38" s="913"/>
      <c r="AH38" s="896"/>
      <c r="AI38" s="9"/>
      <c r="AJ38" s="9"/>
      <c r="AK38" s="741"/>
      <c r="AL38" s="741"/>
      <c r="AM38" s="741"/>
      <c r="AN38" s="741"/>
    </row>
    <row r="39" spans="2:40" ht="14.25" customHeight="1" x14ac:dyDescent="0.15">
      <c r="B39" s="1540"/>
      <c r="C39" s="1542"/>
      <c r="D39" s="1545"/>
      <c r="E39" s="1578"/>
      <c r="F39" s="1571"/>
      <c r="G39" s="1572"/>
      <c r="H39" s="1549"/>
      <c r="I39" s="838">
        <f>◎施設管理!L7</f>
        <v>400</v>
      </c>
      <c r="J39" s="690"/>
      <c r="K39" s="691">
        <f ca="1">SUM(J38,K38)</f>
        <v>0</v>
      </c>
      <c r="L39" s="692"/>
      <c r="M39" s="691">
        <f ca="1">SUM(L38,M38)</f>
        <v>0</v>
      </c>
      <c r="N39" s="692"/>
      <c r="O39" s="691">
        <f ca="1">SUM(N38,O38)</f>
        <v>0</v>
      </c>
      <c r="P39" s="692"/>
      <c r="Q39" s="691">
        <f ca="1">SUM(P38,Q38)</f>
        <v>0</v>
      </c>
      <c r="R39" s="692"/>
      <c r="S39" s="691">
        <f ca="1">SUM(R38,S38)</f>
        <v>0</v>
      </c>
      <c r="T39" s="692"/>
      <c r="U39" s="691">
        <f ca="1">SUM(T38,U38)</f>
        <v>0</v>
      </c>
      <c r="V39" s="693">
        <f ca="1">SUM(J39:U39)</f>
        <v>0</v>
      </c>
      <c r="W39" s="22"/>
      <c r="X39" s="852">
        <f ca="1">I38*V39</f>
        <v>0</v>
      </c>
      <c r="Y39" s="122"/>
      <c r="AA39" s="842"/>
      <c r="AB39" s="842"/>
      <c r="AC39" s="1485" t="s">
        <v>516</v>
      </c>
      <c r="AD39" s="1485"/>
      <c r="AE39" s="1486"/>
      <c r="AF39" s="1471">
        <f>SUM(入力1!AA113,入力1!AA119,入力1!AA125,入力1!AA131,入力1!AA137,入力1!AA143,入力1!AA149,入力1!AA155)</f>
        <v>0</v>
      </c>
      <c r="AG39" s="1472"/>
      <c r="AH39" s="1469" t="s">
        <v>225</v>
      </c>
      <c r="AI39" s="741"/>
      <c r="AJ39" s="741"/>
      <c r="AK39" s="741"/>
    </row>
    <row r="40" spans="2:40" ht="14.25" customHeight="1" thickBot="1" x14ac:dyDescent="0.2">
      <c r="B40" s="1540"/>
      <c r="C40" s="1542"/>
      <c r="D40" s="1576" t="s">
        <v>343</v>
      </c>
      <c r="E40" s="1577" t="s">
        <v>349</v>
      </c>
      <c r="F40" s="1568"/>
      <c r="G40" s="1569"/>
      <c r="H40" s="1549"/>
      <c r="I40" s="455">
        <f>◎施設管理!M7</f>
        <v>2500</v>
      </c>
      <c r="J40" s="685">
        <f ca="1">IF(B4="県外",集計表!$AJ$18,"")</f>
        <v>0</v>
      </c>
      <c r="K40" s="688">
        <f ca="1">IF(B4="県外",集計表!$AK$18,"")</f>
        <v>0</v>
      </c>
      <c r="L40" s="728">
        <f ca="1">IF(B4="県外",集計表!$AL$18,"")</f>
        <v>0</v>
      </c>
      <c r="M40" s="688">
        <f ca="1">IF(B4="県外",集計表!$AM$18,"")</f>
        <v>0</v>
      </c>
      <c r="N40" s="728">
        <f ca="1">IF(B4="県外",集計表!$AN$18,"")</f>
        <v>0</v>
      </c>
      <c r="O40" s="688">
        <f ca="1">IF(B4="県外",集計表!$AO$18,"")</f>
        <v>0</v>
      </c>
      <c r="P40" s="728">
        <f ca="1">IF(B4="県外",集計表!$AP$18,"")</f>
        <v>0</v>
      </c>
      <c r="Q40" s="688">
        <f ca="1">IF(B4="県外",集計表!$AQ$18,"")</f>
        <v>0</v>
      </c>
      <c r="R40" s="728">
        <f ca="1">IF(B4="県外",集計表!$AR$18,"")</f>
        <v>0</v>
      </c>
      <c r="S40" s="688">
        <f ca="1">IF(B4="県外",集計表!$AS$18,"")</f>
        <v>0</v>
      </c>
      <c r="T40" s="728">
        <f ca="1">IF(B4="県外",集計表!$AT$18,"")</f>
        <v>0</v>
      </c>
      <c r="U40" s="686">
        <f ca="1">IF(B4="県外",集計表!$AU$18,"")</f>
        <v>0</v>
      </c>
      <c r="V40" s="689"/>
      <c r="W40" s="22"/>
      <c r="X40" s="851"/>
      <c r="Y40" s="756"/>
      <c r="AC40" s="1485"/>
      <c r="AD40" s="1485"/>
      <c r="AE40" s="1486"/>
      <c r="AF40" s="1473"/>
      <c r="AG40" s="1474"/>
      <c r="AH40" s="1470"/>
      <c r="AI40" s="741"/>
      <c r="AK40" s="741"/>
    </row>
    <row r="41" spans="2:40" ht="14.25" customHeight="1" x14ac:dyDescent="0.15">
      <c r="B41" s="1540"/>
      <c r="C41" s="1542"/>
      <c r="D41" s="1545"/>
      <c r="E41" s="1578"/>
      <c r="F41" s="1571"/>
      <c r="G41" s="1572"/>
      <c r="H41" s="1549"/>
      <c r="I41" s="838">
        <f>◎施設管理!N7</f>
        <v>600</v>
      </c>
      <c r="J41" s="690"/>
      <c r="K41" s="691">
        <f ca="1">SUM(J40,K40)</f>
        <v>0</v>
      </c>
      <c r="L41" s="692"/>
      <c r="M41" s="691">
        <f ca="1">SUM(L40,M40)</f>
        <v>0</v>
      </c>
      <c r="N41" s="692"/>
      <c r="O41" s="691">
        <f ca="1">SUM(N40,O40)</f>
        <v>0</v>
      </c>
      <c r="P41" s="692"/>
      <c r="Q41" s="691">
        <f ca="1">SUM(P40,Q40)</f>
        <v>0</v>
      </c>
      <c r="R41" s="692"/>
      <c r="S41" s="691">
        <f ca="1">SUM(R40,S40)</f>
        <v>0</v>
      </c>
      <c r="T41" s="692"/>
      <c r="U41" s="691">
        <f ca="1">SUM(T40,U40)</f>
        <v>0</v>
      </c>
      <c r="V41" s="693">
        <f ca="1">SUM(J41:U41)</f>
        <v>0</v>
      </c>
      <c r="W41" s="22"/>
      <c r="X41" s="852">
        <f ca="1">I40*V41</f>
        <v>0</v>
      </c>
      <c r="Y41" s="122"/>
      <c r="AL41" s="741"/>
      <c r="AN41" s="741"/>
    </row>
    <row r="42" spans="2:40" ht="14.25" customHeight="1" x14ac:dyDescent="0.15">
      <c r="B42" s="1540"/>
      <c r="C42" s="1542"/>
      <c r="D42" s="1566" t="s">
        <v>350</v>
      </c>
      <c r="E42" s="1593" t="s">
        <v>349</v>
      </c>
      <c r="F42" s="1584"/>
      <c r="G42" s="1594"/>
      <c r="H42" s="1549"/>
      <c r="I42" s="455">
        <f>◎施設管理!O7</f>
        <v>5000</v>
      </c>
      <c r="J42" s="695">
        <f ca="1">IF(B4="県外",集計表!$AJ$19+集計表!$AJ$20,"")</f>
        <v>0</v>
      </c>
      <c r="K42" s="688">
        <f ca="1">IF(B4="県外",集計表!$AK$19+集計表!$AK$20,"")</f>
        <v>0</v>
      </c>
      <c r="L42" s="687">
        <f ca="1">IF(B4="県外",集計表!$AL$19+集計表!$AL$20,"")</f>
        <v>0</v>
      </c>
      <c r="M42" s="688">
        <f ca="1">IF(B4="県外",集計表!$AM$19+集計表!$AM$20,"")</f>
        <v>0</v>
      </c>
      <c r="N42" s="687">
        <f ca="1">IF(B4="県外",集計表!$AN$19+集計表!$AN$20,"")</f>
        <v>0</v>
      </c>
      <c r="O42" s="688">
        <f ca="1">IF(B4="県外",集計表!$AO$19+集計表!$AO$20,"")</f>
        <v>0</v>
      </c>
      <c r="P42" s="687">
        <f ca="1">IF(B4="県外",集計表!$AP$19+集計表!$AP$20,"")</f>
        <v>0</v>
      </c>
      <c r="Q42" s="688">
        <f ca="1">IF(B4="県外",集計表!$AQ$19+集計表!$AQ$20,"")</f>
        <v>0</v>
      </c>
      <c r="R42" s="687">
        <f ca="1">IF(B4="県外",集計表!$AR$19+集計表!$AR$20,"")</f>
        <v>0</v>
      </c>
      <c r="S42" s="688">
        <f ca="1">IF(B4="県外",集計表!$AS$19+集計表!$AS$20,"")</f>
        <v>0</v>
      </c>
      <c r="T42" s="687">
        <f ca="1">IF(B4="県外",集計表!$AT$19+集計表!$AT$20,"")</f>
        <v>0</v>
      </c>
      <c r="U42" s="688">
        <f ca="1">IF(B4="県外",集計表!$AU$19+集計表!$AU$20,"")</f>
        <v>0</v>
      </c>
      <c r="V42" s="689"/>
      <c r="W42" s="22"/>
      <c r="X42" s="851"/>
      <c r="Y42" s="122"/>
    </row>
    <row r="43" spans="2:40" ht="14.25" customHeight="1" thickBot="1" x14ac:dyDescent="0.2">
      <c r="B43" s="1540"/>
      <c r="C43" s="1542"/>
      <c r="D43" s="1566"/>
      <c r="E43" s="1578"/>
      <c r="F43" s="1571"/>
      <c r="G43" s="1572"/>
      <c r="H43" s="1549"/>
      <c r="I43" s="838">
        <f>◎施設管理!P7</f>
        <v>800</v>
      </c>
      <c r="J43" s="690"/>
      <c r="K43" s="691">
        <f ca="1">SUM(J42,K42)</f>
        <v>0</v>
      </c>
      <c r="L43" s="692"/>
      <c r="M43" s="691">
        <f ca="1">SUM(L42,M42)</f>
        <v>0</v>
      </c>
      <c r="N43" s="692"/>
      <c r="O43" s="691">
        <f ca="1">SUM(N42,O42)</f>
        <v>0</v>
      </c>
      <c r="P43" s="692"/>
      <c r="Q43" s="691">
        <f ca="1">SUM(P42,Q42)</f>
        <v>0</v>
      </c>
      <c r="R43" s="692"/>
      <c r="S43" s="691">
        <f ca="1">SUM(R42,S42)</f>
        <v>0</v>
      </c>
      <c r="T43" s="692"/>
      <c r="U43" s="691">
        <f ca="1">SUM(T42,U42)</f>
        <v>0</v>
      </c>
      <c r="V43" s="693">
        <f ca="1">SUM(J43:U43)</f>
        <v>0</v>
      </c>
      <c r="W43" s="22"/>
      <c r="X43" s="852">
        <f ca="1">I42*V43</f>
        <v>0</v>
      </c>
      <c r="Y43" s="756"/>
    </row>
    <row r="44" spans="2:40" ht="14.25" customHeight="1" x14ac:dyDescent="0.15">
      <c r="B44" s="1540"/>
      <c r="C44" s="1550" t="s">
        <v>348</v>
      </c>
      <c r="D44" s="1552" t="s">
        <v>347</v>
      </c>
      <c r="E44" s="1553"/>
      <c r="F44" s="1553"/>
      <c r="G44" s="1554"/>
      <c r="H44" s="1555" t="s">
        <v>346</v>
      </c>
      <c r="I44" s="1527">
        <f>◎施設管理!H7</f>
        <v>200</v>
      </c>
      <c r="J44" s="698">
        <f>IF(B4="県外",集計表!$I$7+集計表!$I$8,"")</f>
        <v>0</v>
      </c>
      <c r="K44" s="699">
        <f>IF(B4="県外",集計表!$K$7+集計表!$K$8,"")</f>
        <v>0</v>
      </c>
      <c r="L44" s="700">
        <f>IF(B4="県外",集計表!$M$7+集計表!$M$8,"")</f>
        <v>0</v>
      </c>
      <c r="M44" s="699">
        <f>IF(B4="県外",集計表!$O$7+集計表!$O$8,"")</f>
        <v>0</v>
      </c>
      <c r="N44" s="700">
        <f>IF(B4="県外",集計表!$Q$7+集計表!$Q$8,"")</f>
        <v>0</v>
      </c>
      <c r="O44" s="699">
        <f>IF(B4="県外",集計表!$S$7+集計表!$S$8,"")</f>
        <v>0</v>
      </c>
      <c r="P44" s="700">
        <f>IF(B4="県外",集計表!$U$7+集計表!$U$8,"")</f>
        <v>0</v>
      </c>
      <c r="Q44" s="699">
        <f>IF(B4="県外",集計表!$W$7+集計表!$W$8,"")</f>
        <v>0</v>
      </c>
      <c r="R44" s="700">
        <f>IF(B4="県外",集計表!$Y$7+集計表!$Y$8,"")</f>
        <v>0</v>
      </c>
      <c r="S44" s="699">
        <f>IF(B4="県外",集計表!$AA$7+集計表!$AA$8,"")</f>
        <v>0</v>
      </c>
      <c r="T44" s="700">
        <f>IF(B4="県外",集計表!$AC$7+集計表!$AC$8,"")</f>
        <v>0</v>
      </c>
      <c r="U44" s="699">
        <f>IF(B4="県外",集計表!$AE$7+集計表!$AE$8,"")</f>
        <v>0</v>
      </c>
      <c r="V44" s="701"/>
      <c r="W44" s="22"/>
      <c r="X44" s="851"/>
      <c r="Y44" s="122"/>
    </row>
    <row r="45" spans="2:40" ht="14.25" customHeight="1" x14ac:dyDescent="0.15">
      <c r="B45" s="1540"/>
      <c r="C45" s="1542"/>
      <c r="D45" s="454"/>
      <c r="E45" s="451"/>
      <c r="F45" s="451"/>
      <c r="G45" s="453" t="s">
        <v>345</v>
      </c>
      <c r="H45" s="1549"/>
      <c r="I45" s="1528"/>
      <c r="J45" s="671">
        <f ca="1">IF(B4="県外",集計表!$AJ$6,"")</f>
        <v>0</v>
      </c>
      <c r="K45" s="672">
        <f ca="1">IF(B4="県外",集計表!$AK$6,"")</f>
        <v>0</v>
      </c>
      <c r="L45" s="675">
        <f ca="1">IF(B4="県外",集計表!$AL$6,"")</f>
        <v>0</v>
      </c>
      <c r="M45" s="672">
        <f ca="1">IF(B4="県外",集計表!$AM$6,"")</f>
        <v>0</v>
      </c>
      <c r="N45" s="673">
        <f ca="1">IF(B4="県外",集計表!$AN$6,"")</f>
        <v>0</v>
      </c>
      <c r="O45" s="674">
        <f ca="1">IF(B4="県外",集計表!$AO$6,"")</f>
        <v>0</v>
      </c>
      <c r="P45" s="673">
        <f ca="1">IF(B4="県外",集計表!$AP$6,"")</f>
        <v>0</v>
      </c>
      <c r="Q45" s="674">
        <f ca="1">IF(B4="県外",集計表!$AQ$6,"")</f>
        <v>0</v>
      </c>
      <c r="R45" s="675">
        <f ca="1">IF(B4="県外",集計表!$AR$6,"")</f>
        <v>0</v>
      </c>
      <c r="S45" s="672">
        <f ca="1">IF(B4="県外",集計表!$AS$6,"")</f>
        <v>0</v>
      </c>
      <c r="T45" s="675">
        <f ca="1">IF(B4="県外",集計表!$AT$6,"")</f>
        <v>0</v>
      </c>
      <c r="U45" s="672">
        <f ca="1">IF(B4="県外",集計表!$AU$6,"")</f>
        <v>0</v>
      </c>
      <c r="V45" s="676">
        <f ca="1">SUM(J45:U45)</f>
        <v>0</v>
      </c>
      <c r="W45" s="22"/>
      <c r="X45" s="851"/>
      <c r="Y45" s="122"/>
    </row>
    <row r="46" spans="2:40" ht="14.25" customHeight="1" x14ac:dyDescent="0.15">
      <c r="B46" s="1540"/>
      <c r="C46" s="1542"/>
      <c r="D46" s="452"/>
      <c r="E46" s="451"/>
      <c r="F46" s="451"/>
      <c r="G46" s="450"/>
      <c r="H46" s="1549"/>
      <c r="I46" s="1532"/>
      <c r="J46" s="677"/>
      <c r="K46" s="702">
        <f>SUM(J44,K44)</f>
        <v>0</v>
      </c>
      <c r="L46" s="679"/>
      <c r="M46" s="702">
        <f>SUM(L44,M44)</f>
        <v>0</v>
      </c>
      <c r="N46" s="679"/>
      <c r="O46" s="702">
        <f>SUM(N44,O44)</f>
        <v>0</v>
      </c>
      <c r="P46" s="679"/>
      <c r="Q46" s="702">
        <f>SUM(P44,Q44)</f>
        <v>0</v>
      </c>
      <c r="R46" s="679"/>
      <c r="S46" s="702">
        <f>SUM(R44,S44)</f>
        <v>0</v>
      </c>
      <c r="T46" s="679"/>
      <c r="U46" s="702">
        <f>SUM(T44,U44)</f>
        <v>0</v>
      </c>
      <c r="V46" s="676">
        <f>SUM(J46:U46)</f>
        <v>0</v>
      </c>
      <c r="W46" s="22"/>
      <c r="X46" s="852">
        <f>I45*V46</f>
        <v>0</v>
      </c>
      <c r="Y46" s="756"/>
    </row>
    <row r="47" spans="2:40" ht="14.25" customHeight="1" x14ac:dyDescent="0.15">
      <c r="B47" s="1540"/>
      <c r="C47" s="1542"/>
      <c r="D47" s="449"/>
      <c r="E47" s="448"/>
      <c r="F47" s="447"/>
      <c r="G47" s="446" t="s">
        <v>344</v>
      </c>
      <c r="H47" s="1549"/>
      <c r="I47" s="445" t="s">
        <v>271</v>
      </c>
      <c r="J47" s="680">
        <f ca="1">IF(B4="県外",集計表!$AJ$5,"")</f>
        <v>0</v>
      </c>
      <c r="K47" s="683">
        <f ca="1">IF(B4="県外",集計表!$AK$5,"")</f>
        <v>0</v>
      </c>
      <c r="L47" s="682">
        <f ca="1">IF(B4="県外",集計表!$AL$5,"")</f>
        <v>0</v>
      </c>
      <c r="M47" s="683">
        <f ca="1">IF(B4="県外",集計表!$AM$5,"")</f>
        <v>0</v>
      </c>
      <c r="N47" s="682">
        <f ca="1">IF(B4="県外",集計表!$AN$5,"")</f>
        <v>0</v>
      </c>
      <c r="O47" s="683">
        <f ca="1">IF(B4="県外",集計表!$AO$5,"")</f>
        <v>0</v>
      </c>
      <c r="P47" s="682">
        <f ca="1">IF(B4="県外",集計表!$AP$5,"")</f>
        <v>0</v>
      </c>
      <c r="Q47" s="683">
        <f ca="1">IF(B4="県外",集計表!$AQ$5,"")</f>
        <v>0</v>
      </c>
      <c r="R47" s="682">
        <f ca="1">IF(B4="県外",集計表!$AR$5,"")</f>
        <v>0</v>
      </c>
      <c r="S47" s="683">
        <f ca="1">IF(B4="県外",集計表!$AS$5,"")</f>
        <v>0</v>
      </c>
      <c r="T47" s="682">
        <f ca="1">IF(B4="県外",集計表!$AT$5,"")</f>
        <v>0</v>
      </c>
      <c r="U47" s="683">
        <f ca="1">IF(B4="県外",集計表!$AU$5,"")</f>
        <v>0</v>
      </c>
      <c r="V47" s="684">
        <f ca="1">SUM(J47:U47)</f>
        <v>0</v>
      </c>
      <c r="W47" s="22"/>
      <c r="X47" s="851"/>
      <c r="Y47" s="122"/>
    </row>
    <row r="48" spans="2:40" ht="14.25" customHeight="1" x14ac:dyDescent="0.15">
      <c r="B48" s="1540"/>
      <c r="C48" s="1542"/>
      <c r="D48" s="1567" t="s">
        <v>84</v>
      </c>
      <c r="E48" s="1568"/>
      <c r="F48" s="1568"/>
      <c r="G48" s="1569"/>
      <c r="H48" s="1549"/>
      <c r="I48" s="1528">
        <f>◎施設管理!H7</f>
        <v>200</v>
      </c>
      <c r="J48" s="729">
        <f ca="1">IF(B4="県外",集計表!$AJ$8,"")</f>
        <v>0</v>
      </c>
      <c r="K48" s="704">
        <f ca="1">IF(B4="県外",集計表!$AK$8,"")</f>
        <v>0</v>
      </c>
      <c r="L48" s="696">
        <f ca="1">IF(B4="県外",集計表!$AL$8,"")</f>
        <v>0</v>
      </c>
      <c r="M48" s="704">
        <f ca="1">IF(B4="県外",集計表!$AM$8,"")</f>
        <v>0</v>
      </c>
      <c r="N48" s="696">
        <f ca="1">IF(B4="県外",集計表!$AN$8,"")</f>
        <v>0</v>
      </c>
      <c r="O48" s="704">
        <f ca="1">IF(B4="県外",集計表!$AO$8,"")</f>
        <v>0</v>
      </c>
      <c r="P48" s="696">
        <f ca="1">IF(B4="県外",集計表!$AP$8,"")</f>
        <v>0</v>
      </c>
      <c r="Q48" s="704">
        <f ca="1">IF(B4="県外",集計表!$AQ$8,"")</f>
        <v>0</v>
      </c>
      <c r="R48" s="696">
        <f ca="1">IF(B4="県外",集計表!$AR$8,"")</f>
        <v>0</v>
      </c>
      <c r="S48" s="704">
        <f ca="1">IF(B4="県外",集計表!$AS$8,"")</f>
        <v>0</v>
      </c>
      <c r="T48" s="696">
        <f ca="1">IF(B4="県外",集計表!$AT$8,"")</f>
        <v>0</v>
      </c>
      <c r="U48" s="730">
        <f ca="1">IF(B4="県外",集計表!$AU$8,"")</f>
        <v>0</v>
      </c>
      <c r="V48" s="689"/>
      <c r="W48" s="22"/>
      <c r="X48" s="851"/>
      <c r="Y48" s="756"/>
    </row>
    <row r="49" spans="2:25" ht="14.25" customHeight="1" x14ac:dyDescent="0.15">
      <c r="B49" s="1540"/>
      <c r="C49" s="1542"/>
      <c r="D49" s="1570"/>
      <c r="E49" s="1571"/>
      <c r="F49" s="1571"/>
      <c r="G49" s="1572"/>
      <c r="H49" s="1549"/>
      <c r="I49" s="1530"/>
      <c r="J49" s="690"/>
      <c r="K49" s="691">
        <f ca="1">SUM(J48,K48)</f>
        <v>0</v>
      </c>
      <c r="L49" s="692"/>
      <c r="M49" s="691">
        <f ca="1">SUM(L48,M48)</f>
        <v>0</v>
      </c>
      <c r="N49" s="692"/>
      <c r="O49" s="691">
        <f ca="1">SUM(N48,O48)</f>
        <v>0</v>
      </c>
      <c r="P49" s="692"/>
      <c r="Q49" s="691">
        <f ca="1">SUM(P48,Q48)</f>
        <v>0</v>
      </c>
      <c r="R49" s="692"/>
      <c r="S49" s="691">
        <f ca="1">SUM(R48,S48)</f>
        <v>0</v>
      </c>
      <c r="T49" s="692"/>
      <c r="U49" s="691">
        <f ca="1">SUM(T48,U48)</f>
        <v>0</v>
      </c>
      <c r="V49" s="693">
        <f ca="1">SUM(J49:U49)</f>
        <v>0</v>
      </c>
      <c r="W49" s="22"/>
      <c r="X49" s="852">
        <f ca="1">I48*V49</f>
        <v>0</v>
      </c>
      <c r="Y49" s="122"/>
    </row>
    <row r="50" spans="2:25" ht="14.25" customHeight="1" x14ac:dyDescent="0.15">
      <c r="B50" s="1540"/>
      <c r="C50" s="1542"/>
      <c r="D50" s="1567" t="s">
        <v>343</v>
      </c>
      <c r="E50" s="1568"/>
      <c r="F50" s="1568"/>
      <c r="G50" s="1569"/>
      <c r="H50" s="1549"/>
      <c r="I50" s="1529">
        <f>◎施設管理!I7</f>
        <v>300</v>
      </c>
      <c r="J50" s="729">
        <f ca="1">IF(B4="県外",集計表!$AJ$9,"")</f>
        <v>0</v>
      </c>
      <c r="K50" s="716">
        <f ca="1">IF(B4="県外",集計表!$AK$9,"")</f>
        <v>0</v>
      </c>
      <c r="L50" s="705">
        <f ca="1">IF(B4="県外",集計表!$AL$9,"")</f>
        <v>0</v>
      </c>
      <c r="M50" s="688">
        <f ca="1">IF(B4="県外",集計表!$AM$9,"")</f>
        <v>0</v>
      </c>
      <c r="N50" s="696">
        <f ca="1">IF(B4="県外",集計表!$AN$9,"")</f>
        <v>0</v>
      </c>
      <c r="O50" s="704">
        <f ca="1">IF(B4="県外",集計表!$AO$9,"")</f>
        <v>0</v>
      </c>
      <c r="P50" s="696">
        <f ca="1">IF(B4="県外",集計表!$AP$9,"")</f>
        <v>0</v>
      </c>
      <c r="Q50" s="704">
        <f ca="1">IF(B4="県外",集計表!$AQ$9,"")</f>
        <v>0</v>
      </c>
      <c r="R50" s="696">
        <f ca="1">IF(B4="県外",集計表!$AR$9,"")</f>
        <v>0</v>
      </c>
      <c r="S50" s="731">
        <f ca="1">IF(B4="県外",集計表!$AS$9,"")</f>
        <v>0</v>
      </c>
      <c r="T50" s="687">
        <f ca="1">IF(B4="県外",集計表!$AT$9,"")</f>
        <v>0</v>
      </c>
      <c r="U50" s="732">
        <f ca="1">IF(B4="県外",集計表!$AU$9,"")</f>
        <v>0</v>
      </c>
      <c r="V50" s="689"/>
      <c r="W50" s="22"/>
      <c r="X50" s="851"/>
      <c r="Y50" s="756"/>
    </row>
    <row r="51" spans="2:25" ht="14.25" customHeight="1" x14ac:dyDescent="0.15">
      <c r="B51" s="1540"/>
      <c r="C51" s="1542"/>
      <c r="D51" s="1570"/>
      <c r="E51" s="1571"/>
      <c r="F51" s="1571"/>
      <c r="G51" s="1572"/>
      <c r="H51" s="1549"/>
      <c r="I51" s="1530"/>
      <c r="J51" s="690"/>
      <c r="K51" s="691">
        <f ca="1">SUM(J50,K50)</f>
        <v>0</v>
      </c>
      <c r="L51" s="692"/>
      <c r="M51" s="691">
        <f ca="1">SUM(L50,M50)</f>
        <v>0</v>
      </c>
      <c r="N51" s="692"/>
      <c r="O51" s="691">
        <f ca="1">SUM(N50,O50)</f>
        <v>0</v>
      </c>
      <c r="P51" s="692"/>
      <c r="Q51" s="691">
        <f ca="1">SUM(P50,Q50)</f>
        <v>0</v>
      </c>
      <c r="R51" s="692"/>
      <c r="S51" s="717">
        <f ca="1">SUM(R50,S50)</f>
        <v>0</v>
      </c>
      <c r="T51" s="692"/>
      <c r="U51" s="733">
        <f ca="1">SUM(T50,U50)</f>
        <v>0</v>
      </c>
      <c r="V51" s="693">
        <f ca="1">SUM(J51:U51)</f>
        <v>0</v>
      </c>
      <c r="W51" s="22"/>
      <c r="X51" s="852">
        <f ca="1">I50*V51</f>
        <v>0</v>
      </c>
      <c r="Y51" s="756"/>
    </row>
    <row r="52" spans="2:25" ht="14.25" customHeight="1" x14ac:dyDescent="0.15">
      <c r="B52" s="1540"/>
      <c r="C52" s="1542"/>
      <c r="D52" s="1583" t="s">
        <v>338</v>
      </c>
      <c r="E52" s="1584"/>
      <c r="F52" s="1584"/>
      <c r="G52" s="1584"/>
      <c r="H52" s="1549"/>
      <c r="I52" s="1528">
        <f>◎施設管理!J7</f>
        <v>500</v>
      </c>
      <c r="J52" s="729">
        <f ca="1">IF(B4="県外",集計表!$AJ$10+集計表!$AJ$11,"")</f>
        <v>0</v>
      </c>
      <c r="K52" s="688">
        <f ca="1">IF(B4="県外",集計表!$AK$10+集計表!$AK$11,"")</f>
        <v>0</v>
      </c>
      <c r="L52" s="734">
        <f ca="1">IF(B4="県外",集計表!$AL$10+集計表!$AL$11,"")</f>
        <v>0</v>
      </c>
      <c r="M52" s="688">
        <f ca="1">IF(B4="県外",集計表!$AM$10+集計表!$AM$11,"")</f>
        <v>0</v>
      </c>
      <c r="N52" s="734">
        <f ca="1">IF(B4="県外",集計表!$AN$10+集計表!$AN$11,"")</f>
        <v>0</v>
      </c>
      <c r="O52" s="688">
        <f ca="1">IF(B4="県外",集計表!$AO$10+集計表!$AO$11,"")</f>
        <v>0</v>
      </c>
      <c r="P52" s="734">
        <f ca="1">IF(B4="県外",集計表!$AP$10+集計表!$AP$11,"")</f>
        <v>0</v>
      </c>
      <c r="Q52" s="688">
        <f ca="1">IF(B4="県外",集計表!$AQ$10+集計表!$AQ$11,"")</f>
        <v>0</v>
      </c>
      <c r="R52" s="734">
        <f ca="1">IF(B4="県外",集計表!$AR$10+集計表!$AR$11,"")</f>
        <v>0</v>
      </c>
      <c r="S52" s="688">
        <f ca="1">IF(B4="県外",集計表!$AS$10+集計表!$AS$11,"")</f>
        <v>0</v>
      </c>
      <c r="T52" s="734">
        <f ca="1">IF(B4="県外",集計表!$AT$10+集計表!$AT$11,"")</f>
        <v>0</v>
      </c>
      <c r="U52" s="704">
        <f ca="1">IF(B4="県外",集計表!$AU$10+集計表!$AU$11,"")</f>
        <v>0</v>
      </c>
      <c r="V52" s="689"/>
      <c r="W52" s="22"/>
      <c r="X52" s="851"/>
      <c r="Y52" s="756"/>
    </row>
    <row r="53" spans="2:25" ht="14.25" customHeight="1" thickBot="1" x14ac:dyDescent="0.2">
      <c r="B53" s="1540"/>
      <c r="C53" s="1551"/>
      <c r="D53" s="1585"/>
      <c r="E53" s="1586"/>
      <c r="F53" s="1586"/>
      <c r="G53" s="1586"/>
      <c r="H53" s="1556"/>
      <c r="I53" s="1531"/>
      <c r="J53" s="690"/>
      <c r="K53" s="691">
        <f ca="1">SUM(J52,K52)</f>
        <v>0</v>
      </c>
      <c r="L53" s="692"/>
      <c r="M53" s="691">
        <f ca="1">SUM(L52,M52)</f>
        <v>0</v>
      </c>
      <c r="N53" s="692"/>
      <c r="O53" s="691">
        <f ca="1">SUM(N52,O52)</f>
        <v>0</v>
      </c>
      <c r="P53" s="692"/>
      <c r="Q53" s="691">
        <f ca="1">SUM(P52,Q52)</f>
        <v>0</v>
      </c>
      <c r="R53" s="692"/>
      <c r="S53" s="717">
        <f ca="1">SUM(R52,S52)</f>
        <v>0</v>
      </c>
      <c r="T53" s="692"/>
      <c r="U53" s="733">
        <f ca="1">SUM(T52,U52)</f>
        <v>0</v>
      </c>
      <c r="V53" s="711">
        <f ca="1">SUM(J53:U53)</f>
        <v>0</v>
      </c>
      <c r="W53" s="22"/>
      <c r="X53" s="852">
        <f ca="1">I52*V53</f>
        <v>0</v>
      </c>
      <c r="Y53" s="756"/>
    </row>
    <row r="54" spans="2:25" ht="14.25" customHeight="1" x14ac:dyDescent="0.15">
      <c r="B54" s="1540"/>
      <c r="C54" s="1557" t="s">
        <v>342</v>
      </c>
      <c r="D54" s="1560" t="s">
        <v>341</v>
      </c>
      <c r="E54" s="1561"/>
      <c r="F54" s="1561"/>
      <c r="G54" s="1562"/>
      <c r="H54" s="1563" t="s">
        <v>340</v>
      </c>
      <c r="I54" s="444">
        <f>◎施設管理!Q7</f>
        <v>200</v>
      </c>
      <c r="J54" s="1535"/>
      <c r="K54" s="1536"/>
      <c r="L54" s="1533"/>
      <c r="M54" s="1536"/>
      <c r="N54" s="1533"/>
      <c r="O54" s="1536"/>
      <c r="P54" s="1533"/>
      <c r="Q54" s="1536"/>
      <c r="R54" s="1533"/>
      <c r="S54" s="1536"/>
      <c r="T54" s="1533"/>
      <c r="U54" s="1534"/>
      <c r="V54" s="693">
        <f>SUM(J54+L54+N54+P54+R54+T54)</f>
        <v>0</v>
      </c>
      <c r="W54" s="22"/>
      <c r="X54" s="852">
        <f>V54*I54</f>
        <v>0</v>
      </c>
      <c r="Y54" s="122"/>
    </row>
    <row r="55" spans="2:25" ht="14.25" customHeight="1" x14ac:dyDescent="0.15">
      <c r="B55" s="1540"/>
      <c r="C55" s="1558"/>
      <c r="D55" s="1590" t="s">
        <v>339</v>
      </c>
      <c r="E55" s="1591"/>
      <c r="F55" s="1591"/>
      <c r="G55" s="1592"/>
      <c r="H55" s="1564"/>
      <c r="I55" s="443">
        <f>◎施設管理!R7</f>
        <v>300</v>
      </c>
      <c r="J55" s="1523"/>
      <c r="K55" s="1524"/>
      <c r="L55" s="1525"/>
      <c r="M55" s="1524"/>
      <c r="N55" s="1525"/>
      <c r="O55" s="1524"/>
      <c r="P55" s="1525"/>
      <c r="Q55" s="1524"/>
      <c r="R55" s="1525"/>
      <c r="S55" s="1524"/>
      <c r="T55" s="1525"/>
      <c r="U55" s="1526"/>
      <c r="V55" s="718">
        <f>SUM(J55+L55+N55+P55+R55+T55)</f>
        <v>0</v>
      </c>
      <c r="W55" s="22"/>
      <c r="X55" s="852">
        <f>V55*I55</f>
        <v>0</v>
      </c>
      <c r="Y55" s="756"/>
    </row>
    <row r="56" spans="2:25" ht="14.25" customHeight="1" thickBot="1" x14ac:dyDescent="0.2">
      <c r="B56" s="1541"/>
      <c r="C56" s="1559"/>
      <c r="D56" s="1573" t="s">
        <v>338</v>
      </c>
      <c r="E56" s="1574"/>
      <c r="F56" s="1574"/>
      <c r="G56" s="1575"/>
      <c r="H56" s="1565"/>
      <c r="I56" s="442">
        <f>◎施設管理!S7</f>
        <v>500</v>
      </c>
      <c r="J56" s="1618"/>
      <c r="K56" s="1619"/>
      <c r="L56" s="1620"/>
      <c r="M56" s="1619"/>
      <c r="N56" s="1620"/>
      <c r="O56" s="1619"/>
      <c r="P56" s="1620"/>
      <c r="Q56" s="1619"/>
      <c r="R56" s="1620"/>
      <c r="S56" s="1619"/>
      <c r="T56" s="1620"/>
      <c r="U56" s="1621"/>
      <c r="V56" s="719">
        <f>SUM(J56+L56+N56+P56+R56+T56)</f>
        <v>0</v>
      </c>
      <c r="W56" s="22"/>
      <c r="X56" s="852">
        <f>V56*I56</f>
        <v>0</v>
      </c>
      <c r="Y56" s="122"/>
    </row>
    <row r="57" spans="2:25" ht="13.5" customHeight="1" thickBot="1" x14ac:dyDescent="0.2">
      <c r="J57" s="720"/>
      <c r="K57" s="720"/>
      <c r="L57" s="720"/>
      <c r="M57" s="720"/>
      <c r="N57" s="720"/>
      <c r="O57" s="720"/>
      <c r="P57" s="720"/>
      <c r="Q57" s="720"/>
      <c r="R57" s="720"/>
      <c r="S57" s="720"/>
      <c r="T57" s="720"/>
      <c r="U57" s="720"/>
      <c r="V57" s="721"/>
      <c r="W57" s="2"/>
      <c r="X57" s="851"/>
      <c r="Y57" s="756"/>
    </row>
    <row r="58" spans="2:25" ht="14.25" customHeight="1" thickBot="1" x14ac:dyDescent="0.2">
      <c r="B58" s="1579" t="s">
        <v>337</v>
      </c>
      <c r="C58" s="1580"/>
      <c r="D58" s="1581" t="s">
        <v>336</v>
      </c>
      <c r="E58" s="1581"/>
      <c r="F58" s="1581"/>
      <c r="G58" s="1581"/>
      <c r="H58" s="1582"/>
      <c r="I58" s="438">
        <f>◎施設管理!H10</f>
        <v>350</v>
      </c>
      <c r="J58" s="1615">
        <f ca="1">IF(B4="県内",SUM(K13,K16,K18,K20),SUM(K36,K39,K41,K43))</f>
        <v>0</v>
      </c>
      <c r="K58" s="1614"/>
      <c r="L58" s="1613">
        <f ca="1">IF(B4="県内",SUM(M13,M16,M18,M20),SUM(M36,M39,M41,M43))</f>
        <v>0</v>
      </c>
      <c r="M58" s="1614"/>
      <c r="N58" s="1613">
        <f ca="1">IF(B4="県内",SUM(O13,O16,O18,O20),SUM(O36,O39,O41,O43))</f>
        <v>0</v>
      </c>
      <c r="O58" s="1614"/>
      <c r="P58" s="1613">
        <f ca="1">IF(B4="県内",SUM(Q13,Q16,Q18,Q20),SUM(Q36,Q39,Q41,Q43))</f>
        <v>0</v>
      </c>
      <c r="Q58" s="1614"/>
      <c r="R58" s="1613">
        <f ca="1">IF(B4="県内",SUM(S13,S16,S18,S20),SUM(S36,S39,S41,S43))</f>
        <v>0</v>
      </c>
      <c r="S58" s="1614"/>
      <c r="T58" s="1613">
        <f ca="1">IF(B4="県内",SUM(U13,U16,U18,U20),SUM(U36,U39,U41,U43))</f>
        <v>0</v>
      </c>
      <c r="U58" s="1614"/>
      <c r="V58" s="722">
        <f ca="1">SUM(J58+L58+N58+P58+R58)+T58</f>
        <v>0</v>
      </c>
      <c r="W58" s="694"/>
      <c r="X58" s="852">
        <f ca="1">I58*V58</f>
        <v>0</v>
      </c>
      <c r="Y58" s="122"/>
    </row>
    <row r="59" spans="2:25" ht="13.5" customHeight="1" thickBot="1" x14ac:dyDescent="0.2">
      <c r="B59" s="1539"/>
      <c r="C59" s="1539"/>
      <c r="D59" s="441"/>
      <c r="E59" s="441"/>
      <c r="F59" s="441"/>
      <c r="G59" s="441"/>
      <c r="H59" s="440"/>
      <c r="I59" s="439"/>
      <c r="J59" s="723"/>
      <c r="K59" s="723"/>
      <c r="L59" s="723"/>
      <c r="M59" s="723"/>
      <c r="N59" s="723"/>
      <c r="O59" s="723"/>
      <c r="P59" s="723"/>
      <c r="Q59" s="723"/>
      <c r="R59" s="723"/>
      <c r="S59" s="723"/>
      <c r="T59" s="723"/>
      <c r="U59" s="723"/>
      <c r="V59" s="724"/>
      <c r="W59" s="22"/>
      <c r="X59" s="851"/>
      <c r="Y59" s="757"/>
    </row>
    <row r="60" spans="2:25" ht="14.25" customHeight="1" thickBot="1" x14ac:dyDescent="0.2">
      <c r="B60" s="1579" t="s">
        <v>335</v>
      </c>
      <c r="C60" s="1580"/>
      <c r="D60" s="1581" t="s">
        <v>334</v>
      </c>
      <c r="E60" s="1581"/>
      <c r="F60" s="1581"/>
      <c r="G60" s="1581"/>
      <c r="H60" s="1582"/>
      <c r="I60" s="438">
        <f>◎施設管理!I10</f>
        <v>200</v>
      </c>
      <c r="J60" s="1615"/>
      <c r="K60" s="1614"/>
      <c r="L60" s="1616"/>
      <c r="M60" s="1614"/>
      <c r="N60" s="1616"/>
      <c r="O60" s="1614"/>
      <c r="P60" s="1616"/>
      <c r="Q60" s="1614"/>
      <c r="R60" s="1616"/>
      <c r="S60" s="1614"/>
      <c r="T60" s="1616"/>
      <c r="U60" s="1617"/>
      <c r="V60" s="722">
        <f>SUM(J60+L60+N60+P60+R60)+T60</f>
        <v>0</v>
      </c>
      <c r="W60" s="22"/>
      <c r="X60" s="852">
        <f>I60*V60</f>
        <v>0</v>
      </c>
      <c r="Y60" s="122"/>
    </row>
    <row r="61" spans="2:25" ht="13.5" customHeight="1" x14ac:dyDescent="0.15">
      <c r="J61" s="99"/>
      <c r="K61" s="99"/>
      <c r="L61" s="99"/>
      <c r="M61" s="99"/>
      <c r="N61" s="99"/>
      <c r="O61" s="99"/>
      <c r="P61" s="99"/>
      <c r="Q61" s="99"/>
      <c r="R61" s="99"/>
      <c r="S61" s="99"/>
      <c r="T61" s="99"/>
      <c r="U61" s="99"/>
      <c r="V61" s="99"/>
      <c r="W61" s="22"/>
      <c r="X61" s="851"/>
    </row>
    <row r="62" spans="2:25" ht="14.25" customHeight="1" x14ac:dyDescent="0.15">
      <c r="J62" s="99"/>
      <c r="K62" s="99"/>
      <c r="L62" s="99"/>
      <c r="M62" s="99"/>
      <c r="N62" s="99"/>
      <c r="O62" s="99"/>
      <c r="P62" s="99" t="s">
        <v>462</v>
      </c>
      <c r="Q62" s="99"/>
      <c r="R62" s="99"/>
      <c r="S62" s="99"/>
      <c r="T62" s="99"/>
      <c r="U62" s="99"/>
      <c r="V62" s="725">
        <f ca="1">X62</f>
        <v>0</v>
      </c>
      <c r="W62" s="22"/>
      <c r="X62" s="853">
        <f ca="1">SUM(X11:X60)</f>
        <v>0</v>
      </c>
    </row>
    <row r="63" spans="2:25" ht="13.5" customHeight="1" x14ac:dyDescent="0.15">
      <c r="J63" s="99"/>
      <c r="K63" s="99"/>
      <c r="L63" s="99"/>
      <c r="M63" s="99"/>
      <c r="N63" s="99"/>
      <c r="O63" s="99"/>
      <c r="P63" s="99"/>
      <c r="Q63" s="99"/>
      <c r="R63" s="99"/>
      <c r="S63" s="99"/>
      <c r="T63" s="99"/>
      <c r="U63" s="99"/>
      <c r="V63" s="726"/>
      <c r="W63" s="22"/>
      <c r="X63" s="851"/>
    </row>
    <row r="64" spans="2:2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sheetData>
  <mergeCells count="167">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 ref="T58:U58"/>
    <mergeCell ref="J60:K60"/>
    <mergeCell ref="L60:M60"/>
    <mergeCell ref="N60:O60"/>
    <mergeCell ref="P60:Q60"/>
    <mergeCell ref="R60:S60"/>
    <mergeCell ref="T60:U60"/>
    <mergeCell ref="J58:K58"/>
    <mergeCell ref="L58:M58"/>
    <mergeCell ref="N58:O58"/>
    <mergeCell ref="P58:Q58"/>
    <mergeCell ref="R58:S58"/>
    <mergeCell ref="T8:U8"/>
    <mergeCell ref="J9:K9"/>
    <mergeCell ref="L9:M9"/>
    <mergeCell ref="N9:O9"/>
    <mergeCell ref="P9:Q9"/>
    <mergeCell ref="R9:S9"/>
    <mergeCell ref="T9:U9"/>
    <mergeCell ref="I5:V6"/>
    <mergeCell ref="P31:Q31"/>
    <mergeCell ref="R31:S31"/>
    <mergeCell ref="H7:Q7"/>
    <mergeCell ref="D17:D18"/>
    <mergeCell ref="E17:G18"/>
    <mergeCell ref="H11:H20"/>
    <mergeCell ref="D19:D20"/>
    <mergeCell ref="E19:G20"/>
    <mergeCell ref="I21:I23"/>
    <mergeCell ref="D21:G21"/>
    <mergeCell ref="H21:H30"/>
    <mergeCell ref="I27:I28"/>
    <mergeCell ref="I29:I30"/>
    <mergeCell ref="I25:I26"/>
    <mergeCell ref="I11:I12"/>
    <mergeCell ref="B8:G10"/>
    <mergeCell ref="H8:H10"/>
    <mergeCell ref="I8:I10"/>
    <mergeCell ref="J8:K8"/>
    <mergeCell ref="L8:M8"/>
    <mergeCell ref="N8:O8"/>
    <mergeCell ref="P8:Q8"/>
    <mergeCell ref="R8:S8"/>
    <mergeCell ref="E15:G16"/>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s>
  <phoneticPr fontId="1"/>
  <conditionalFormatting sqref="B4">
    <cfRule type="containsText" dxfId="38"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242"/>
  <sheetViews>
    <sheetView showGridLines="0" zoomScaleNormal="100" zoomScaleSheetLayoutView="100" workbookViewId="0">
      <selection activeCell="C12" sqref="C12"/>
    </sheetView>
  </sheetViews>
  <sheetFormatPr defaultRowHeight="13.5" x14ac:dyDescent="0.1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x14ac:dyDescent="0.15">
      <c r="A1" s="1627" t="s">
        <v>259</v>
      </c>
      <c r="B1" s="1627"/>
      <c r="C1" s="229"/>
      <c r="D1" s="1626" t="s">
        <v>256</v>
      </c>
      <c r="E1" s="1626"/>
      <c r="F1" s="1628">
        <f>SUBTOTAL(3,D15:D44)</f>
        <v>30</v>
      </c>
      <c r="H1" s="1625" t="s">
        <v>258</v>
      </c>
      <c r="I1" s="1625"/>
      <c r="J1" s="231">
        <f>SUM(入力1!AC40,入力1!AE40)</f>
        <v>0</v>
      </c>
      <c r="K1" s="242"/>
    </row>
    <row r="2" spans="1:17" ht="18.75" customHeight="1" x14ac:dyDescent="0.15">
      <c r="A2" s="1627"/>
      <c r="B2" s="1627"/>
      <c r="C2" s="229"/>
      <c r="D2" s="1626"/>
      <c r="E2" s="1626"/>
      <c r="F2" s="1629"/>
      <c r="H2" s="1625" t="s">
        <v>257</v>
      </c>
      <c r="I2" s="1625"/>
      <c r="J2" s="232">
        <f>COUNTA(入力2【名簿】!D15:D74)</f>
        <v>0</v>
      </c>
      <c r="K2" s="243"/>
    </row>
    <row r="3" spans="1:17" ht="7.5" customHeight="1" x14ac:dyDescent="0.15">
      <c r="A3" s="1630"/>
      <c r="B3" s="1630"/>
      <c r="C3" s="1630"/>
      <c r="E3" s="230"/>
      <c r="F3" s="230"/>
      <c r="G3" s="230"/>
      <c r="H3" s="230"/>
      <c r="I3" s="227"/>
    </row>
    <row r="4" spans="1:17" ht="22.5" customHeight="1" x14ac:dyDescent="0.15">
      <c r="A4" s="236"/>
      <c r="B4" s="237"/>
      <c r="C4" s="238"/>
      <c r="D4" s="235"/>
      <c r="E4" s="239"/>
      <c r="F4" s="239"/>
      <c r="G4" s="239"/>
      <c r="H4" s="239"/>
      <c r="I4" s="240"/>
      <c r="J4" s="240"/>
      <c r="K4" s="240"/>
      <c r="L4" s="233"/>
      <c r="M4" s="233"/>
      <c r="N4" s="234"/>
      <c r="O4" s="234"/>
    </row>
    <row r="5" spans="1:17" ht="22.5" customHeight="1" x14ac:dyDescent="0.15">
      <c r="A5" s="236"/>
      <c r="B5" s="237"/>
      <c r="C5" s="238"/>
      <c r="D5" s="235"/>
      <c r="E5" s="239"/>
      <c r="F5" s="239"/>
      <c r="G5" s="239"/>
      <c r="H5" s="239"/>
      <c r="I5" s="240"/>
      <c r="J5" s="240"/>
      <c r="K5" s="240"/>
      <c r="L5" s="233"/>
      <c r="M5" s="233"/>
      <c r="N5" s="234"/>
      <c r="O5" s="234"/>
    </row>
    <row r="6" spans="1:17" ht="22.5" customHeight="1" x14ac:dyDescent="0.15">
      <c r="A6" s="235"/>
      <c r="B6" s="237"/>
      <c r="C6" s="238"/>
      <c r="D6" s="235"/>
      <c r="E6" s="240"/>
      <c r="F6" s="240"/>
      <c r="G6" s="240"/>
      <c r="H6" s="240"/>
      <c r="I6" s="241"/>
      <c r="J6" s="241"/>
      <c r="K6" s="241"/>
      <c r="L6" s="233"/>
      <c r="M6" s="233"/>
      <c r="N6" s="234"/>
      <c r="O6" s="234"/>
    </row>
    <row r="7" spans="1:17" ht="30" customHeight="1" x14ac:dyDescent="0.15">
      <c r="A7" s="235"/>
      <c r="B7" s="237"/>
      <c r="C7" s="238"/>
      <c r="D7" s="235"/>
      <c r="E7" s="240"/>
      <c r="F7" s="240"/>
      <c r="G7" s="240"/>
      <c r="H7" s="240"/>
      <c r="I7" s="241"/>
      <c r="J7" s="241"/>
      <c r="K7" s="241"/>
      <c r="L7" s="233"/>
      <c r="M7" s="233"/>
      <c r="N7" s="234"/>
      <c r="O7" s="234"/>
    </row>
    <row r="8" spans="1:17" s="208" customFormat="1" ht="3.75" customHeight="1" x14ac:dyDescent="0.15">
      <c r="B8" s="933"/>
      <c r="C8" s="934"/>
      <c r="E8" s="935"/>
      <c r="F8" s="935"/>
      <c r="G8" s="935"/>
      <c r="H8" s="935"/>
      <c r="I8" s="936"/>
      <c r="J8" s="936"/>
      <c r="K8" s="936"/>
      <c r="N8" s="234"/>
      <c r="O8" s="234"/>
    </row>
    <row r="9" spans="1:17" ht="37.5" customHeight="1" x14ac:dyDescent="0.15">
      <c r="A9" s="1631" t="s">
        <v>264</v>
      </c>
      <c r="B9" s="1631"/>
      <c r="C9" s="1631"/>
      <c r="D9" s="1631"/>
      <c r="E9" s="1631"/>
      <c r="F9" s="1632"/>
      <c r="G9" s="1632"/>
      <c r="H9" s="1632"/>
      <c r="I9" s="1632"/>
      <c r="J9" s="1632"/>
      <c r="K9" s="1632"/>
      <c r="L9" s="208"/>
      <c r="N9" s="234"/>
      <c r="O9" s="234"/>
    </row>
    <row r="10" spans="1:17" ht="26.25" customHeight="1" x14ac:dyDescent="0.15">
      <c r="A10" s="248"/>
      <c r="B10" s="937" t="s">
        <v>266</v>
      </c>
      <c r="C10" s="1633" t="str">
        <f>IF(入力1!L24="","",DATE(入力1!G24,入力1!J24,入力1!L24))</f>
        <v/>
      </c>
      <c r="D10" s="1633"/>
      <c r="E10" s="1633"/>
      <c r="F10" s="1633"/>
      <c r="G10" s="938" t="s">
        <v>517</v>
      </c>
      <c r="H10" s="1634" t="str">
        <f>IF(入力1!L24="","",入力1!K22+入力1!F23)</f>
        <v/>
      </c>
      <c r="I10" s="1634"/>
      <c r="J10" s="1634"/>
      <c r="K10" s="1634"/>
      <c r="L10" s="915"/>
      <c r="M10" s="253"/>
      <c r="N10" s="234"/>
      <c r="O10" s="234"/>
    </row>
    <row r="11" spans="1:17" ht="26.25" customHeight="1" thickBot="1" x14ac:dyDescent="0.2">
      <c r="A11" s="248"/>
      <c r="B11" s="937" t="s">
        <v>265</v>
      </c>
      <c r="C11" s="1635" t="str">
        <f>入力1!B7</f>
        <v/>
      </c>
      <c r="D11" s="1635"/>
      <c r="E11" s="1635"/>
      <c r="F11" s="1635"/>
      <c r="G11" s="1635"/>
      <c r="H11" s="1635"/>
      <c r="I11" s="1635"/>
      <c r="J11" s="1635"/>
      <c r="K11" s="940"/>
      <c r="L11" s="256" t="s">
        <v>267</v>
      </c>
      <c r="M11" s="253"/>
      <c r="N11" s="234"/>
      <c r="O11" s="234"/>
      <c r="Q11" s="228"/>
    </row>
    <row r="12" spans="1:17" ht="11.25" customHeight="1" thickTop="1" x14ac:dyDescent="0.15">
      <c r="A12" s="248"/>
      <c r="B12" s="250"/>
      <c r="C12" s="254"/>
      <c r="D12" s="254"/>
      <c r="E12" s="254"/>
      <c r="F12" s="254"/>
      <c r="G12" s="254"/>
      <c r="H12" s="254"/>
      <c r="I12" s="254"/>
      <c r="J12" s="254"/>
      <c r="K12" s="939"/>
      <c r="L12" s="1624">
        <f>入力2【名簿】!BP4</f>
        <v>0</v>
      </c>
      <c r="M12" s="246"/>
      <c r="N12" s="234"/>
      <c r="O12" s="234"/>
    </row>
    <row r="13" spans="1:17" ht="26.25" customHeight="1" x14ac:dyDescent="0.15">
      <c r="A13" s="248"/>
      <c r="B13" s="248"/>
      <c r="C13" s="248"/>
      <c r="D13" s="247"/>
      <c r="E13" s="916" t="str">
        <f>IF(入力1!I66=" ","／",入力1!I66)</f>
        <v/>
      </c>
      <c r="F13" s="917" t="str">
        <f>IF(入力1!M66=" ","／",入力1!M66)</f>
        <v/>
      </c>
      <c r="G13" s="917" t="str">
        <f>IF(入力1!Q66=" ","／",入力1!Q66)</f>
        <v/>
      </c>
      <c r="H13" s="917" t="str">
        <f>IF(入力1!U66=" ","／",入力1!U66)</f>
        <v/>
      </c>
      <c r="I13" s="917" t="str">
        <f>IF(入力1!Y66=" ","／",入力1!Y66)</f>
        <v/>
      </c>
      <c r="J13" s="917" t="str">
        <f>IF(入力1!AC66=" ","／",入力1!AC66)</f>
        <v/>
      </c>
      <c r="K13" s="249"/>
      <c r="L13" s="1624"/>
      <c r="M13" s="246"/>
      <c r="N13" s="234"/>
      <c r="O13" s="234"/>
    </row>
    <row r="14" spans="1:17" s="228" customFormat="1" ht="30" customHeight="1" x14ac:dyDescent="0.15">
      <c r="A14" s="251" t="s">
        <v>247</v>
      </c>
      <c r="B14" s="918" t="s">
        <v>254</v>
      </c>
      <c r="C14" s="919" t="s">
        <v>518</v>
      </c>
      <c r="D14" s="920" t="s">
        <v>255</v>
      </c>
      <c r="E14" s="921" t="s">
        <v>248</v>
      </c>
      <c r="F14" s="921" t="s">
        <v>249</v>
      </c>
      <c r="G14" s="921" t="s">
        <v>250</v>
      </c>
      <c r="H14" s="921" t="s">
        <v>251</v>
      </c>
      <c r="I14" s="921" t="s">
        <v>252</v>
      </c>
      <c r="J14" s="921" t="s">
        <v>253</v>
      </c>
      <c r="K14" s="255" t="s">
        <v>263</v>
      </c>
      <c r="L14" s="252" t="s">
        <v>262</v>
      </c>
      <c r="M14" s="244"/>
      <c r="N14" s="48"/>
      <c r="O14" s="48"/>
    </row>
    <row r="15" spans="1:17" ht="22.5" customHeight="1" x14ac:dyDescent="0.15">
      <c r="A15" s="226">
        <v>1</v>
      </c>
      <c r="B15" s="922">
        <f>入力2【名簿】!D15</f>
        <v>0</v>
      </c>
      <c r="C15" s="923">
        <f>入力2【名簿】!F15</f>
        <v>0</v>
      </c>
      <c r="D15" s="924" t="str">
        <f>IF(入力2【名簿】!H15="○","女",IF(入力2【名簿】!G15="○","男",""))</f>
        <v/>
      </c>
      <c r="E15" s="922">
        <f>入力2【名簿】!I15</f>
        <v>0</v>
      </c>
      <c r="F15" s="922">
        <f>入力2【名簿】!M15</f>
        <v>0</v>
      </c>
      <c r="G15" s="922">
        <f>入力2【名簿】!R15</f>
        <v>0</v>
      </c>
      <c r="H15" s="922">
        <f>入力2【名簿】!W15</f>
        <v>0</v>
      </c>
      <c r="I15" s="922">
        <f>入力2【名簿】!AB15</f>
        <v>0</v>
      </c>
      <c r="J15" s="922">
        <f>入力2【名簿】!AG15</f>
        <v>0</v>
      </c>
      <c r="K15" s="925">
        <f>入力2【名簿】!AK15</f>
        <v>0</v>
      </c>
      <c r="L15" s="926">
        <f>入力2【名簿】!AK16</f>
        <v>0</v>
      </c>
      <c r="M15" s="245"/>
    </row>
    <row r="16" spans="1:17" ht="22.5" customHeight="1" x14ac:dyDescent="0.15">
      <c r="A16" s="226">
        <v>2</v>
      </c>
      <c r="B16" s="927">
        <f>入力2【名簿】!D17</f>
        <v>0</v>
      </c>
      <c r="C16" s="928">
        <f>入力2【名簿】!F17</f>
        <v>0</v>
      </c>
      <c r="D16" s="929" t="str">
        <f>IF(入力2【名簿】!H17="○","女",IF(入力2【名簿】!G17="○","男",""))</f>
        <v/>
      </c>
      <c r="E16" s="927">
        <f>入力2【名簿】!I17</f>
        <v>0</v>
      </c>
      <c r="F16" s="927">
        <f>入力2【名簿】!M17</f>
        <v>0</v>
      </c>
      <c r="G16" s="927">
        <f>入力2【名簿】!R17</f>
        <v>0</v>
      </c>
      <c r="H16" s="927">
        <f>入力2【名簿】!W17</f>
        <v>0</v>
      </c>
      <c r="I16" s="927">
        <f>入力2【名簿】!AB17</f>
        <v>0</v>
      </c>
      <c r="J16" s="927">
        <f>入力2【名簿】!AG17</f>
        <v>0</v>
      </c>
      <c r="K16" s="930">
        <f>入力2【名簿】!AK17</f>
        <v>0</v>
      </c>
      <c r="L16" s="931">
        <f>入力2【名簿】!AK18</f>
        <v>0</v>
      </c>
      <c r="M16" s="245"/>
    </row>
    <row r="17" spans="1:16" ht="22.5" customHeight="1" x14ac:dyDescent="0.15">
      <c r="A17" s="226">
        <v>3</v>
      </c>
      <c r="B17" s="922">
        <f>入力2【名簿】!D19</f>
        <v>0</v>
      </c>
      <c r="C17" s="923">
        <f>入力2【名簿】!F19</f>
        <v>0</v>
      </c>
      <c r="D17" s="924" t="str">
        <f>IF(入力2【名簿】!H19="○","女",IF(入力2【名簿】!G19="○","男",""))</f>
        <v/>
      </c>
      <c r="E17" s="922">
        <f>入力2【名簿】!I19</f>
        <v>0</v>
      </c>
      <c r="F17" s="922">
        <f>入力2【名簿】!M19</f>
        <v>0</v>
      </c>
      <c r="G17" s="922">
        <f>入力2【名簿】!R19</f>
        <v>0</v>
      </c>
      <c r="H17" s="922">
        <f>入力2【名簿】!W19</f>
        <v>0</v>
      </c>
      <c r="I17" s="922">
        <f>入力2【名簿】!AB19</f>
        <v>0</v>
      </c>
      <c r="J17" s="922">
        <f>入力2【名簿】!AG19</f>
        <v>0</v>
      </c>
      <c r="K17" s="925">
        <f>入力2【名簿】!AK19</f>
        <v>0</v>
      </c>
      <c r="L17" s="926">
        <f>入力2【名簿】!AK20</f>
        <v>0</v>
      </c>
      <c r="M17" s="245"/>
    </row>
    <row r="18" spans="1:16" ht="22.5" customHeight="1" x14ac:dyDescent="0.15">
      <c r="A18" s="226">
        <v>4</v>
      </c>
      <c r="B18" s="927">
        <f>入力2【名簿】!D21</f>
        <v>0</v>
      </c>
      <c r="C18" s="928">
        <f>入力2【名簿】!F21</f>
        <v>0</v>
      </c>
      <c r="D18" s="929" t="str">
        <f>IF(入力2【名簿】!H21="○","女",IF(入力2【名簿】!G21="○","男",""))</f>
        <v/>
      </c>
      <c r="E18" s="927">
        <f>入力2【名簿】!I21</f>
        <v>0</v>
      </c>
      <c r="F18" s="927">
        <f>入力2【名簿】!M21</f>
        <v>0</v>
      </c>
      <c r="G18" s="927">
        <f>入力2【名簿】!R21</f>
        <v>0</v>
      </c>
      <c r="H18" s="927">
        <f>入力2【名簿】!W21</f>
        <v>0</v>
      </c>
      <c r="I18" s="927">
        <f>入力2【名簿】!AB21</f>
        <v>0</v>
      </c>
      <c r="J18" s="927">
        <f>入力2【名簿】!AG21</f>
        <v>0</v>
      </c>
      <c r="K18" s="925">
        <f>入力2【名簿】!AK21</f>
        <v>0</v>
      </c>
      <c r="L18" s="932">
        <f>入力2【名簿】!AK22</f>
        <v>0</v>
      </c>
      <c r="M18" s="245"/>
    </row>
    <row r="19" spans="1:16" ht="22.5" customHeight="1" x14ac:dyDescent="0.15">
      <c r="A19" s="226">
        <v>5</v>
      </c>
      <c r="B19" s="922">
        <f>入力2【名簿】!D23</f>
        <v>0</v>
      </c>
      <c r="C19" s="923">
        <f>入力2【名簿】!F23</f>
        <v>0</v>
      </c>
      <c r="D19" s="924" t="str">
        <f>IF(入力2【名簿】!H23="○","女",IF(入力2【名簿】!G23="○","男",""))</f>
        <v/>
      </c>
      <c r="E19" s="922">
        <f>入力2【名簿】!I23</f>
        <v>0</v>
      </c>
      <c r="F19" s="922">
        <f>入力2【名簿】!M23</f>
        <v>0</v>
      </c>
      <c r="G19" s="922">
        <f>入力2【名簿】!R23</f>
        <v>0</v>
      </c>
      <c r="H19" s="922">
        <f>入力2【名簿】!W23</f>
        <v>0</v>
      </c>
      <c r="I19" s="922">
        <f>入力2【名簿】!AB23</f>
        <v>0</v>
      </c>
      <c r="J19" s="922">
        <f>入力2【名簿】!AG23</f>
        <v>0</v>
      </c>
      <c r="K19" s="925">
        <f>入力2【名簿】!AK23</f>
        <v>0</v>
      </c>
      <c r="L19" s="932">
        <f>入力2【名簿】!AK24</f>
        <v>0</v>
      </c>
      <c r="M19" s="245"/>
      <c r="P19" s="208"/>
    </row>
    <row r="20" spans="1:16" ht="22.5" customHeight="1" x14ac:dyDescent="0.15">
      <c r="A20" s="226">
        <v>6</v>
      </c>
      <c r="B20" s="927">
        <f>入力2【名簿】!D25</f>
        <v>0</v>
      </c>
      <c r="C20" s="928">
        <f>入力2【名簿】!F25</f>
        <v>0</v>
      </c>
      <c r="D20" s="929" t="str">
        <f>IF(入力2【名簿】!H25="○","女",IF(入力2【名簿】!G25="○","男",""))</f>
        <v/>
      </c>
      <c r="E20" s="927">
        <f>入力2【名簿】!I25</f>
        <v>0</v>
      </c>
      <c r="F20" s="927">
        <f>入力2【名簿】!M25</f>
        <v>0</v>
      </c>
      <c r="G20" s="927">
        <f>入力2【名簿】!R25</f>
        <v>0</v>
      </c>
      <c r="H20" s="927">
        <f>入力2【名簿】!W25</f>
        <v>0</v>
      </c>
      <c r="I20" s="927">
        <f>入力2【名簿】!AB25</f>
        <v>0</v>
      </c>
      <c r="J20" s="927">
        <f>入力2【名簿】!AG25</f>
        <v>0</v>
      </c>
      <c r="K20" s="925">
        <f>入力2【名簿】!AK25</f>
        <v>0</v>
      </c>
      <c r="L20" s="932">
        <f>入力2【名簿】!AK26</f>
        <v>0</v>
      </c>
      <c r="M20" s="245"/>
    </row>
    <row r="21" spans="1:16" ht="22.5" customHeight="1" x14ac:dyDescent="0.15">
      <c r="A21" s="226">
        <v>7</v>
      </c>
      <c r="B21" s="922">
        <f>入力2【名簿】!D27</f>
        <v>0</v>
      </c>
      <c r="C21" s="923">
        <f>入力2【名簿】!F27</f>
        <v>0</v>
      </c>
      <c r="D21" s="924" t="str">
        <f>IF(入力2【名簿】!H27="○","女",IF(入力2【名簿】!G27="○","男",""))</f>
        <v/>
      </c>
      <c r="E21" s="922">
        <f>入力2【名簿】!I27</f>
        <v>0</v>
      </c>
      <c r="F21" s="922">
        <f>入力2【名簿】!M27</f>
        <v>0</v>
      </c>
      <c r="G21" s="922">
        <f>入力2【名簿】!R27</f>
        <v>0</v>
      </c>
      <c r="H21" s="922">
        <f>入力2【名簿】!W27</f>
        <v>0</v>
      </c>
      <c r="I21" s="922">
        <f>入力2【名簿】!AB27</f>
        <v>0</v>
      </c>
      <c r="J21" s="922">
        <f>入力2【名簿】!AG27</f>
        <v>0</v>
      </c>
      <c r="K21" s="925">
        <f>入力2【名簿】!AK27</f>
        <v>0</v>
      </c>
      <c r="L21" s="932">
        <f>入力2【名簿】!AK28</f>
        <v>0</v>
      </c>
      <c r="M21" s="245"/>
    </row>
    <row r="22" spans="1:16" ht="22.5" customHeight="1" x14ac:dyDescent="0.15">
      <c r="A22" s="226">
        <v>8</v>
      </c>
      <c r="B22" s="927">
        <f>入力2【名簿】!D29</f>
        <v>0</v>
      </c>
      <c r="C22" s="928">
        <f>入力2【名簿】!F29</f>
        <v>0</v>
      </c>
      <c r="D22" s="929" t="str">
        <f>IF(入力2【名簿】!H29="○","女",IF(入力2【名簿】!G29="○","男",""))</f>
        <v/>
      </c>
      <c r="E22" s="927">
        <f>入力2【名簿】!I29</f>
        <v>0</v>
      </c>
      <c r="F22" s="927">
        <f>入力2【名簿】!M29</f>
        <v>0</v>
      </c>
      <c r="G22" s="927">
        <f>入力2【名簿】!R29</f>
        <v>0</v>
      </c>
      <c r="H22" s="927">
        <f>入力2【名簿】!W29</f>
        <v>0</v>
      </c>
      <c r="I22" s="927">
        <f>入力2【名簿】!AB29</f>
        <v>0</v>
      </c>
      <c r="J22" s="927">
        <f>入力2【名簿】!AG29</f>
        <v>0</v>
      </c>
      <c r="K22" s="925">
        <f>入力2【名簿】!AK29</f>
        <v>0</v>
      </c>
      <c r="L22" s="932">
        <f>入力2【名簿】!AK30</f>
        <v>0</v>
      </c>
      <c r="M22" s="245"/>
    </row>
    <row r="23" spans="1:16" ht="22.5" customHeight="1" x14ac:dyDescent="0.15">
      <c r="A23" s="226">
        <v>9</v>
      </c>
      <c r="B23" s="922">
        <f>入力2【名簿】!D31</f>
        <v>0</v>
      </c>
      <c r="C23" s="923">
        <f>入力2【名簿】!F31</f>
        <v>0</v>
      </c>
      <c r="D23" s="924" t="str">
        <f>IF(入力2【名簿】!H31="○","女",IF(入力2【名簿】!G31="○","男",""))</f>
        <v/>
      </c>
      <c r="E23" s="922">
        <f>入力2【名簿】!I31</f>
        <v>0</v>
      </c>
      <c r="F23" s="922">
        <f>入力2【名簿】!M31</f>
        <v>0</v>
      </c>
      <c r="G23" s="922">
        <f>入力2【名簿】!R31</f>
        <v>0</v>
      </c>
      <c r="H23" s="922">
        <f>入力2【名簿】!W31</f>
        <v>0</v>
      </c>
      <c r="I23" s="922">
        <f>入力2【名簿】!AB31</f>
        <v>0</v>
      </c>
      <c r="J23" s="922">
        <f>入力2【名簿】!AG31</f>
        <v>0</v>
      </c>
      <c r="K23" s="925">
        <f>入力2【名簿】!AK31</f>
        <v>0</v>
      </c>
      <c r="L23" s="932">
        <f>入力2【名簿】!AK32</f>
        <v>0</v>
      </c>
      <c r="M23" s="245"/>
    </row>
    <row r="24" spans="1:16" ht="22.5" customHeight="1" x14ac:dyDescent="0.15">
      <c r="A24" s="226">
        <v>10</v>
      </c>
      <c r="B24" s="927">
        <f>入力2【名簿】!D33</f>
        <v>0</v>
      </c>
      <c r="C24" s="928">
        <f>入力2【名簿】!F33</f>
        <v>0</v>
      </c>
      <c r="D24" s="929" t="str">
        <f>IF(入力2【名簿】!H33="○","女",IF(入力2【名簿】!G33="○","男",""))</f>
        <v/>
      </c>
      <c r="E24" s="927">
        <f>入力2【名簿】!I33</f>
        <v>0</v>
      </c>
      <c r="F24" s="927">
        <f>入力2【名簿】!M33</f>
        <v>0</v>
      </c>
      <c r="G24" s="927">
        <f>入力2【名簿】!R33</f>
        <v>0</v>
      </c>
      <c r="H24" s="927">
        <f>入力2【名簿】!W33</f>
        <v>0</v>
      </c>
      <c r="I24" s="927">
        <f>入力2【名簿】!AB33</f>
        <v>0</v>
      </c>
      <c r="J24" s="927">
        <f>入力2【名簿】!AG33</f>
        <v>0</v>
      </c>
      <c r="K24" s="925">
        <f>入力2【名簿】!AK33</f>
        <v>0</v>
      </c>
      <c r="L24" s="932">
        <f>入力2【名簿】!AK34</f>
        <v>0</v>
      </c>
      <c r="M24" s="245"/>
    </row>
    <row r="25" spans="1:16" ht="22.5" customHeight="1" x14ac:dyDescent="0.15">
      <c r="A25" s="226">
        <v>11</v>
      </c>
      <c r="B25" s="922">
        <f>入力2【名簿】!D35</f>
        <v>0</v>
      </c>
      <c r="C25" s="923">
        <f>入力2【名簿】!F35</f>
        <v>0</v>
      </c>
      <c r="D25" s="924" t="str">
        <f>IF(入力2【名簿】!H35="○","女",IF(入力2【名簿】!G35="○","男",""))</f>
        <v/>
      </c>
      <c r="E25" s="922">
        <f>入力2【名簿】!I35</f>
        <v>0</v>
      </c>
      <c r="F25" s="922">
        <f>入力2【名簿】!M35</f>
        <v>0</v>
      </c>
      <c r="G25" s="922">
        <f>入力2【名簿】!R35</f>
        <v>0</v>
      </c>
      <c r="H25" s="922">
        <f>入力2【名簿】!W35</f>
        <v>0</v>
      </c>
      <c r="I25" s="922">
        <f>入力2【名簿】!AB35</f>
        <v>0</v>
      </c>
      <c r="J25" s="922">
        <f>入力2【名簿】!AG35</f>
        <v>0</v>
      </c>
      <c r="K25" s="925">
        <f>入力2【名簿】!AK35</f>
        <v>0</v>
      </c>
      <c r="L25" s="932">
        <f>入力2【名簿】!AK36</f>
        <v>0</v>
      </c>
      <c r="M25" s="245"/>
    </row>
    <row r="26" spans="1:16" ht="22.5" customHeight="1" x14ac:dyDescent="0.15">
      <c r="A26" s="226">
        <v>12</v>
      </c>
      <c r="B26" s="927">
        <f>入力2【名簿】!D37</f>
        <v>0</v>
      </c>
      <c r="C26" s="928">
        <f>入力2【名簿】!F37</f>
        <v>0</v>
      </c>
      <c r="D26" s="929" t="str">
        <f>IF(入力2【名簿】!H37="○","女",IF(入力2【名簿】!G37="○","男",""))</f>
        <v/>
      </c>
      <c r="E26" s="927">
        <f>入力2【名簿】!I37</f>
        <v>0</v>
      </c>
      <c r="F26" s="927">
        <f>入力2【名簿】!M37</f>
        <v>0</v>
      </c>
      <c r="G26" s="927">
        <f>入力2【名簿】!R37</f>
        <v>0</v>
      </c>
      <c r="H26" s="927">
        <f>入力2【名簿】!W37</f>
        <v>0</v>
      </c>
      <c r="I26" s="927">
        <f>入力2【名簿】!AB37</f>
        <v>0</v>
      </c>
      <c r="J26" s="927">
        <f>入力2【名簿】!AG37</f>
        <v>0</v>
      </c>
      <c r="K26" s="925">
        <f>入力2【名簿】!AK37</f>
        <v>0</v>
      </c>
      <c r="L26" s="932">
        <f>入力2【名簿】!AK38</f>
        <v>0</v>
      </c>
      <c r="M26" s="245"/>
    </row>
    <row r="27" spans="1:16" ht="22.5" customHeight="1" x14ac:dyDescent="0.15">
      <c r="A27" s="226">
        <v>13</v>
      </c>
      <c r="B27" s="922">
        <f>入力2【名簿】!D39</f>
        <v>0</v>
      </c>
      <c r="C27" s="923">
        <f>入力2【名簿】!F39</f>
        <v>0</v>
      </c>
      <c r="D27" s="924" t="str">
        <f>IF(入力2【名簿】!H39="○","女",IF(入力2【名簿】!G39="○","男",""))</f>
        <v/>
      </c>
      <c r="E27" s="922">
        <f>入力2【名簿】!I39</f>
        <v>0</v>
      </c>
      <c r="F27" s="922">
        <f>入力2【名簿】!M39</f>
        <v>0</v>
      </c>
      <c r="G27" s="922">
        <f>入力2【名簿】!R39</f>
        <v>0</v>
      </c>
      <c r="H27" s="922">
        <f>入力2【名簿】!W39</f>
        <v>0</v>
      </c>
      <c r="I27" s="922">
        <f>入力2【名簿】!AB39</f>
        <v>0</v>
      </c>
      <c r="J27" s="922">
        <f>入力2【名簿】!AG39</f>
        <v>0</v>
      </c>
      <c r="K27" s="925">
        <f>入力2【名簿】!AK39</f>
        <v>0</v>
      </c>
      <c r="L27" s="932">
        <f>入力2【名簿】!AK40</f>
        <v>0</v>
      </c>
      <c r="M27" s="245"/>
    </row>
    <row r="28" spans="1:16" ht="22.5" customHeight="1" x14ac:dyDescent="0.15">
      <c r="A28" s="226">
        <v>14</v>
      </c>
      <c r="B28" s="927">
        <f>入力2【名簿】!D41</f>
        <v>0</v>
      </c>
      <c r="C28" s="928">
        <f>入力2【名簿】!F41</f>
        <v>0</v>
      </c>
      <c r="D28" s="929" t="str">
        <f>IF(入力2【名簿】!H41="○","女",IF(入力2【名簿】!G41="○","男",""))</f>
        <v/>
      </c>
      <c r="E28" s="927">
        <f>入力2【名簿】!I41</f>
        <v>0</v>
      </c>
      <c r="F28" s="927">
        <f>入力2【名簿】!M41</f>
        <v>0</v>
      </c>
      <c r="G28" s="927">
        <f>入力2【名簿】!R41</f>
        <v>0</v>
      </c>
      <c r="H28" s="927">
        <f>入力2【名簿】!W41</f>
        <v>0</v>
      </c>
      <c r="I28" s="927">
        <f>入力2【名簿】!AB41</f>
        <v>0</v>
      </c>
      <c r="J28" s="927">
        <f>入力2【名簿】!AG41</f>
        <v>0</v>
      </c>
      <c r="K28" s="925">
        <f>入力2【名簿】!AK41</f>
        <v>0</v>
      </c>
      <c r="L28" s="932">
        <f>入力2【名簿】!AK42</f>
        <v>0</v>
      </c>
      <c r="M28" s="245"/>
    </row>
    <row r="29" spans="1:16" ht="22.5" customHeight="1" x14ac:dyDescent="0.15">
      <c r="A29" s="226">
        <v>15</v>
      </c>
      <c r="B29" s="922">
        <f>入力2【名簿】!D43</f>
        <v>0</v>
      </c>
      <c r="C29" s="923">
        <f>入力2【名簿】!F43</f>
        <v>0</v>
      </c>
      <c r="D29" s="924" t="str">
        <f>IF(入力2【名簿】!H43="○","女",IF(入力2【名簿】!G43="○","男",""))</f>
        <v/>
      </c>
      <c r="E29" s="922">
        <f>入力2【名簿】!I43</f>
        <v>0</v>
      </c>
      <c r="F29" s="922">
        <f>入力2【名簿】!M43</f>
        <v>0</v>
      </c>
      <c r="G29" s="922">
        <f>入力2【名簿】!R43</f>
        <v>0</v>
      </c>
      <c r="H29" s="922">
        <f>入力2【名簿】!W43</f>
        <v>0</v>
      </c>
      <c r="I29" s="922">
        <f>入力2【名簿】!AB43</f>
        <v>0</v>
      </c>
      <c r="J29" s="922">
        <f>入力2【名簿】!AG43</f>
        <v>0</v>
      </c>
      <c r="K29" s="925">
        <f>入力2【名簿】!AK43</f>
        <v>0</v>
      </c>
      <c r="L29" s="932">
        <f>入力2【名簿】!AK44</f>
        <v>0</v>
      </c>
      <c r="M29" s="245"/>
    </row>
    <row r="30" spans="1:16" ht="22.5" customHeight="1" x14ac:dyDescent="0.15">
      <c r="A30" s="226">
        <v>16</v>
      </c>
      <c r="B30" s="927">
        <f>入力2【名簿】!D45</f>
        <v>0</v>
      </c>
      <c r="C30" s="928">
        <f>入力2【名簿】!F45</f>
        <v>0</v>
      </c>
      <c r="D30" s="929" t="str">
        <f>IF(入力2【名簿】!H45="○","女",IF(入力2【名簿】!G45="○","男",""))</f>
        <v/>
      </c>
      <c r="E30" s="927">
        <f>入力2【名簿】!I45</f>
        <v>0</v>
      </c>
      <c r="F30" s="927">
        <f>入力2【名簿】!M45</f>
        <v>0</v>
      </c>
      <c r="G30" s="927">
        <f>入力2【名簿】!R45</f>
        <v>0</v>
      </c>
      <c r="H30" s="927">
        <f>入力2【名簿】!W45</f>
        <v>0</v>
      </c>
      <c r="I30" s="927">
        <f>入力2【名簿】!AB45</f>
        <v>0</v>
      </c>
      <c r="J30" s="927">
        <f>入力2【名簿】!AG45</f>
        <v>0</v>
      </c>
      <c r="K30" s="925">
        <f>入力2【名簿】!AK45</f>
        <v>0</v>
      </c>
      <c r="L30" s="932">
        <f>入力2【名簿】!AK46</f>
        <v>0</v>
      </c>
      <c r="M30" s="245"/>
    </row>
    <row r="31" spans="1:16" ht="22.5" customHeight="1" x14ac:dyDescent="0.15">
      <c r="A31" s="226">
        <v>17</v>
      </c>
      <c r="B31" s="922">
        <f>入力2【名簿】!D47</f>
        <v>0</v>
      </c>
      <c r="C31" s="923">
        <f>入力2【名簿】!F47</f>
        <v>0</v>
      </c>
      <c r="D31" s="924" t="str">
        <f>IF(入力2【名簿】!H47="○","女",IF(入力2【名簿】!G47="○","男",""))</f>
        <v/>
      </c>
      <c r="E31" s="922">
        <f>入力2【名簿】!I47</f>
        <v>0</v>
      </c>
      <c r="F31" s="922">
        <f>入力2【名簿】!M47</f>
        <v>0</v>
      </c>
      <c r="G31" s="922">
        <f>入力2【名簿】!R47</f>
        <v>0</v>
      </c>
      <c r="H31" s="922">
        <f>入力2【名簿】!W47</f>
        <v>0</v>
      </c>
      <c r="I31" s="922">
        <f>入力2【名簿】!AB47</f>
        <v>0</v>
      </c>
      <c r="J31" s="922">
        <f>入力2【名簿】!AG47</f>
        <v>0</v>
      </c>
      <c r="K31" s="925">
        <f>入力2【名簿】!AK47</f>
        <v>0</v>
      </c>
      <c r="L31" s="932">
        <f>入力2【名簿】!AK48</f>
        <v>0</v>
      </c>
      <c r="M31" s="245"/>
    </row>
    <row r="32" spans="1:16" ht="22.5" customHeight="1" x14ac:dyDescent="0.15">
      <c r="A32" s="226">
        <v>18</v>
      </c>
      <c r="B32" s="927">
        <f>入力2【名簿】!D49</f>
        <v>0</v>
      </c>
      <c r="C32" s="928">
        <f>入力2【名簿】!F49</f>
        <v>0</v>
      </c>
      <c r="D32" s="929" t="str">
        <f>IF(入力2【名簿】!H49="○","女",IF(入力2【名簿】!G49="○","男",""))</f>
        <v/>
      </c>
      <c r="E32" s="927">
        <f>入力2【名簿】!I49</f>
        <v>0</v>
      </c>
      <c r="F32" s="927">
        <f>入力2【名簿】!M49</f>
        <v>0</v>
      </c>
      <c r="G32" s="927">
        <f>入力2【名簿】!R49</f>
        <v>0</v>
      </c>
      <c r="H32" s="927">
        <f>入力2【名簿】!W49</f>
        <v>0</v>
      </c>
      <c r="I32" s="927">
        <f>入力2【名簿】!AB49</f>
        <v>0</v>
      </c>
      <c r="J32" s="927">
        <f>入力2【名簿】!AG49</f>
        <v>0</v>
      </c>
      <c r="K32" s="925">
        <f>入力2【名簿】!AK49</f>
        <v>0</v>
      </c>
      <c r="L32" s="932">
        <f>入力2【名簿】!AK50</f>
        <v>0</v>
      </c>
      <c r="M32" s="245"/>
    </row>
    <row r="33" spans="1:13" ht="22.5" customHeight="1" x14ac:dyDescent="0.15">
      <c r="A33" s="226">
        <v>19</v>
      </c>
      <c r="B33" s="922">
        <f>入力2【名簿】!D51</f>
        <v>0</v>
      </c>
      <c r="C33" s="923">
        <f>入力2【名簿】!F51</f>
        <v>0</v>
      </c>
      <c r="D33" s="924" t="str">
        <f>IF(入力2【名簿】!H51="○","女",IF(入力2【名簿】!G51="○","男",""))</f>
        <v/>
      </c>
      <c r="E33" s="922">
        <f>入力2【名簿】!I51</f>
        <v>0</v>
      </c>
      <c r="F33" s="922">
        <f>入力2【名簿】!M51</f>
        <v>0</v>
      </c>
      <c r="G33" s="922">
        <f>入力2【名簿】!R51</f>
        <v>0</v>
      </c>
      <c r="H33" s="922">
        <f>入力2【名簿】!W51</f>
        <v>0</v>
      </c>
      <c r="I33" s="922">
        <f>入力2【名簿】!AB51</f>
        <v>0</v>
      </c>
      <c r="J33" s="922">
        <f>入力2【名簿】!AG51</f>
        <v>0</v>
      </c>
      <c r="K33" s="925">
        <f>入力2【名簿】!AK51</f>
        <v>0</v>
      </c>
      <c r="L33" s="932">
        <f>入力2【名簿】!AK52</f>
        <v>0</v>
      </c>
      <c r="M33" s="245"/>
    </row>
    <row r="34" spans="1:13" ht="22.5" customHeight="1" x14ac:dyDescent="0.15">
      <c r="A34" s="226">
        <v>20</v>
      </c>
      <c r="B34" s="927">
        <f>入力2【名簿】!D53</f>
        <v>0</v>
      </c>
      <c r="C34" s="928">
        <f>入力2【名簿】!F53</f>
        <v>0</v>
      </c>
      <c r="D34" s="929" t="str">
        <f>IF(入力2【名簿】!H53="○","女",IF(入力2【名簿】!G53="○","男",""))</f>
        <v/>
      </c>
      <c r="E34" s="927">
        <f>入力2【名簿】!I53</f>
        <v>0</v>
      </c>
      <c r="F34" s="927">
        <f>入力2【名簿】!M53</f>
        <v>0</v>
      </c>
      <c r="G34" s="927">
        <f>入力2【名簿】!R53</f>
        <v>0</v>
      </c>
      <c r="H34" s="927">
        <f>入力2【名簿】!W53</f>
        <v>0</v>
      </c>
      <c r="I34" s="927">
        <f>入力2【名簿】!AB53</f>
        <v>0</v>
      </c>
      <c r="J34" s="927">
        <f>入力2【名簿】!AG53</f>
        <v>0</v>
      </c>
      <c r="K34" s="925">
        <f>入力2【名簿】!AK53</f>
        <v>0</v>
      </c>
      <c r="L34" s="932">
        <f>入力2【名簿】!AK54</f>
        <v>0</v>
      </c>
      <c r="M34" s="245"/>
    </row>
    <row r="35" spans="1:13" ht="22.5" customHeight="1" x14ac:dyDescent="0.15">
      <c r="A35" s="226">
        <v>21</v>
      </c>
      <c r="B35" s="922">
        <f>入力2【名簿】!D55</f>
        <v>0</v>
      </c>
      <c r="C35" s="923">
        <f>入力2【名簿】!F55</f>
        <v>0</v>
      </c>
      <c r="D35" s="924" t="str">
        <f>IF(入力2【名簿】!H55="○","女",IF(入力2【名簿】!G55="○","男",""))</f>
        <v/>
      </c>
      <c r="E35" s="922">
        <f>入力2【名簿】!I55</f>
        <v>0</v>
      </c>
      <c r="F35" s="922">
        <f>入力2【名簿】!M55</f>
        <v>0</v>
      </c>
      <c r="G35" s="922">
        <f>入力2【名簿】!R55</f>
        <v>0</v>
      </c>
      <c r="H35" s="922">
        <f>入力2【名簿】!W55</f>
        <v>0</v>
      </c>
      <c r="I35" s="922">
        <f>入力2【名簿】!AB55</f>
        <v>0</v>
      </c>
      <c r="J35" s="922">
        <f>入力2【名簿】!AG55</f>
        <v>0</v>
      </c>
      <c r="K35" s="925">
        <f>入力2【名簿】!AK55</f>
        <v>0</v>
      </c>
      <c r="L35" s="932">
        <f>入力2【名簿】!AK56</f>
        <v>0</v>
      </c>
      <c r="M35" s="245"/>
    </row>
    <row r="36" spans="1:13" ht="22.5" customHeight="1" x14ac:dyDescent="0.15">
      <c r="A36" s="226">
        <v>22</v>
      </c>
      <c r="B36" s="927">
        <f>入力2【名簿】!D57</f>
        <v>0</v>
      </c>
      <c r="C36" s="928">
        <f>入力2【名簿】!F57</f>
        <v>0</v>
      </c>
      <c r="D36" s="929" t="str">
        <f>IF(入力2【名簿】!H57="○","女",IF(入力2【名簿】!G57="○","男",""))</f>
        <v/>
      </c>
      <c r="E36" s="927">
        <f>入力2【名簿】!I57</f>
        <v>0</v>
      </c>
      <c r="F36" s="927">
        <f>入力2【名簿】!M57</f>
        <v>0</v>
      </c>
      <c r="G36" s="927">
        <f>入力2【名簿】!R57</f>
        <v>0</v>
      </c>
      <c r="H36" s="927">
        <f>入力2【名簿】!W57</f>
        <v>0</v>
      </c>
      <c r="I36" s="927">
        <f>入力2【名簿】!AB57</f>
        <v>0</v>
      </c>
      <c r="J36" s="927">
        <f>入力2【名簿】!AG57</f>
        <v>0</v>
      </c>
      <c r="K36" s="925">
        <f>入力2【名簿】!AK57</f>
        <v>0</v>
      </c>
      <c r="L36" s="932">
        <f>入力2【名簿】!AK58</f>
        <v>0</v>
      </c>
      <c r="M36" s="245"/>
    </row>
    <row r="37" spans="1:13" ht="22.5" customHeight="1" x14ac:dyDescent="0.15">
      <c r="A37" s="226">
        <v>23</v>
      </c>
      <c r="B37" s="922">
        <f>入力2【名簿】!D59</f>
        <v>0</v>
      </c>
      <c r="C37" s="923">
        <f>入力2【名簿】!F59</f>
        <v>0</v>
      </c>
      <c r="D37" s="924" t="str">
        <f>IF(入力2【名簿】!H59="○","女",IF(入力2【名簿】!G59="○","男",""))</f>
        <v/>
      </c>
      <c r="E37" s="922">
        <f>入力2【名簿】!I59</f>
        <v>0</v>
      </c>
      <c r="F37" s="922">
        <f>入力2【名簿】!M59</f>
        <v>0</v>
      </c>
      <c r="G37" s="922">
        <f>入力2【名簿】!R59</f>
        <v>0</v>
      </c>
      <c r="H37" s="922">
        <f>入力2【名簿】!W59</f>
        <v>0</v>
      </c>
      <c r="I37" s="922">
        <f>入力2【名簿】!AB59</f>
        <v>0</v>
      </c>
      <c r="J37" s="922">
        <f>入力2【名簿】!AG59</f>
        <v>0</v>
      </c>
      <c r="K37" s="925">
        <f>入力2【名簿】!AK59</f>
        <v>0</v>
      </c>
      <c r="L37" s="932">
        <f>入力2【名簿】!AK60</f>
        <v>0</v>
      </c>
      <c r="M37" s="245"/>
    </row>
    <row r="38" spans="1:13" ht="22.5" customHeight="1" x14ac:dyDescent="0.15">
      <c r="A38" s="226">
        <v>24</v>
      </c>
      <c r="B38" s="927">
        <f>入力2【名簿】!D61</f>
        <v>0</v>
      </c>
      <c r="C38" s="928">
        <f>入力2【名簿】!F61</f>
        <v>0</v>
      </c>
      <c r="D38" s="929" t="str">
        <f>IF(入力2【名簿】!H61="○","女",IF(入力2【名簿】!G61="○","男",""))</f>
        <v/>
      </c>
      <c r="E38" s="927">
        <f>入力2【名簿】!I61</f>
        <v>0</v>
      </c>
      <c r="F38" s="927">
        <f>入力2【名簿】!M61</f>
        <v>0</v>
      </c>
      <c r="G38" s="927">
        <f>入力2【名簿】!R61</f>
        <v>0</v>
      </c>
      <c r="H38" s="927">
        <f>入力2【名簿】!W61</f>
        <v>0</v>
      </c>
      <c r="I38" s="927">
        <f>入力2【名簿】!AB61</f>
        <v>0</v>
      </c>
      <c r="J38" s="927">
        <f>入力2【名簿】!AG61</f>
        <v>0</v>
      </c>
      <c r="K38" s="925">
        <f>入力2【名簿】!AK61</f>
        <v>0</v>
      </c>
      <c r="L38" s="932">
        <f>入力2【名簿】!AK62</f>
        <v>0</v>
      </c>
      <c r="M38" s="245"/>
    </row>
    <row r="39" spans="1:13" ht="22.5" customHeight="1" x14ac:dyDescent="0.15">
      <c r="A39" s="226">
        <v>25</v>
      </c>
      <c r="B39" s="922">
        <f>入力2【名簿】!D63</f>
        <v>0</v>
      </c>
      <c r="C39" s="923">
        <f>入力2【名簿】!F63</f>
        <v>0</v>
      </c>
      <c r="D39" s="924" t="str">
        <f>IF(入力2【名簿】!H63="○","女",IF(入力2【名簿】!G63="○","男",""))</f>
        <v/>
      </c>
      <c r="E39" s="922">
        <f>入力2【名簿】!I63</f>
        <v>0</v>
      </c>
      <c r="F39" s="922">
        <f>入力2【名簿】!M63</f>
        <v>0</v>
      </c>
      <c r="G39" s="922">
        <f>入力2【名簿】!R63</f>
        <v>0</v>
      </c>
      <c r="H39" s="922">
        <f>入力2【名簿】!W63</f>
        <v>0</v>
      </c>
      <c r="I39" s="922">
        <f>入力2【名簿】!AB63</f>
        <v>0</v>
      </c>
      <c r="J39" s="922">
        <f>入力2【名簿】!AG63</f>
        <v>0</v>
      </c>
      <c r="K39" s="925">
        <f>入力2【名簿】!AK63</f>
        <v>0</v>
      </c>
      <c r="L39" s="932">
        <f>入力2【名簿】!AK64</f>
        <v>0</v>
      </c>
      <c r="M39" s="245"/>
    </row>
    <row r="40" spans="1:13" ht="22.5" customHeight="1" x14ac:dyDescent="0.15">
      <c r="A40" s="226">
        <v>26</v>
      </c>
      <c r="B40" s="927">
        <f>入力2【名簿】!D65</f>
        <v>0</v>
      </c>
      <c r="C40" s="928">
        <f>入力2【名簿】!F65</f>
        <v>0</v>
      </c>
      <c r="D40" s="929" t="str">
        <f>IF(入力2【名簿】!H65="○","女",IF(入力2【名簿】!G65="○","男",""))</f>
        <v/>
      </c>
      <c r="E40" s="927">
        <f>入力2【名簿】!I65</f>
        <v>0</v>
      </c>
      <c r="F40" s="927">
        <f>入力2【名簿】!M65</f>
        <v>0</v>
      </c>
      <c r="G40" s="927">
        <f>入力2【名簿】!R65</f>
        <v>0</v>
      </c>
      <c r="H40" s="927">
        <f>入力2【名簿】!W65</f>
        <v>0</v>
      </c>
      <c r="I40" s="927">
        <f>入力2【名簿】!AB65</f>
        <v>0</v>
      </c>
      <c r="J40" s="927">
        <f>入力2【名簿】!AG65</f>
        <v>0</v>
      </c>
      <c r="K40" s="925">
        <f>入力2【名簿】!AK65</f>
        <v>0</v>
      </c>
      <c r="L40" s="932">
        <f>入力2【名簿】!AK66</f>
        <v>0</v>
      </c>
      <c r="M40" s="245"/>
    </row>
    <row r="41" spans="1:13" ht="22.5" customHeight="1" x14ac:dyDescent="0.15">
      <c r="A41" s="226">
        <v>27</v>
      </c>
      <c r="B41" s="922">
        <f>入力2【名簿】!D67</f>
        <v>0</v>
      </c>
      <c r="C41" s="923">
        <f>入力2【名簿】!F67</f>
        <v>0</v>
      </c>
      <c r="D41" s="924" t="str">
        <f>IF(入力2【名簿】!H67="○","女",IF(入力2【名簿】!G67="○","男",""))</f>
        <v/>
      </c>
      <c r="E41" s="922">
        <f>入力2【名簿】!I67</f>
        <v>0</v>
      </c>
      <c r="F41" s="922">
        <f>入力2【名簿】!M67</f>
        <v>0</v>
      </c>
      <c r="G41" s="922">
        <f>入力2【名簿】!R67</f>
        <v>0</v>
      </c>
      <c r="H41" s="922">
        <f>入力2【名簿】!W67</f>
        <v>0</v>
      </c>
      <c r="I41" s="922">
        <f>入力2【名簿】!AB67</f>
        <v>0</v>
      </c>
      <c r="J41" s="922">
        <f>入力2【名簿】!AG67</f>
        <v>0</v>
      </c>
      <c r="K41" s="925">
        <f>入力2【名簿】!AK67</f>
        <v>0</v>
      </c>
      <c r="L41" s="932">
        <f>入力2【名簿】!AK68</f>
        <v>0</v>
      </c>
      <c r="M41" s="245"/>
    </row>
    <row r="42" spans="1:13" ht="22.5" customHeight="1" x14ac:dyDescent="0.15">
      <c r="A42" s="226">
        <v>28</v>
      </c>
      <c r="B42" s="927">
        <f>入力2【名簿】!D69</f>
        <v>0</v>
      </c>
      <c r="C42" s="928">
        <f>入力2【名簿】!F69</f>
        <v>0</v>
      </c>
      <c r="D42" s="929" t="str">
        <f>IF(入力2【名簿】!H69="○","女",IF(入力2【名簿】!G69="○","男",""))</f>
        <v/>
      </c>
      <c r="E42" s="927">
        <f>入力2【名簿】!I69</f>
        <v>0</v>
      </c>
      <c r="F42" s="927">
        <f>入力2【名簿】!M69</f>
        <v>0</v>
      </c>
      <c r="G42" s="927">
        <f>入力2【名簿】!R69</f>
        <v>0</v>
      </c>
      <c r="H42" s="927">
        <f>入力2【名簿】!W69</f>
        <v>0</v>
      </c>
      <c r="I42" s="927">
        <f>入力2【名簿】!AB69</f>
        <v>0</v>
      </c>
      <c r="J42" s="927">
        <f>入力2【名簿】!AG69</f>
        <v>0</v>
      </c>
      <c r="K42" s="925">
        <f>入力2【名簿】!AK69</f>
        <v>0</v>
      </c>
      <c r="L42" s="932">
        <f>入力2【名簿】!AK70</f>
        <v>0</v>
      </c>
      <c r="M42" s="245"/>
    </row>
    <row r="43" spans="1:13" ht="22.5" customHeight="1" x14ac:dyDescent="0.15">
      <c r="A43" s="226">
        <v>29</v>
      </c>
      <c r="B43" s="922">
        <f>入力2【名簿】!D71</f>
        <v>0</v>
      </c>
      <c r="C43" s="923">
        <f>入力2【名簿】!F71</f>
        <v>0</v>
      </c>
      <c r="D43" s="924" t="str">
        <f>IF(入力2【名簿】!H71="○","女",IF(入力2【名簿】!G71="○","男",""))</f>
        <v/>
      </c>
      <c r="E43" s="922">
        <f>入力2【名簿】!I71</f>
        <v>0</v>
      </c>
      <c r="F43" s="922">
        <f>入力2【名簿】!M71</f>
        <v>0</v>
      </c>
      <c r="G43" s="922">
        <f>入力2【名簿】!R71</f>
        <v>0</v>
      </c>
      <c r="H43" s="922">
        <f>入力2【名簿】!W71</f>
        <v>0</v>
      </c>
      <c r="I43" s="922">
        <f>入力2【名簿】!AB71</f>
        <v>0</v>
      </c>
      <c r="J43" s="922">
        <f>入力2【名簿】!AG71</f>
        <v>0</v>
      </c>
      <c r="K43" s="925">
        <f>入力2【名簿】!AK71</f>
        <v>0</v>
      </c>
      <c r="L43" s="932">
        <f>入力2【名簿】!AK72</f>
        <v>0</v>
      </c>
      <c r="M43" s="245"/>
    </row>
    <row r="44" spans="1:13" ht="22.5" customHeight="1" x14ac:dyDescent="0.15">
      <c r="A44" s="226">
        <v>30</v>
      </c>
      <c r="B44" s="1119">
        <f>入力2【名簿】!D73</f>
        <v>0</v>
      </c>
      <c r="C44" s="928">
        <f>入力2【名簿】!F73</f>
        <v>0</v>
      </c>
      <c r="D44" s="929" t="str">
        <f>IF(入力2【名簿】!H73="○","女",IF(入力2【名簿】!G73="○","男",""))</f>
        <v/>
      </c>
      <c r="E44" s="927">
        <f>入力2【名簿】!I73</f>
        <v>0</v>
      </c>
      <c r="F44" s="927">
        <f>入力2【名簿】!M73</f>
        <v>0</v>
      </c>
      <c r="G44" s="927">
        <f>入力2【名簿】!R73</f>
        <v>0</v>
      </c>
      <c r="H44" s="927">
        <f>入力2【名簿】!W73</f>
        <v>0</v>
      </c>
      <c r="I44" s="927">
        <f>入力2【名簿】!AB73</f>
        <v>0</v>
      </c>
      <c r="J44" s="927">
        <f>入力2【名簿】!AG73</f>
        <v>0</v>
      </c>
      <c r="K44" s="925">
        <f>入力2【名簿】!AK73</f>
        <v>0</v>
      </c>
      <c r="L44" s="932">
        <f>入力2【名簿】!AK74</f>
        <v>0</v>
      </c>
      <c r="M44" s="245"/>
    </row>
    <row r="45" spans="1:13" ht="14.1" customHeight="1" x14ac:dyDescent="0.15"/>
    <row r="46" spans="1:13" ht="14.1" customHeight="1" x14ac:dyDescent="0.15"/>
    <row r="47" spans="1:13" ht="14.1" customHeight="1" x14ac:dyDescent="0.15"/>
    <row r="48" spans="1: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sheetData>
  <sheetProtection selectLockedCells="1"/>
  <dataConsolidate link="1"/>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topLeftCell="A3" zoomScale="110" zoomScaleNormal="110" zoomScaleSheetLayoutView="80" workbookViewId="0">
      <selection activeCell="J10" sqref="J10"/>
    </sheetView>
  </sheetViews>
  <sheetFormatPr defaultRowHeight="13.5" x14ac:dyDescent="0.1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x14ac:dyDescent="0.15"/>
    <row r="2" spans="2:22" ht="18.75" customHeight="1" x14ac:dyDescent="0.15">
      <c r="B2" s="1643" t="s">
        <v>502</v>
      </c>
      <c r="C2" s="1643"/>
      <c r="D2" s="1643"/>
      <c r="E2" s="1643"/>
      <c r="F2"/>
      <c r="G2" s="1652" t="s">
        <v>493</v>
      </c>
      <c r="H2" s="1643"/>
      <c r="I2" s="1643"/>
      <c r="J2" s="771" t="s">
        <v>494</v>
      </c>
      <c r="K2" s="772"/>
      <c r="L2" s="1648" t="s">
        <v>495</v>
      </c>
      <c r="M2" s="1648"/>
      <c r="N2" s="1648"/>
      <c r="O2" s="1648"/>
      <c r="P2" s="1648"/>
      <c r="Q2" s="1648"/>
      <c r="R2" s="1648"/>
      <c r="S2" s="1648"/>
      <c r="T2" s="1648"/>
      <c r="U2" s="1648"/>
      <c r="V2" s="48"/>
    </row>
    <row r="3" spans="2:22" s="22" customFormat="1" ht="3.75" customHeight="1" thickBot="1" x14ac:dyDescent="0.2">
      <c r="B3" s="748"/>
      <c r="C3" s="748"/>
      <c r="D3" s="748"/>
      <c r="E3" s="748"/>
      <c r="F3" s="746"/>
      <c r="G3" s="770"/>
      <c r="H3" s="758"/>
      <c r="I3" s="758"/>
      <c r="J3" s="758"/>
      <c r="K3" s="758"/>
      <c r="L3" s="758"/>
      <c r="M3" s="758"/>
      <c r="N3" s="758"/>
      <c r="O3" s="758"/>
      <c r="P3" s="758"/>
      <c r="Q3" s="758"/>
      <c r="R3" s="48"/>
    </row>
    <row r="4" spans="2:22" s="22" customFormat="1" ht="18.75" customHeight="1" thickTop="1" x14ac:dyDescent="0.15">
      <c r="B4" s="529" t="s">
        <v>406</v>
      </c>
      <c r="C4" s="530" t="s">
        <v>407</v>
      </c>
      <c r="D4" s="531"/>
      <c r="E4" s="532"/>
      <c r="F4" s="111"/>
      <c r="G4" s="1646"/>
      <c r="H4" s="1649" t="s">
        <v>236</v>
      </c>
      <c r="I4" s="1649"/>
      <c r="J4" s="1650"/>
      <c r="K4" s="1653" t="s">
        <v>497</v>
      </c>
      <c r="L4" s="1649"/>
      <c r="M4" s="1649"/>
      <c r="N4" s="1649"/>
      <c r="O4" s="1649"/>
      <c r="P4" s="1650"/>
      <c r="Q4" s="1649" t="s">
        <v>235</v>
      </c>
      <c r="R4" s="1649"/>
      <c r="S4" s="1651"/>
      <c r="T4" s="48"/>
      <c r="U4" s="48"/>
    </row>
    <row r="5" spans="2:22" s="22" customFormat="1" ht="18.75" customHeight="1" x14ac:dyDescent="0.15">
      <c r="B5" s="798">
        <v>45339</v>
      </c>
      <c r="C5" s="798">
        <v>45395</v>
      </c>
      <c r="D5" s="798"/>
      <c r="E5" s="799"/>
      <c r="F5" s="48"/>
      <c r="G5" s="1647"/>
      <c r="H5" s="822" t="s">
        <v>240</v>
      </c>
      <c r="I5" s="823" t="s">
        <v>241</v>
      </c>
      <c r="J5" s="824" t="s">
        <v>234</v>
      </c>
      <c r="K5" s="825" t="s">
        <v>240</v>
      </c>
      <c r="L5" s="826" t="s">
        <v>498</v>
      </c>
      <c r="M5" s="823" t="s">
        <v>241</v>
      </c>
      <c r="N5" s="826" t="s">
        <v>496</v>
      </c>
      <c r="O5" s="823" t="s">
        <v>234</v>
      </c>
      <c r="P5" s="827" t="s">
        <v>496</v>
      </c>
      <c r="Q5" s="822" t="s">
        <v>240</v>
      </c>
      <c r="R5" s="823" t="s">
        <v>241</v>
      </c>
      <c r="S5" s="828" t="s">
        <v>234</v>
      </c>
      <c r="T5" s="48"/>
      <c r="U5" s="48"/>
    </row>
    <row r="6" spans="2:22" s="22" customFormat="1" ht="18.75" customHeight="1" x14ac:dyDescent="0.15">
      <c r="B6" s="798">
        <v>45340</v>
      </c>
      <c r="C6" s="798">
        <v>45396</v>
      </c>
      <c r="D6" s="798"/>
      <c r="E6" s="798"/>
      <c r="F6" s="48"/>
      <c r="G6" s="809" t="s">
        <v>232</v>
      </c>
      <c r="H6" s="801">
        <v>100</v>
      </c>
      <c r="I6" s="802">
        <v>200</v>
      </c>
      <c r="J6" s="803">
        <v>400</v>
      </c>
      <c r="K6" s="804">
        <v>350</v>
      </c>
      <c r="L6" s="805">
        <v>200</v>
      </c>
      <c r="M6" s="806">
        <v>1250</v>
      </c>
      <c r="N6" s="805">
        <v>300</v>
      </c>
      <c r="O6" s="806">
        <v>3000</v>
      </c>
      <c r="P6" s="807">
        <v>400</v>
      </c>
      <c r="Q6" s="801">
        <v>100</v>
      </c>
      <c r="R6" s="802">
        <v>200</v>
      </c>
      <c r="S6" s="808">
        <v>400</v>
      </c>
      <c r="T6" s="48"/>
      <c r="U6" s="48"/>
    </row>
    <row r="7" spans="2:22" s="22" customFormat="1" ht="18.75" customHeight="1" thickBot="1" x14ac:dyDescent="0.2">
      <c r="B7" s="798"/>
      <c r="C7" s="798">
        <v>45423</v>
      </c>
      <c r="D7" s="798"/>
      <c r="E7" s="798"/>
      <c r="F7" s="48"/>
      <c r="G7" s="797" t="s">
        <v>233</v>
      </c>
      <c r="H7" s="774">
        <v>200</v>
      </c>
      <c r="I7" s="775">
        <v>300</v>
      </c>
      <c r="J7" s="776">
        <v>500</v>
      </c>
      <c r="K7" s="779">
        <v>700</v>
      </c>
      <c r="L7" s="780">
        <v>400</v>
      </c>
      <c r="M7" s="777">
        <v>2500</v>
      </c>
      <c r="N7" s="780">
        <v>600</v>
      </c>
      <c r="O7" s="777">
        <v>5000</v>
      </c>
      <c r="P7" s="781">
        <v>800</v>
      </c>
      <c r="Q7" s="774">
        <v>200</v>
      </c>
      <c r="R7" s="775">
        <v>300</v>
      </c>
      <c r="S7" s="778">
        <v>500</v>
      </c>
      <c r="T7" s="840"/>
      <c r="U7" s="113"/>
    </row>
    <row r="8" spans="2:22" s="22" customFormat="1" ht="18.75" customHeight="1" thickTop="1" x14ac:dyDescent="0.15">
      <c r="B8" s="798"/>
      <c r="C8" s="798">
        <v>45424</v>
      </c>
      <c r="D8" s="798"/>
      <c r="E8" s="798"/>
      <c r="F8" s="753"/>
      <c r="G8" s="1656"/>
      <c r="H8" s="1653" t="s">
        <v>475</v>
      </c>
      <c r="I8" s="1650"/>
      <c r="J8" s="1653" t="s">
        <v>500</v>
      </c>
      <c r="K8" s="1649"/>
      <c r="L8" s="1654"/>
      <c r="M8" s="1655" t="s">
        <v>499</v>
      </c>
      <c r="N8" s="1649"/>
      <c r="O8" s="1654"/>
      <c r="P8" s="1655" t="s">
        <v>565</v>
      </c>
      <c r="Q8" s="1649"/>
      <c r="R8" s="1651"/>
    </row>
    <row r="9" spans="2:22" s="22" customFormat="1" ht="18.75" customHeight="1" x14ac:dyDescent="0.15">
      <c r="B9" s="798"/>
      <c r="C9" s="798">
        <v>45465</v>
      </c>
      <c r="D9" s="798"/>
      <c r="E9" s="798"/>
      <c r="F9" s="48"/>
      <c r="G9" s="1657"/>
      <c r="H9" s="822" t="s">
        <v>231</v>
      </c>
      <c r="I9" s="824" t="s">
        <v>506</v>
      </c>
      <c r="J9" s="829" t="s">
        <v>503</v>
      </c>
      <c r="K9" s="830" t="s">
        <v>478</v>
      </c>
      <c r="L9" s="829" t="s">
        <v>479</v>
      </c>
      <c r="M9" s="831" t="s">
        <v>505</v>
      </c>
      <c r="N9" s="831" t="s">
        <v>478</v>
      </c>
      <c r="O9" s="831" t="s">
        <v>479</v>
      </c>
      <c r="P9" s="830" t="s">
        <v>504</v>
      </c>
      <c r="Q9" s="830" t="s">
        <v>478</v>
      </c>
      <c r="R9" s="832" t="s">
        <v>479</v>
      </c>
    </row>
    <row r="10" spans="2:22" s="1" customFormat="1" ht="18.75" customHeight="1" thickBot="1" x14ac:dyDescent="0.2">
      <c r="B10" s="800"/>
      <c r="C10" s="798">
        <v>45466</v>
      </c>
      <c r="D10" s="798"/>
      <c r="E10" s="798"/>
      <c r="F10" s="753"/>
      <c r="G10" s="820" t="s">
        <v>477</v>
      </c>
      <c r="H10" s="810">
        <v>350</v>
      </c>
      <c r="I10" s="811">
        <v>200</v>
      </c>
      <c r="J10" s="812">
        <v>370</v>
      </c>
      <c r="K10" s="813">
        <v>530</v>
      </c>
      <c r="L10" s="814">
        <v>640</v>
      </c>
      <c r="M10" s="815">
        <v>400</v>
      </c>
      <c r="N10" s="816">
        <v>550</v>
      </c>
      <c r="O10" s="817">
        <v>670</v>
      </c>
      <c r="P10" s="818">
        <v>440</v>
      </c>
      <c r="Q10" s="813">
        <v>880</v>
      </c>
      <c r="R10" s="819">
        <v>1090</v>
      </c>
    </row>
    <row r="11" spans="2:22" s="1" customFormat="1" ht="18.75" customHeight="1" thickTop="1" x14ac:dyDescent="0.15">
      <c r="B11" s="800"/>
      <c r="C11" s="798">
        <v>45493</v>
      </c>
      <c r="D11" s="798"/>
      <c r="E11" s="798"/>
      <c r="H11" s="821"/>
      <c r="I11" s="841" t="s">
        <v>507</v>
      </c>
    </row>
    <row r="12" spans="2:22" ht="18.75" customHeight="1" x14ac:dyDescent="0.2">
      <c r="B12" s="800"/>
      <c r="C12" s="798">
        <v>45494</v>
      </c>
      <c r="D12" s="798"/>
      <c r="E12" s="798"/>
      <c r="F12"/>
      <c r="G12" s="1636" t="s">
        <v>554</v>
      </c>
      <c r="H12" s="1637"/>
      <c r="I12" s="1637"/>
      <c r="J12" s="1637"/>
      <c r="K12" s="22"/>
      <c r="L12" s="22"/>
      <c r="M12" s="22"/>
      <c r="N12" s="22"/>
      <c r="O12" s="22"/>
      <c r="P12" s="22"/>
      <c r="Q12" s="22"/>
      <c r="R12" s="22"/>
    </row>
    <row r="13" spans="2:22" s="22" customFormat="1" ht="18.75" customHeight="1" x14ac:dyDescent="0.15">
      <c r="B13" s="800"/>
      <c r="C13" s="798">
        <v>45563</v>
      </c>
      <c r="D13" s="798"/>
      <c r="E13" s="798"/>
      <c r="G13" s="1638" t="s">
        <v>555</v>
      </c>
      <c r="H13" s="1638"/>
      <c r="I13" s="1638"/>
      <c r="J13" s="1639" t="s">
        <v>556</v>
      </c>
      <c r="K13" s="1640"/>
      <c r="L13" s="1122">
        <v>6</v>
      </c>
      <c r="M13" s="1641" t="s">
        <v>557</v>
      </c>
      <c r="N13" s="1642"/>
      <c r="O13" s="586">
        <f>L13*7</f>
        <v>42</v>
      </c>
      <c r="P13" s="9" t="s">
        <v>558</v>
      </c>
      <c r="Q13" s="49"/>
      <c r="R13" s="49"/>
    </row>
    <row r="14" spans="2:22" s="22" customFormat="1" ht="18.75" customHeight="1" x14ac:dyDescent="0.15">
      <c r="B14" s="800"/>
      <c r="C14" s="798">
        <v>45564</v>
      </c>
      <c r="D14" s="798"/>
      <c r="E14" s="798"/>
    </row>
    <row r="15" spans="2:22" s="49" customFormat="1" ht="18.75" customHeight="1" x14ac:dyDescent="0.15">
      <c r="B15" s="800"/>
      <c r="C15" s="798">
        <v>45570</v>
      </c>
      <c r="D15" s="798"/>
      <c r="E15" s="798"/>
    </row>
    <row r="16" spans="2:22" s="49" customFormat="1" ht="18.75" customHeight="1" x14ac:dyDescent="0.15">
      <c r="B16" s="800"/>
      <c r="C16" s="798">
        <v>45571</v>
      </c>
      <c r="D16" s="798"/>
      <c r="E16" s="798"/>
    </row>
    <row r="17" spans="2:5" s="49" customFormat="1" ht="18.75" customHeight="1" x14ac:dyDescent="0.15">
      <c r="B17" s="800"/>
      <c r="C17" s="798">
        <v>45619</v>
      </c>
      <c r="D17" s="798"/>
      <c r="E17" s="798"/>
    </row>
    <row r="18" spans="2:5" s="49" customFormat="1" ht="18.75" customHeight="1" x14ac:dyDescent="0.15">
      <c r="B18" s="800"/>
      <c r="C18" s="798">
        <v>45620</v>
      </c>
      <c r="D18" s="798"/>
      <c r="E18" s="798"/>
    </row>
    <row r="19" spans="2:5" s="49" customFormat="1" ht="18.75" customHeight="1" x14ac:dyDescent="0.15">
      <c r="B19" s="800"/>
      <c r="C19" s="798">
        <v>45640</v>
      </c>
      <c r="D19" s="798"/>
      <c r="E19" s="798"/>
    </row>
    <row r="20" spans="2:5" s="49" customFormat="1" ht="18.75" customHeight="1" x14ac:dyDescent="0.15">
      <c r="B20" s="800"/>
      <c r="C20" s="798">
        <v>45641</v>
      </c>
      <c r="D20" s="798"/>
      <c r="E20" s="798"/>
    </row>
    <row r="21" spans="2:5" s="49" customFormat="1" ht="18.75" customHeight="1" x14ac:dyDescent="0.15">
      <c r="B21" s="800"/>
      <c r="C21" s="798">
        <v>45655</v>
      </c>
      <c r="D21" s="798"/>
      <c r="E21" s="798"/>
    </row>
    <row r="22" spans="2:5" s="49" customFormat="1" ht="18.75" customHeight="1" x14ac:dyDescent="0.15">
      <c r="B22" s="800"/>
      <c r="C22" s="798">
        <v>45656</v>
      </c>
      <c r="D22" s="798"/>
      <c r="E22" s="798"/>
    </row>
    <row r="23" spans="2:5" s="49" customFormat="1" ht="18.75" customHeight="1" x14ac:dyDescent="0.15">
      <c r="B23" s="800"/>
      <c r="C23" s="798">
        <v>45659</v>
      </c>
      <c r="D23" s="798"/>
      <c r="E23" s="798"/>
    </row>
    <row r="24" spans="2:5" s="22" customFormat="1" ht="18.75" customHeight="1" x14ac:dyDescent="0.15">
      <c r="B24" s="800"/>
      <c r="C24" s="798">
        <v>45660</v>
      </c>
      <c r="D24" s="798"/>
      <c r="E24" s="798"/>
    </row>
    <row r="25" spans="2:5" s="22" customFormat="1" ht="18.75" customHeight="1" x14ac:dyDescent="0.15">
      <c r="B25" s="800"/>
      <c r="C25" s="798">
        <v>45675</v>
      </c>
      <c r="D25" s="798"/>
      <c r="E25" s="798"/>
    </row>
    <row r="26" spans="2:5" s="22" customFormat="1" ht="18.75" customHeight="1" x14ac:dyDescent="0.15">
      <c r="B26" s="800"/>
      <c r="C26" s="798">
        <v>45676</v>
      </c>
      <c r="D26" s="798"/>
      <c r="E26" s="798"/>
    </row>
    <row r="27" spans="2:5" s="22" customFormat="1" ht="18.75" customHeight="1" x14ac:dyDescent="0.15">
      <c r="B27" s="800"/>
      <c r="C27" s="798"/>
      <c r="D27" s="798"/>
      <c r="E27" s="798"/>
    </row>
    <row r="28" spans="2:5" s="22" customFormat="1" ht="18.75" customHeight="1" x14ac:dyDescent="0.15">
      <c r="B28" s="800"/>
      <c r="C28" s="798"/>
      <c r="D28" s="798"/>
      <c r="E28" s="798"/>
    </row>
    <row r="29" spans="2:5" s="22" customFormat="1" ht="18.75" customHeight="1" x14ac:dyDescent="0.15">
      <c r="B29" s="800"/>
      <c r="C29" s="798"/>
      <c r="D29" s="798"/>
      <c r="E29" s="798"/>
    </row>
    <row r="30" spans="2:5" s="22" customFormat="1" ht="18.75" customHeight="1" x14ac:dyDescent="0.15">
      <c r="B30" s="800"/>
      <c r="C30" s="798"/>
      <c r="D30" s="798"/>
      <c r="E30" s="798"/>
    </row>
    <row r="31" spans="2:5" s="22" customFormat="1" ht="18.75" customHeight="1" x14ac:dyDescent="0.15">
      <c r="B31" s="800"/>
      <c r="C31" s="798"/>
      <c r="D31" s="798"/>
      <c r="E31" s="798"/>
    </row>
    <row r="32" spans="2:5" s="22" customFormat="1" ht="18.75" customHeight="1" x14ac:dyDescent="0.15">
      <c r="B32" s="800"/>
      <c r="C32" s="798"/>
      <c r="D32" s="798"/>
      <c r="E32" s="798"/>
    </row>
    <row r="33" spans="1:14" s="22" customFormat="1" ht="18.75" customHeight="1" x14ac:dyDescent="0.15">
      <c r="B33" s="800"/>
      <c r="C33" s="798"/>
      <c r="D33" s="798"/>
      <c r="E33" s="798"/>
    </row>
    <row r="34" spans="1:14" s="22" customFormat="1" ht="18.75" customHeight="1" x14ac:dyDescent="0.15">
      <c r="B34" s="800"/>
      <c r="C34" s="798"/>
      <c r="D34" s="798"/>
      <c r="E34" s="798"/>
    </row>
    <row r="35" spans="1:14" s="22" customFormat="1" ht="18.75" customHeight="1" x14ac:dyDescent="0.15">
      <c r="B35" s="800"/>
      <c r="C35" s="798"/>
      <c r="D35" s="798"/>
      <c r="E35" s="798"/>
    </row>
    <row r="36" spans="1:14" ht="18.75" customHeight="1" x14ac:dyDescent="0.15">
      <c r="D36"/>
      <c r="F36"/>
    </row>
    <row r="37" spans="1:14" s="22" customFormat="1" ht="18.75" customHeight="1" x14ac:dyDescent="0.15"/>
    <row r="38" spans="1:14" s="22" customFormat="1" ht="18.75" customHeight="1" x14ac:dyDescent="0.15"/>
    <row r="39" spans="1:14" s="22" customFormat="1" ht="18.75" customHeight="1" x14ac:dyDescent="0.15"/>
    <row r="40" spans="1:14" s="22" customFormat="1" ht="18.75" customHeight="1" x14ac:dyDescent="0.15"/>
    <row r="41" spans="1:14" s="22" customFormat="1" ht="18.75" customHeight="1" x14ac:dyDescent="0.15">
      <c r="A41" s="39"/>
    </row>
    <row r="42" spans="1:14" s="68" customFormat="1" ht="18.75" customHeight="1" x14ac:dyDescent="0.15">
      <c r="A42" s="192"/>
      <c r="B42" s="70"/>
      <c r="E42" s="198"/>
      <c r="F42" s="198"/>
      <c r="G42" s="198"/>
      <c r="H42" s="198"/>
      <c r="J42"/>
      <c r="K42"/>
      <c r="L42" s="22"/>
      <c r="M42" s="22"/>
      <c r="N42" s="22"/>
    </row>
    <row r="43" spans="1:14" s="68" customFormat="1" ht="18.75" customHeight="1" x14ac:dyDescent="0.15">
      <c r="A43" s="192"/>
      <c r="B43" s="70"/>
      <c r="J43" s="22"/>
      <c r="K43" s="22"/>
      <c r="L43" s="22"/>
      <c r="M43"/>
      <c r="N43"/>
    </row>
    <row r="44" spans="1:14" s="68" customFormat="1" ht="18.75" customHeight="1" x14ac:dyDescent="0.15">
      <c r="A44" s="192"/>
      <c r="B44" s="70"/>
      <c r="J44" s="22"/>
      <c r="K44" s="22"/>
      <c r="L44" s="22"/>
      <c r="M44" s="22"/>
      <c r="N44" s="22"/>
    </row>
    <row r="45" spans="1:14" s="68" customFormat="1" ht="18.75" customHeight="1" x14ac:dyDescent="0.15">
      <c r="A45" s="192"/>
      <c r="B45" s="70"/>
      <c r="J45" s="22"/>
      <c r="K45" s="22"/>
      <c r="L45"/>
      <c r="M45" s="22"/>
      <c r="N45" s="22"/>
    </row>
    <row r="46" spans="1:14" s="68" customFormat="1" ht="18.75" customHeight="1" x14ac:dyDescent="0.15">
      <c r="A46" s="192"/>
      <c r="B46" s="70"/>
      <c r="J46" s="22"/>
      <c r="K46" s="22"/>
      <c r="L46" s="22"/>
      <c r="M46" s="22"/>
      <c r="N46" s="22"/>
    </row>
    <row r="47" spans="1:14" s="68" customFormat="1" ht="18.75" customHeight="1" x14ac:dyDescent="0.15">
      <c r="A47" s="192"/>
      <c r="B47" s="70"/>
      <c r="L47" s="22"/>
      <c r="M47" s="22"/>
      <c r="N47" s="22"/>
    </row>
    <row r="48" spans="1:14" s="68" customFormat="1" ht="18.75" customHeight="1" x14ac:dyDescent="0.15">
      <c r="A48" s="193"/>
      <c r="B48" s="70"/>
      <c r="L48" s="22"/>
    </row>
    <row r="49" spans="1:12" s="68" customFormat="1" ht="18.75" customHeight="1" x14ac:dyDescent="0.15">
      <c r="A49" s="193"/>
      <c r="B49" s="70"/>
      <c r="L49" s="22"/>
    </row>
    <row r="50" spans="1:12" s="68" customFormat="1" ht="18.75" customHeight="1" x14ac:dyDescent="0.15">
      <c r="A50" s="193"/>
      <c r="B50" s="70"/>
    </row>
    <row r="51" spans="1:12" s="68" customFormat="1" ht="18.75" customHeight="1" x14ac:dyDescent="0.15">
      <c r="A51" s="192"/>
      <c r="B51" s="70"/>
    </row>
    <row r="52" spans="1:12" s="68" customFormat="1" ht="18.75" customHeight="1" x14ac:dyDescent="0.15">
      <c r="A52" s="192"/>
      <c r="B52" s="70"/>
    </row>
    <row r="53" spans="1:12" s="68" customFormat="1" ht="18.75" customHeight="1" x14ac:dyDescent="0.15">
      <c r="A53" s="192"/>
      <c r="B53" s="70"/>
    </row>
    <row r="54" spans="1:12" s="68" customFormat="1" ht="18.75" customHeight="1" x14ac:dyDescent="0.15">
      <c r="A54" s="192"/>
      <c r="B54" s="70"/>
    </row>
    <row r="55" spans="1:12" s="68" customFormat="1" ht="18.75" customHeight="1" x14ac:dyDescent="0.15">
      <c r="A55" s="192"/>
      <c r="B55" s="70"/>
    </row>
    <row r="56" spans="1:12" s="68" customFormat="1" ht="15" customHeight="1" x14ac:dyDescent="0.15">
      <c r="A56" s="192"/>
      <c r="B56" s="70"/>
    </row>
    <row r="57" spans="1:12" s="68" customFormat="1" ht="15" customHeight="1" x14ac:dyDescent="0.15">
      <c r="A57" s="192"/>
    </row>
    <row r="58" spans="1:12" s="68" customFormat="1" ht="15" customHeight="1" x14ac:dyDescent="0.15">
      <c r="A58" s="192"/>
    </row>
    <row r="59" spans="1:12" s="68" customFormat="1" ht="15" customHeight="1" x14ac:dyDescent="0.15">
      <c r="A59" s="192"/>
    </row>
    <row r="60" spans="1:12" s="68" customFormat="1" ht="15" customHeight="1" x14ac:dyDescent="0.15">
      <c r="A60" s="192"/>
    </row>
    <row r="61" spans="1:12" s="68" customFormat="1" ht="15" customHeight="1" x14ac:dyDescent="0.15">
      <c r="A61" s="192"/>
    </row>
    <row r="62" spans="1:12" s="68" customFormat="1" ht="15" customHeight="1" x14ac:dyDescent="0.15">
      <c r="A62" s="192"/>
    </row>
    <row r="63" spans="1:12" s="68" customFormat="1" ht="15" customHeight="1" x14ac:dyDescent="0.15">
      <c r="A63" s="192"/>
    </row>
    <row r="64" spans="1:12" s="68" customFormat="1" ht="15" customHeight="1" x14ac:dyDescent="0.15">
      <c r="A64" s="192"/>
    </row>
    <row r="65" spans="1:6" s="68" customFormat="1" ht="15" customHeight="1" x14ac:dyDescent="0.15">
      <c r="A65" s="192"/>
    </row>
    <row r="66" spans="1:6" s="68" customFormat="1" ht="15" customHeight="1" x14ac:dyDescent="0.15">
      <c r="A66" s="192"/>
    </row>
    <row r="67" spans="1:6" s="68" customFormat="1" ht="15" customHeight="1" x14ac:dyDescent="0.15">
      <c r="A67" s="192"/>
    </row>
    <row r="68" spans="1:6" s="68" customFormat="1" ht="15" customHeight="1" x14ac:dyDescent="0.15">
      <c r="A68" s="192"/>
      <c r="B68" s="70"/>
      <c r="C68" s="70"/>
    </row>
    <row r="69" spans="1:6" s="68" customFormat="1" ht="15" customHeight="1" x14ac:dyDescent="0.15">
      <c r="A69" s="192"/>
      <c r="B69" s="70"/>
      <c r="C69" s="70"/>
    </row>
    <row r="70" spans="1:6" s="68" customFormat="1" ht="15" customHeight="1" x14ac:dyDescent="0.15">
      <c r="A70" s="192"/>
      <c r="B70" s="70"/>
      <c r="C70" s="70"/>
    </row>
    <row r="71" spans="1:6" s="68" customFormat="1" ht="15" customHeight="1" x14ac:dyDescent="0.15">
      <c r="A71" s="192"/>
      <c r="B71" s="70"/>
      <c r="C71" s="70"/>
    </row>
    <row r="72" spans="1:6" s="68" customFormat="1" ht="15" customHeight="1" x14ac:dyDescent="0.15">
      <c r="A72" s="192"/>
      <c r="B72" s="70"/>
      <c r="C72" s="70"/>
    </row>
    <row r="73" spans="1:6" s="68" customFormat="1" ht="15" customHeight="1" x14ac:dyDescent="0.15">
      <c r="A73" s="192"/>
      <c r="B73" s="70"/>
      <c r="C73" s="70"/>
    </row>
    <row r="74" spans="1:6" s="68" customFormat="1" ht="15" customHeight="1" x14ac:dyDescent="0.15">
      <c r="A74" s="192"/>
      <c r="B74" s="70"/>
      <c r="C74" s="70"/>
    </row>
    <row r="75" spans="1:6" s="68" customFormat="1" ht="15" customHeight="1" x14ac:dyDescent="0.15">
      <c r="A75" s="192"/>
      <c r="B75" s="70"/>
      <c r="C75" s="70"/>
    </row>
    <row r="76" spans="1:6" s="68" customFormat="1" ht="15" customHeight="1" x14ac:dyDescent="0.15">
      <c r="A76" s="192"/>
      <c r="B76" s="70"/>
      <c r="C76" s="70"/>
    </row>
    <row r="77" spans="1:6" s="68" customFormat="1" ht="15" customHeight="1" x14ac:dyDescent="0.15">
      <c r="A77" s="192"/>
      <c r="B77" s="70"/>
      <c r="C77" s="70"/>
    </row>
    <row r="78" spans="1:6" s="68" customFormat="1" ht="15" customHeight="1" x14ac:dyDescent="0.15">
      <c r="A78" s="192"/>
      <c r="B78" s="70"/>
      <c r="C78" s="70"/>
      <c r="E78" s="22"/>
      <c r="F78" s="22"/>
    </row>
    <row r="79" spans="1:6" s="68" customFormat="1" ht="15" customHeight="1" x14ac:dyDescent="0.15">
      <c r="A79" s="192"/>
      <c r="B79" s="2"/>
      <c r="C79" s="2"/>
      <c r="D79" s="22"/>
      <c r="E79" s="22"/>
      <c r="F79" s="22"/>
    </row>
    <row r="80" spans="1:6" s="68" customFormat="1" ht="15" customHeight="1" x14ac:dyDescent="0.15">
      <c r="A80" s="192"/>
      <c r="B80" s="2"/>
      <c r="C80" s="2"/>
      <c r="D80" s="22"/>
      <c r="E80" s="132"/>
      <c r="F80" s="22"/>
    </row>
    <row r="81" spans="1:14" s="68" customFormat="1" ht="15" customHeight="1" x14ac:dyDescent="0.15">
      <c r="A81" s="192"/>
      <c r="B81" s="132"/>
      <c r="C81" s="132"/>
      <c r="D81" s="132"/>
      <c r="E81" s="22"/>
      <c r="F81" s="22"/>
    </row>
    <row r="82" spans="1:14" s="68" customFormat="1" ht="15" customHeight="1" x14ac:dyDescent="0.15">
      <c r="A82" s="192"/>
      <c r="B82" s="2"/>
      <c r="C82" s="2"/>
      <c r="D82" s="22"/>
      <c r="E82" s="22"/>
      <c r="F82" s="22"/>
      <c r="G82" s="22"/>
    </row>
    <row r="83" spans="1:14" s="68" customFormat="1" ht="15" customHeight="1" x14ac:dyDescent="0.15">
      <c r="A83" s="192"/>
      <c r="B83" s="2"/>
      <c r="C83" s="22"/>
      <c r="D83" s="22"/>
      <c r="E83" s="22"/>
      <c r="F83" s="22"/>
      <c r="G83" s="22"/>
      <c r="H83" s="22"/>
    </row>
    <row r="84" spans="1:14" s="68" customFormat="1" ht="15" customHeight="1" x14ac:dyDescent="0.15">
      <c r="A84" s="192"/>
      <c r="B84" s="2"/>
      <c r="C84" s="22"/>
      <c r="D84" s="22"/>
      <c r="E84" s="22"/>
      <c r="F84" s="22"/>
      <c r="G84" s="22"/>
      <c r="H84" s="22"/>
    </row>
    <row r="85" spans="1:14" s="68" customFormat="1" ht="15" customHeight="1" x14ac:dyDescent="0.15">
      <c r="A85" s="192"/>
      <c r="B85" s="2"/>
      <c r="C85" s="22"/>
      <c r="D85" s="22"/>
      <c r="E85" s="22"/>
      <c r="F85" s="22"/>
      <c r="G85" s="22"/>
      <c r="H85" s="22"/>
    </row>
    <row r="86" spans="1:14" s="68" customFormat="1" ht="15" customHeight="1" x14ac:dyDescent="0.15">
      <c r="A86" s="192"/>
      <c r="B86" s="2"/>
      <c r="C86" s="22"/>
      <c r="D86" s="22"/>
      <c r="E86" s="22"/>
      <c r="F86" s="22"/>
      <c r="G86" s="22"/>
      <c r="H86" s="22"/>
    </row>
    <row r="87" spans="1:14" s="68" customFormat="1" ht="15" customHeight="1" x14ac:dyDescent="0.15">
      <c r="A87" s="192"/>
      <c r="B87" s="2"/>
      <c r="C87" s="22"/>
      <c r="D87" s="22"/>
      <c r="E87" s="22"/>
      <c r="F87" s="132"/>
      <c r="G87" s="22"/>
      <c r="H87" s="22"/>
      <c r="I87" s="22"/>
    </row>
    <row r="88" spans="1:14" s="68" customFormat="1" ht="15" customHeight="1" x14ac:dyDescent="0.15">
      <c r="A88" s="192"/>
      <c r="B88" s="22"/>
      <c r="C88" s="22"/>
      <c r="D88" s="22"/>
      <c r="E88" s="22"/>
      <c r="F88" s="22"/>
      <c r="G88" s="22"/>
      <c r="H88" s="22"/>
      <c r="I88" s="22"/>
    </row>
    <row r="89" spans="1:14" s="68" customFormat="1" ht="22.5" customHeight="1" x14ac:dyDescent="0.15">
      <c r="A89" s="192"/>
      <c r="B89" s="22"/>
      <c r="C89" s="22"/>
      <c r="D89" s="22"/>
      <c r="E89" s="22"/>
      <c r="F89" s="22"/>
      <c r="G89" s="22"/>
      <c r="H89" s="22"/>
      <c r="I89" s="22"/>
    </row>
    <row r="90" spans="1:14" s="68" customFormat="1" ht="21" customHeight="1" x14ac:dyDescent="0.2">
      <c r="A90" s="194"/>
      <c r="B90" s="22"/>
      <c r="C90" s="22"/>
      <c r="D90" s="22"/>
      <c r="E90" s="22"/>
      <c r="F90" s="22"/>
      <c r="G90" s="22"/>
      <c r="H90" s="22"/>
      <c r="I90" s="22"/>
    </row>
    <row r="91" spans="1:14" s="22" customFormat="1" ht="18.75" customHeight="1" x14ac:dyDescent="0.15">
      <c r="A91" s="39"/>
      <c r="I91" s="49"/>
      <c r="J91" s="68"/>
      <c r="K91" s="68"/>
      <c r="L91" s="68"/>
      <c r="M91" s="68"/>
      <c r="N91" s="68"/>
    </row>
    <row r="92" spans="1:14" s="22" customFormat="1" ht="33.75" customHeight="1" x14ac:dyDescent="0.15">
      <c r="A92" s="39"/>
      <c r="E92" s="44"/>
      <c r="F92" s="44"/>
      <c r="J92" s="68"/>
      <c r="K92" s="68"/>
      <c r="L92" s="68"/>
      <c r="M92" s="68"/>
      <c r="N92" s="68"/>
    </row>
    <row r="93" spans="1:14" s="22" customFormat="1" ht="33.75" customHeight="1" x14ac:dyDescent="0.15">
      <c r="A93" s="39"/>
      <c r="C93" s="43"/>
      <c r="D93" s="43"/>
      <c r="G93" s="43"/>
      <c r="J93" s="68"/>
      <c r="K93" s="68"/>
      <c r="L93" s="68"/>
      <c r="M93" s="68"/>
      <c r="N93" s="68"/>
    </row>
    <row r="94" spans="1:14" s="22" customFormat="1" ht="33.75" customHeight="1" x14ac:dyDescent="0.15">
      <c r="A94" s="39"/>
      <c r="J94" s="68"/>
      <c r="K94" s="68"/>
      <c r="L94" s="68"/>
      <c r="M94" s="68"/>
      <c r="N94" s="68"/>
    </row>
    <row r="95" spans="1:14" s="22" customFormat="1" ht="33.75" customHeight="1" x14ac:dyDescent="0.15">
      <c r="A95" s="39"/>
      <c r="J95" s="68"/>
      <c r="K95" s="68"/>
      <c r="L95" s="68"/>
      <c r="M95" s="68"/>
      <c r="N95" s="68"/>
    </row>
    <row r="96" spans="1:14" s="22" customFormat="1" ht="33.75" customHeight="1" x14ac:dyDescent="0.15">
      <c r="A96" s="39"/>
      <c r="L96" s="68"/>
      <c r="M96" s="68"/>
      <c r="N96" s="68"/>
    </row>
    <row r="97" spans="1:14" s="22" customFormat="1" ht="30" customHeight="1" x14ac:dyDescent="0.15">
      <c r="A97" s="39"/>
      <c r="L97" s="68"/>
    </row>
    <row r="98" spans="1:14" s="22" customFormat="1" ht="30" customHeight="1" x14ac:dyDescent="0.15">
      <c r="A98" s="39"/>
      <c r="L98" s="68"/>
    </row>
    <row r="99" spans="1:14" s="22" customFormat="1" ht="52.5" customHeight="1" x14ac:dyDescent="0.15">
      <c r="A99" s="39"/>
    </row>
    <row r="100" spans="1:14" s="22" customFormat="1" ht="15" customHeight="1" x14ac:dyDescent="0.15">
      <c r="A100" s="39"/>
    </row>
    <row r="101" spans="1:14" s="49" customFormat="1" ht="34.5" customHeight="1" x14ac:dyDescent="0.15">
      <c r="A101" s="191"/>
      <c r="B101" s="22"/>
      <c r="C101" s="22"/>
      <c r="D101" s="22"/>
      <c r="E101" s="22"/>
      <c r="F101" s="22"/>
      <c r="G101" s="22"/>
      <c r="H101" s="22"/>
      <c r="I101" s="22"/>
      <c r="J101" s="22"/>
      <c r="K101" s="22"/>
      <c r="L101" s="22"/>
      <c r="M101" s="22"/>
      <c r="N101" s="22"/>
    </row>
    <row r="102" spans="1:14" s="22" customFormat="1" ht="15" customHeight="1" x14ac:dyDescent="0.15">
      <c r="A102" s="39"/>
    </row>
    <row r="103" spans="1:14" s="22" customFormat="1" ht="15" customHeight="1" x14ac:dyDescent="0.15"/>
    <row r="104" spans="1:14" s="22" customFormat="1" ht="26.25" customHeight="1" x14ac:dyDescent="0.15">
      <c r="J104" s="49"/>
    </row>
    <row r="105" spans="1:14" s="22" customFormat="1" ht="22.5" customHeight="1" x14ac:dyDescent="0.15">
      <c r="K105" s="49"/>
    </row>
    <row r="106" spans="1:14" s="22" customFormat="1" ht="22.5" customHeight="1" x14ac:dyDescent="0.15">
      <c r="I106" s="49"/>
    </row>
    <row r="107" spans="1:14" s="22" customFormat="1" ht="22.5" customHeight="1" x14ac:dyDescent="0.15">
      <c r="H107" s="49"/>
      <c r="L107" s="49"/>
    </row>
    <row r="108" spans="1:14" s="22" customFormat="1" ht="22.5" customHeight="1" x14ac:dyDescent="0.15"/>
    <row r="109" spans="1:14" s="22" customFormat="1" ht="22.5" customHeight="1" x14ac:dyDescent="0.15"/>
    <row r="110" spans="1:14" s="22" customFormat="1" ht="22.5" customHeight="1" x14ac:dyDescent="0.15">
      <c r="E110" s="197"/>
    </row>
    <row r="111" spans="1:14" s="22" customFormat="1" ht="22.5" customHeight="1" x14ac:dyDescent="0.15">
      <c r="A111" s="196"/>
      <c r="B111" s="1644"/>
      <c r="C111" s="1644"/>
      <c r="D111" s="1645"/>
    </row>
    <row r="112" spans="1:14" s="22" customFormat="1" ht="11.25" customHeight="1" x14ac:dyDescent="0.15">
      <c r="A112" s="200"/>
    </row>
    <row r="113" spans="1:7" s="22" customFormat="1" ht="26.25" customHeight="1" x14ac:dyDescent="0.15">
      <c r="A113" s="199"/>
    </row>
    <row r="114" spans="1:7" s="22" customFormat="1" ht="22.5" customHeight="1" x14ac:dyDescent="0.15">
      <c r="A114" s="199"/>
    </row>
    <row r="115" spans="1:7" s="22" customFormat="1" ht="22.5" customHeight="1" x14ac:dyDescent="0.15">
      <c r="A115" s="195"/>
    </row>
    <row r="116" spans="1:7" s="22" customFormat="1" ht="23.25" customHeight="1" x14ac:dyDescent="0.15">
      <c r="A116" s="195"/>
    </row>
    <row r="117" spans="1:7" s="22" customFormat="1" ht="22.5" customHeight="1" x14ac:dyDescent="0.15">
      <c r="A117" s="195"/>
    </row>
    <row r="118" spans="1:7" s="22" customFormat="1" ht="22.5" customHeight="1" x14ac:dyDescent="0.15">
      <c r="A118" s="195"/>
    </row>
    <row r="119" spans="1:7" s="22" customFormat="1" ht="22.5" customHeight="1" x14ac:dyDescent="0.15">
      <c r="A119" s="195"/>
    </row>
    <row r="120" spans="1:7" s="22" customFormat="1" ht="22.5" customHeight="1" x14ac:dyDescent="0.15">
      <c r="A120" s="195"/>
      <c r="E120"/>
    </row>
    <row r="121" spans="1:7" s="22" customFormat="1" ht="11.25" customHeight="1" x14ac:dyDescent="0.15">
      <c r="B121"/>
      <c r="E121"/>
    </row>
    <row r="122" spans="1:7" s="22" customFormat="1" ht="15" customHeight="1" x14ac:dyDescent="0.15">
      <c r="B122"/>
      <c r="E122"/>
    </row>
    <row r="123" spans="1:7" s="22" customFormat="1" ht="26.25" customHeight="1" x14ac:dyDescent="0.15">
      <c r="B123"/>
      <c r="E123"/>
    </row>
    <row r="124" spans="1:7" s="22" customFormat="1" ht="22.5" customHeight="1" x14ac:dyDescent="0.15">
      <c r="B124"/>
      <c r="E124"/>
    </row>
    <row r="125" spans="1:7" s="22" customFormat="1" ht="22.5" customHeight="1" x14ac:dyDescent="0.15">
      <c r="B125"/>
      <c r="E125"/>
      <c r="F125"/>
    </row>
    <row r="126" spans="1:7" s="22" customFormat="1" ht="23.25" customHeight="1" x14ac:dyDescent="0.15">
      <c r="B126"/>
      <c r="E126"/>
      <c r="F126"/>
      <c r="G126"/>
    </row>
    <row r="127" spans="1:7" s="22" customFormat="1" ht="22.5" customHeight="1" x14ac:dyDescent="0.15">
      <c r="B127"/>
      <c r="E127"/>
      <c r="F127"/>
      <c r="G127"/>
    </row>
    <row r="128" spans="1:7" s="22" customFormat="1" ht="22.5" customHeight="1" x14ac:dyDescent="0.15">
      <c r="B128"/>
      <c r="E128"/>
      <c r="F128"/>
      <c r="G128"/>
    </row>
    <row r="129" spans="2:12" s="22" customFormat="1" ht="22.5" customHeight="1" x14ac:dyDescent="0.15">
      <c r="B129"/>
      <c r="E129"/>
      <c r="F129"/>
      <c r="G129"/>
    </row>
    <row r="130" spans="2:12" s="22" customFormat="1" ht="22.5" customHeight="1" x14ac:dyDescent="0.15">
      <c r="B130"/>
      <c r="E130"/>
      <c r="F130"/>
      <c r="G130"/>
    </row>
    <row r="131" spans="2:12" s="22" customFormat="1" ht="11.25" customHeight="1" x14ac:dyDescent="0.15">
      <c r="B131"/>
      <c r="E131"/>
      <c r="F131"/>
      <c r="G131"/>
    </row>
    <row r="132" spans="2:12" s="22" customFormat="1" ht="26.25" customHeight="1" x14ac:dyDescent="0.15">
      <c r="B132"/>
      <c r="E132"/>
      <c r="F132"/>
      <c r="G132"/>
    </row>
    <row r="133" spans="2:12" s="22" customFormat="1" ht="22.5" customHeight="1" x14ac:dyDescent="0.15">
      <c r="B133"/>
      <c r="E133"/>
      <c r="F133"/>
      <c r="G133"/>
    </row>
    <row r="134" spans="2:12" s="22" customFormat="1" ht="22.5" customHeight="1" x14ac:dyDescent="0.15">
      <c r="B134"/>
      <c r="E134"/>
      <c r="F134"/>
      <c r="G134"/>
    </row>
    <row r="135" spans="2:12" s="22" customFormat="1" ht="23.25" customHeight="1" x14ac:dyDescent="0.15">
      <c r="B135"/>
      <c r="E135"/>
      <c r="F135"/>
      <c r="G135"/>
    </row>
    <row r="136" spans="2:12" s="22" customFormat="1" ht="22.5" customHeight="1" x14ac:dyDescent="0.15">
      <c r="B136"/>
      <c r="E136"/>
      <c r="F136"/>
      <c r="G136"/>
    </row>
    <row r="137" spans="2:12" s="22" customFormat="1" ht="22.5" customHeight="1" x14ac:dyDescent="0.15">
      <c r="B137"/>
      <c r="E137"/>
      <c r="F137"/>
      <c r="G137"/>
      <c r="J137"/>
    </row>
    <row r="138" spans="2:12" s="22" customFormat="1" ht="22.5" customHeight="1" x14ac:dyDescent="0.15">
      <c r="B138"/>
      <c r="E138"/>
      <c r="F138"/>
      <c r="G138"/>
      <c r="J138"/>
      <c r="K138"/>
    </row>
    <row r="139" spans="2:12" s="22" customFormat="1" ht="22.5" customHeight="1" x14ac:dyDescent="0.15">
      <c r="B139"/>
      <c r="E139"/>
      <c r="F139"/>
      <c r="G139"/>
      <c r="I139"/>
      <c r="J139"/>
      <c r="K139"/>
    </row>
    <row r="140" spans="2:12" s="22" customFormat="1" ht="11.25" customHeight="1" x14ac:dyDescent="0.15">
      <c r="B140"/>
      <c r="E140"/>
      <c r="G140"/>
      <c r="H140"/>
      <c r="I140"/>
      <c r="J140"/>
      <c r="K140"/>
      <c r="L140"/>
    </row>
  </sheetData>
  <sheetProtection algorithmName="SHA-512" hashValue="Zv579OGobG+bfJeec/6hEMB7gBhqLlGa4BJUvAibEthA1pH1BjM3WlTqPzWdlmyQlAgqfcz03pp0tfLBTJi5bQ==" saltValue="/A72bmMs3vVA06GLSWVcyA==" spinCount="100000" sheet="1" selectLockedCells="1"/>
  <mergeCells count="17">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 ref="M13:N13"/>
    <mergeCell ref="B2:E2"/>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04525-408E-45B3-AD82-88B49F86FEBF}">
  <sheetPr>
    <pageSetUpPr fitToPage="1"/>
  </sheetPr>
  <dimension ref="B1:Y28"/>
  <sheetViews>
    <sheetView view="pageBreakPreview" zoomScale="40" zoomScaleNormal="40" zoomScaleSheetLayoutView="40" workbookViewId="0">
      <pane ySplit="2" topLeftCell="A6" activePane="bottomLeft" state="frozen"/>
      <selection activeCell="B1" sqref="B1"/>
      <selection pane="bottomLeft" activeCell="C20" sqref="C20"/>
    </sheetView>
  </sheetViews>
  <sheetFormatPr defaultRowHeight="13.5" x14ac:dyDescent="0.15"/>
  <cols>
    <col min="1" max="1" width="24.5" customWidth="1"/>
    <col min="2" max="25" width="20.75" customWidth="1"/>
    <col min="26" max="26" width="13.25" customWidth="1"/>
  </cols>
  <sheetData>
    <row r="1" spans="2:25" ht="51" customHeight="1" x14ac:dyDescent="0.15">
      <c r="B1" s="1658" t="s">
        <v>693</v>
      </c>
      <c r="C1" s="1659"/>
      <c r="D1" s="1659"/>
      <c r="E1" s="1659"/>
      <c r="F1" s="1659"/>
      <c r="G1" s="1659"/>
      <c r="H1" s="1659"/>
      <c r="I1" s="1659"/>
      <c r="J1" s="1659"/>
      <c r="K1" s="1659"/>
      <c r="L1" s="1659"/>
      <c r="M1" s="1659"/>
      <c r="N1" s="1659"/>
      <c r="O1" s="1659"/>
      <c r="P1" s="1659"/>
      <c r="Q1" s="1659"/>
      <c r="R1" s="1659"/>
      <c r="S1" s="1659"/>
      <c r="T1" s="1659"/>
      <c r="U1" s="1659"/>
      <c r="V1" s="1659"/>
      <c r="W1" s="1659"/>
      <c r="X1" s="1659"/>
      <c r="Y1" s="1660"/>
    </row>
    <row r="2" spans="2:25" s="1316" customFormat="1" ht="82.5" customHeight="1" x14ac:dyDescent="0.15">
      <c r="B2" s="1355" t="s">
        <v>586</v>
      </c>
      <c r="C2" s="1355" t="s">
        <v>655</v>
      </c>
      <c r="D2" s="1355" t="s">
        <v>630</v>
      </c>
      <c r="E2" s="1355" t="s">
        <v>631</v>
      </c>
      <c r="F2" s="1355" t="s">
        <v>632</v>
      </c>
      <c r="G2" s="1355" t="s">
        <v>633</v>
      </c>
      <c r="H2" s="1355" t="s">
        <v>634</v>
      </c>
      <c r="I2" s="1356" t="s">
        <v>635</v>
      </c>
      <c r="J2" s="1355" t="s">
        <v>623</v>
      </c>
      <c r="K2" s="1356" t="s">
        <v>624</v>
      </c>
      <c r="L2" s="1355" t="s">
        <v>585</v>
      </c>
      <c r="M2" s="1356" t="s">
        <v>590</v>
      </c>
      <c r="N2" s="1357" t="s">
        <v>608</v>
      </c>
      <c r="O2" s="1358" t="s">
        <v>609</v>
      </c>
      <c r="P2" s="1357" t="s">
        <v>584</v>
      </c>
      <c r="Q2" s="1359" t="s">
        <v>591</v>
      </c>
      <c r="R2" s="1355" t="s">
        <v>587</v>
      </c>
      <c r="S2" s="1356" t="s">
        <v>599</v>
      </c>
      <c r="T2" s="1355" t="s">
        <v>588</v>
      </c>
      <c r="U2" s="1356" t="s">
        <v>600</v>
      </c>
      <c r="V2" s="1355" t="s">
        <v>589</v>
      </c>
      <c r="W2" s="1356" t="s">
        <v>601</v>
      </c>
      <c r="X2" s="1360" t="s">
        <v>653</v>
      </c>
      <c r="Y2" s="1361" t="s">
        <v>654</v>
      </c>
    </row>
    <row r="3" spans="2:25" s="1316" customFormat="1" ht="82.5" customHeight="1" x14ac:dyDescent="0.15">
      <c r="B3" s="1362"/>
      <c r="C3" s="1362"/>
      <c r="D3" s="1362"/>
      <c r="E3" s="1362"/>
      <c r="F3" s="1362"/>
      <c r="G3" s="1362"/>
      <c r="H3" s="1362"/>
      <c r="I3" s="1363"/>
      <c r="J3" s="1362"/>
      <c r="K3" s="1363"/>
      <c r="L3" s="1362"/>
      <c r="M3" s="1363"/>
      <c r="N3" s="1362"/>
      <c r="O3" s="1363"/>
      <c r="P3" s="1362"/>
      <c r="Q3" s="1363"/>
      <c r="R3" s="1362"/>
      <c r="S3" s="1363"/>
      <c r="T3" s="1362"/>
      <c r="U3" s="1363"/>
      <c r="V3" s="1362"/>
      <c r="W3" s="1363"/>
      <c r="X3" s="1364"/>
      <c r="Y3" s="1365"/>
    </row>
    <row r="4" spans="2:25" s="1316" customFormat="1" ht="82.5" customHeight="1" x14ac:dyDescent="0.15">
      <c r="B4" s="1366" t="s">
        <v>603</v>
      </c>
      <c r="C4" s="1366" t="s">
        <v>657</v>
      </c>
      <c r="D4" s="1366" t="s">
        <v>603</v>
      </c>
      <c r="E4" s="1366" t="s">
        <v>530</v>
      </c>
      <c r="F4" s="1366" t="s">
        <v>603</v>
      </c>
      <c r="G4" s="1366" t="s">
        <v>530</v>
      </c>
      <c r="H4" s="1366" t="s">
        <v>648</v>
      </c>
      <c r="I4" s="1367" t="s">
        <v>530</v>
      </c>
      <c r="J4" s="1366" t="s">
        <v>626</v>
      </c>
      <c r="K4" s="1367" t="s">
        <v>627</v>
      </c>
      <c r="L4" s="1366" t="s">
        <v>612</v>
      </c>
      <c r="M4" s="1367" t="s">
        <v>616</v>
      </c>
      <c r="N4" s="1366" t="s">
        <v>603</v>
      </c>
      <c r="O4" s="1367" t="s">
        <v>530</v>
      </c>
      <c r="P4" s="1362" t="s">
        <v>670</v>
      </c>
      <c r="Q4" s="1367" t="s">
        <v>592</v>
      </c>
      <c r="R4" s="1366" t="s">
        <v>602</v>
      </c>
      <c r="S4" s="1367" t="s">
        <v>605</v>
      </c>
      <c r="T4" s="1366" t="s">
        <v>607</v>
      </c>
      <c r="U4" s="1367" t="s">
        <v>592</v>
      </c>
      <c r="V4" s="1366" t="s">
        <v>602</v>
      </c>
      <c r="W4" s="1367" t="s">
        <v>605</v>
      </c>
      <c r="X4" s="1368" t="s">
        <v>566</v>
      </c>
      <c r="Y4" s="1369" t="s">
        <v>525</v>
      </c>
    </row>
    <row r="5" spans="2:25" s="1316" customFormat="1" ht="82.5" customHeight="1" x14ac:dyDescent="0.15">
      <c r="B5" s="1366" t="s">
        <v>579</v>
      </c>
      <c r="C5" s="1366" t="s">
        <v>656</v>
      </c>
      <c r="D5" s="1366" t="s">
        <v>575</v>
      </c>
      <c r="E5" s="1366" t="s">
        <v>636</v>
      </c>
      <c r="F5" s="1366" t="s">
        <v>575</v>
      </c>
      <c r="G5" s="1366" t="s">
        <v>636</v>
      </c>
      <c r="H5" s="1366" t="s">
        <v>603</v>
      </c>
      <c r="I5" s="1367" t="s">
        <v>636</v>
      </c>
      <c r="J5" s="1366" t="s">
        <v>576</v>
      </c>
      <c r="K5" s="1367" t="s">
        <v>628</v>
      </c>
      <c r="L5" s="1366" t="s">
        <v>613</v>
      </c>
      <c r="M5" s="1367" t="s">
        <v>592</v>
      </c>
      <c r="N5" s="1366" t="s">
        <v>626</v>
      </c>
      <c r="O5" s="1367" t="s">
        <v>627</v>
      </c>
      <c r="P5" s="1366" t="s">
        <v>573</v>
      </c>
      <c r="Q5" s="1367" t="s">
        <v>593</v>
      </c>
      <c r="R5" s="1366" t="s">
        <v>603</v>
      </c>
      <c r="S5" s="1367" t="s">
        <v>530</v>
      </c>
      <c r="T5" s="1366" t="s">
        <v>603</v>
      </c>
      <c r="U5" s="1367" t="s">
        <v>530</v>
      </c>
      <c r="V5" s="1366" t="s">
        <v>603</v>
      </c>
      <c r="W5" s="1367" t="s">
        <v>530</v>
      </c>
      <c r="X5" s="1368" t="s">
        <v>622</v>
      </c>
      <c r="Y5" s="1369" t="s">
        <v>622</v>
      </c>
    </row>
    <row r="6" spans="2:25" s="1316" customFormat="1" ht="82.5" customHeight="1" x14ac:dyDescent="0.15">
      <c r="B6" s="1366" t="s">
        <v>580</v>
      </c>
      <c r="C6" s="1366" t="s">
        <v>606</v>
      </c>
      <c r="D6" s="1366"/>
      <c r="E6" s="1366"/>
      <c r="F6" s="1366" t="s">
        <v>576</v>
      </c>
      <c r="G6" s="1370" t="s">
        <v>596</v>
      </c>
      <c r="H6" s="1366" t="s">
        <v>575</v>
      </c>
      <c r="I6" s="1371" t="s">
        <v>596</v>
      </c>
      <c r="J6" s="1366" t="s">
        <v>578</v>
      </c>
      <c r="K6" s="1367" t="s">
        <v>629</v>
      </c>
      <c r="L6" s="1366" t="s">
        <v>614</v>
      </c>
      <c r="M6" s="1367" t="s">
        <v>617</v>
      </c>
      <c r="N6" s="1366" t="s">
        <v>576</v>
      </c>
      <c r="O6" s="1367" t="s">
        <v>628</v>
      </c>
      <c r="P6" s="1366" t="s">
        <v>671</v>
      </c>
      <c r="Q6" s="1367" t="s">
        <v>617</v>
      </c>
      <c r="R6" s="1366" t="s">
        <v>626</v>
      </c>
      <c r="S6" s="1367" t="s">
        <v>627</v>
      </c>
      <c r="T6" s="1366" t="s">
        <v>579</v>
      </c>
      <c r="U6" s="1367" t="s">
        <v>598</v>
      </c>
      <c r="V6" s="1366" t="s">
        <v>579</v>
      </c>
      <c r="W6" s="1367" t="s">
        <v>598</v>
      </c>
      <c r="X6" s="1368"/>
      <c r="Y6" s="1369"/>
    </row>
    <row r="7" spans="2:25" s="1316" customFormat="1" ht="82.5" customHeight="1" x14ac:dyDescent="0.15">
      <c r="B7" s="1366" t="s">
        <v>604</v>
      </c>
      <c r="C7" s="1366"/>
      <c r="D7" s="1366"/>
      <c r="E7" s="1366"/>
      <c r="F7" s="1366" t="s">
        <v>577</v>
      </c>
      <c r="G7" s="1366" t="s">
        <v>597</v>
      </c>
      <c r="H7" s="1366" t="s">
        <v>576</v>
      </c>
      <c r="I7" s="1367" t="s">
        <v>597</v>
      </c>
      <c r="J7" s="1366" t="s">
        <v>579</v>
      </c>
      <c r="K7" s="1367" t="s">
        <v>598</v>
      </c>
      <c r="L7" s="1366" t="s">
        <v>615</v>
      </c>
      <c r="M7" s="1371" t="s">
        <v>618</v>
      </c>
      <c r="N7" s="1366" t="s">
        <v>578</v>
      </c>
      <c r="O7" s="1367" t="s">
        <v>629</v>
      </c>
      <c r="P7" s="1366" t="s">
        <v>574</v>
      </c>
      <c r="Q7" s="1371" t="s">
        <v>672</v>
      </c>
      <c r="R7" s="1366" t="s">
        <v>576</v>
      </c>
      <c r="S7" s="1367" t="s">
        <v>628</v>
      </c>
      <c r="T7" s="1366" t="s">
        <v>580</v>
      </c>
      <c r="U7" s="1367" t="s">
        <v>610</v>
      </c>
      <c r="V7" s="1366" t="s">
        <v>580</v>
      </c>
      <c r="W7" s="1367" t="s">
        <v>610</v>
      </c>
      <c r="X7" s="1368"/>
      <c r="Y7" s="1369"/>
    </row>
    <row r="8" spans="2:25" s="1316" customFormat="1" ht="82.5" customHeight="1" x14ac:dyDescent="0.15">
      <c r="B8" s="1366" t="s">
        <v>581</v>
      </c>
      <c r="C8" s="1366"/>
      <c r="D8" s="1366"/>
      <c r="E8" s="1366"/>
      <c r="F8" s="1366" t="s">
        <v>578</v>
      </c>
      <c r="G8" s="1366" t="s">
        <v>598</v>
      </c>
      <c r="H8" s="1366" t="s">
        <v>577</v>
      </c>
      <c r="I8" s="1367" t="s">
        <v>598</v>
      </c>
      <c r="J8" s="1366" t="s">
        <v>580</v>
      </c>
      <c r="K8" s="1367" t="s">
        <v>610</v>
      </c>
      <c r="L8" s="1366" t="s">
        <v>692</v>
      </c>
      <c r="M8" s="1371" t="s">
        <v>596</v>
      </c>
      <c r="N8" s="1366" t="s">
        <v>579</v>
      </c>
      <c r="O8" s="1367" t="s">
        <v>598</v>
      </c>
      <c r="P8" s="1366" t="s">
        <v>661</v>
      </c>
      <c r="Q8" s="1367" t="s">
        <v>594</v>
      </c>
      <c r="R8" s="1366" t="s">
        <v>578</v>
      </c>
      <c r="S8" s="1367" t="s">
        <v>629</v>
      </c>
      <c r="T8" s="1366" t="s">
        <v>625</v>
      </c>
      <c r="U8" s="1367" t="s">
        <v>606</v>
      </c>
      <c r="V8" s="1366" t="s">
        <v>625</v>
      </c>
      <c r="W8" s="1367" t="s">
        <v>606</v>
      </c>
      <c r="X8" s="1368"/>
      <c r="Y8" s="1369"/>
    </row>
    <row r="9" spans="2:25" s="1316" customFormat="1" ht="82.5" customHeight="1" x14ac:dyDescent="0.15">
      <c r="B9" s="1366"/>
      <c r="C9" s="1366"/>
      <c r="D9" s="1366"/>
      <c r="E9" s="1366"/>
      <c r="F9" s="1366" t="s">
        <v>579</v>
      </c>
      <c r="G9" s="1366" t="s">
        <v>611</v>
      </c>
      <c r="H9" s="1366" t="s">
        <v>578</v>
      </c>
      <c r="I9" s="1367" t="s">
        <v>611</v>
      </c>
      <c r="J9" s="1366" t="s">
        <v>625</v>
      </c>
      <c r="K9" s="1367" t="s">
        <v>606</v>
      </c>
      <c r="L9" s="1372" t="s">
        <v>574</v>
      </c>
      <c r="M9" s="1367" t="s">
        <v>597</v>
      </c>
      <c r="N9" s="1366" t="s">
        <v>580</v>
      </c>
      <c r="O9" s="1367" t="s">
        <v>610</v>
      </c>
      <c r="P9" s="1366" t="s">
        <v>673</v>
      </c>
      <c r="Q9" s="1371" t="s">
        <v>595</v>
      </c>
      <c r="R9" s="1366" t="s">
        <v>579</v>
      </c>
      <c r="S9" s="1367" t="s">
        <v>598</v>
      </c>
      <c r="T9" s="1366"/>
      <c r="U9" s="1367"/>
      <c r="V9" s="1366"/>
      <c r="W9" s="1367"/>
      <c r="X9" s="1368"/>
      <c r="Y9" s="1369"/>
    </row>
    <row r="10" spans="2:25" s="1316" customFormat="1" ht="82.5" customHeight="1" x14ac:dyDescent="0.15">
      <c r="B10" s="1366"/>
      <c r="C10" s="1366"/>
      <c r="D10" s="1366"/>
      <c r="E10" s="1366"/>
      <c r="F10" s="1366" t="s">
        <v>580</v>
      </c>
      <c r="G10" s="1366" t="s">
        <v>606</v>
      </c>
      <c r="H10" s="1366" t="s">
        <v>579</v>
      </c>
      <c r="I10" s="1367" t="s">
        <v>606</v>
      </c>
      <c r="J10" s="1366" t="s">
        <v>622</v>
      </c>
      <c r="K10" s="1367"/>
      <c r="L10" s="1366" t="s">
        <v>673</v>
      </c>
      <c r="M10" s="1367" t="s">
        <v>598</v>
      </c>
      <c r="N10" s="1366" t="s">
        <v>625</v>
      </c>
      <c r="O10" s="1367" t="s">
        <v>606</v>
      </c>
      <c r="P10" s="1370" t="s">
        <v>674</v>
      </c>
      <c r="Q10" s="1371" t="s">
        <v>596</v>
      </c>
      <c r="R10" s="1366" t="s">
        <v>580</v>
      </c>
      <c r="S10" s="1367" t="s">
        <v>610</v>
      </c>
      <c r="T10" s="1366"/>
      <c r="U10" s="1367"/>
      <c r="V10" s="1366"/>
      <c r="W10" s="1367"/>
      <c r="X10" s="1368"/>
      <c r="Y10" s="1369"/>
    </row>
    <row r="11" spans="2:25" s="1316" customFormat="1" ht="82.5" customHeight="1" x14ac:dyDescent="0.15">
      <c r="B11" s="1366"/>
      <c r="C11" s="1366"/>
      <c r="D11" s="1366"/>
      <c r="E11" s="1366"/>
      <c r="F11" s="1366" t="s">
        <v>604</v>
      </c>
      <c r="G11" s="1366"/>
      <c r="H11" s="1366" t="s">
        <v>580</v>
      </c>
      <c r="I11" s="1367"/>
      <c r="J11" s="1366"/>
      <c r="K11" s="1367"/>
      <c r="L11" s="1370" t="s">
        <v>675</v>
      </c>
      <c r="M11" s="1366" t="s">
        <v>656</v>
      </c>
      <c r="N11" s="1366" t="s">
        <v>622</v>
      </c>
      <c r="O11" s="1367"/>
      <c r="P11" s="1370" t="s">
        <v>675</v>
      </c>
      <c r="Q11" s="1367" t="s">
        <v>597</v>
      </c>
      <c r="R11" s="1366" t="s">
        <v>625</v>
      </c>
      <c r="S11" s="1367" t="s">
        <v>606</v>
      </c>
      <c r="T11" s="1366"/>
      <c r="U11" s="1367"/>
      <c r="V11" s="1366"/>
      <c r="W11" s="1367"/>
      <c r="X11" s="1368"/>
      <c r="Y11" s="1369"/>
    </row>
    <row r="12" spans="2:25" s="1316" customFormat="1" ht="82.5" customHeight="1" x14ac:dyDescent="0.15">
      <c r="B12" s="1366"/>
      <c r="C12" s="1366"/>
      <c r="D12" s="1366"/>
      <c r="E12" s="1366"/>
      <c r="F12" s="1366"/>
      <c r="G12" s="1366"/>
      <c r="H12" s="1366" t="s">
        <v>604</v>
      </c>
      <c r="I12" s="1367"/>
      <c r="J12" s="1366"/>
      <c r="K12" s="1367"/>
      <c r="L12" s="1366" t="s">
        <v>676</v>
      </c>
      <c r="M12" s="1367" t="s">
        <v>606</v>
      </c>
      <c r="N12" s="1366"/>
      <c r="O12" s="1367"/>
      <c r="P12" s="1366" t="s">
        <v>677</v>
      </c>
      <c r="Q12" s="1367" t="s">
        <v>598</v>
      </c>
      <c r="R12" s="1366" t="s">
        <v>622</v>
      </c>
      <c r="S12" s="1367"/>
      <c r="T12" s="1366"/>
      <c r="U12" s="1367"/>
      <c r="V12" s="1366"/>
      <c r="W12" s="1367"/>
      <c r="X12" s="1368"/>
      <c r="Y12" s="1369"/>
    </row>
    <row r="13" spans="2:25" s="1316" customFormat="1" ht="82.5" customHeight="1" x14ac:dyDescent="0.15">
      <c r="B13" s="1366"/>
      <c r="C13" s="1366"/>
      <c r="D13" s="1366"/>
      <c r="E13" s="1366"/>
      <c r="F13" s="1366"/>
      <c r="G13" s="1366"/>
      <c r="H13" s="1366"/>
      <c r="I13" s="1367"/>
      <c r="J13" s="1366"/>
      <c r="K13" s="1367"/>
      <c r="L13" s="1366" t="s">
        <v>678</v>
      </c>
      <c r="M13" s="1367"/>
      <c r="N13" s="1366"/>
      <c r="O13" s="1367"/>
      <c r="P13" s="1366" t="s">
        <v>678</v>
      </c>
      <c r="Q13" s="1366" t="s">
        <v>656</v>
      </c>
      <c r="R13" s="1366"/>
      <c r="S13" s="1367"/>
      <c r="T13" s="1366"/>
      <c r="U13" s="1367"/>
      <c r="V13" s="1366"/>
      <c r="W13" s="1367"/>
      <c r="X13" s="1368"/>
      <c r="Y13" s="1369"/>
    </row>
    <row r="14" spans="2:25" s="1316" customFormat="1" ht="82.5" customHeight="1" x14ac:dyDescent="0.15">
      <c r="B14" s="1366"/>
      <c r="C14" s="1366"/>
      <c r="D14" s="1366"/>
      <c r="E14" s="1366"/>
      <c r="F14" s="1366"/>
      <c r="G14" s="1366"/>
      <c r="H14" s="1366"/>
      <c r="I14" s="1367"/>
      <c r="J14" s="1366"/>
      <c r="K14" s="1367"/>
      <c r="L14" s="1366" t="s">
        <v>575</v>
      </c>
      <c r="M14" s="1367"/>
      <c r="N14" s="1366"/>
      <c r="O14" s="1367"/>
      <c r="P14" s="1366" t="s">
        <v>575</v>
      </c>
      <c r="Q14" s="1367" t="s">
        <v>606</v>
      </c>
      <c r="R14" s="1366"/>
      <c r="S14" s="1367"/>
      <c r="T14" s="1366"/>
      <c r="U14" s="1367"/>
      <c r="V14" s="1366"/>
      <c r="W14" s="1367"/>
      <c r="X14" s="1368"/>
      <c r="Y14" s="1369"/>
    </row>
    <row r="15" spans="2:25" s="1316" customFormat="1" ht="82.5" customHeight="1" x14ac:dyDescent="0.15">
      <c r="B15" s="1366"/>
      <c r="C15" s="1366"/>
      <c r="D15" s="1366"/>
      <c r="E15" s="1366"/>
      <c r="F15" s="1366"/>
      <c r="G15" s="1366"/>
      <c r="H15" s="1366"/>
      <c r="I15" s="1367"/>
      <c r="J15" s="1366"/>
      <c r="K15" s="1367"/>
      <c r="L15" s="1366" t="s">
        <v>576</v>
      </c>
      <c r="M15" s="1367"/>
      <c r="N15" s="1366"/>
      <c r="O15" s="1367"/>
      <c r="P15" s="1366" t="s">
        <v>576</v>
      </c>
      <c r="Q15" s="1367"/>
      <c r="R15" s="1366"/>
      <c r="S15" s="1367"/>
      <c r="T15" s="1366"/>
      <c r="U15" s="1367"/>
      <c r="V15" s="1366"/>
      <c r="W15" s="1367"/>
      <c r="X15" s="1368"/>
      <c r="Y15" s="1369"/>
    </row>
    <row r="16" spans="2:25" s="1316" customFormat="1" ht="82.5" customHeight="1" x14ac:dyDescent="0.15">
      <c r="B16" s="1366"/>
      <c r="C16" s="1366"/>
      <c r="D16" s="1366"/>
      <c r="E16" s="1366"/>
      <c r="F16" s="1366"/>
      <c r="G16" s="1366"/>
      <c r="H16" s="1366"/>
      <c r="I16" s="1367"/>
      <c r="J16" s="1366"/>
      <c r="K16" s="1367"/>
      <c r="L16" s="1366" t="s">
        <v>577</v>
      </c>
      <c r="M16" s="1367"/>
      <c r="N16" s="1366"/>
      <c r="O16" s="1367"/>
      <c r="P16" s="1366" t="s">
        <v>577</v>
      </c>
      <c r="Q16" s="1367"/>
      <c r="R16" s="1366"/>
      <c r="S16" s="1367"/>
      <c r="T16" s="1366"/>
      <c r="U16" s="1367"/>
      <c r="V16" s="1366"/>
      <c r="W16" s="1367"/>
      <c r="X16" s="1368"/>
      <c r="Y16" s="1369"/>
    </row>
    <row r="17" spans="2:25" s="1316" customFormat="1" ht="82.5" customHeight="1" x14ac:dyDescent="0.15">
      <c r="B17" s="1366"/>
      <c r="C17" s="1366"/>
      <c r="D17" s="1366"/>
      <c r="E17" s="1366"/>
      <c r="F17" s="1366"/>
      <c r="G17" s="1366"/>
      <c r="H17" s="1366"/>
      <c r="I17" s="1367"/>
      <c r="J17" s="1366"/>
      <c r="K17" s="1367"/>
      <c r="L17" s="1366" t="s">
        <v>578</v>
      </c>
      <c r="M17" s="1367"/>
      <c r="N17" s="1366"/>
      <c r="O17" s="1367"/>
      <c r="P17" s="1366" t="s">
        <v>578</v>
      </c>
      <c r="Q17" s="1367"/>
      <c r="R17" s="1366"/>
      <c r="S17" s="1367"/>
      <c r="T17" s="1366"/>
      <c r="U17" s="1367"/>
      <c r="V17" s="1366"/>
      <c r="W17" s="1367"/>
      <c r="X17" s="1368"/>
      <c r="Y17" s="1369"/>
    </row>
    <row r="18" spans="2:25" s="1316" customFormat="1" ht="82.5" customHeight="1" x14ac:dyDescent="0.15">
      <c r="B18" s="1366"/>
      <c r="C18" s="1366"/>
      <c r="D18" s="1366"/>
      <c r="E18" s="1366"/>
      <c r="F18" s="1366"/>
      <c r="G18" s="1366"/>
      <c r="H18" s="1366"/>
      <c r="I18" s="1367"/>
      <c r="J18" s="1366"/>
      <c r="K18" s="1367"/>
      <c r="L18" s="1366" t="s">
        <v>579</v>
      </c>
      <c r="M18" s="1367"/>
      <c r="N18" s="1366"/>
      <c r="O18" s="1367"/>
      <c r="P18" s="1366" t="s">
        <v>579</v>
      </c>
      <c r="Q18" s="1367"/>
      <c r="R18" s="1366"/>
      <c r="S18" s="1367"/>
      <c r="T18" s="1366"/>
      <c r="U18" s="1367"/>
      <c r="V18" s="1366"/>
      <c r="W18" s="1367"/>
      <c r="X18" s="1368"/>
      <c r="Y18" s="1369"/>
    </row>
    <row r="19" spans="2:25" s="1316" customFormat="1" ht="82.5" customHeight="1" x14ac:dyDescent="0.15">
      <c r="B19" s="1366"/>
      <c r="C19" s="1366"/>
      <c r="D19" s="1366"/>
      <c r="E19" s="1366"/>
      <c r="F19" s="1366"/>
      <c r="G19" s="1366"/>
      <c r="H19" s="1366"/>
      <c r="I19" s="1367"/>
      <c r="J19" s="1366"/>
      <c r="K19" s="1367"/>
      <c r="L19" s="1366" t="s">
        <v>580</v>
      </c>
      <c r="M19" s="1367"/>
      <c r="N19" s="1366"/>
      <c r="O19" s="1367"/>
      <c r="P19" s="1366" t="s">
        <v>580</v>
      </c>
      <c r="Q19" s="1367"/>
      <c r="R19" s="1366"/>
      <c r="S19" s="1367"/>
      <c r="T19" s="1366"/>
      <c r="U19" s="1367"/>
      <c r="V19" s="1366"/>
      <c r="W19" s="1367"/>
      <c r="X19" s="1368"/>
      <c r="Y19" s="1369"/>
    </row>
    <row r="20" spans="2:25" s="1316" customFormat="1" ht="82.5" customHeight="1" x14ac:dyDescent="0.15">
      <c r="B20" s="1373"/>
      <c r="C20" s="1373"/>
      <c r="D20" s="1373"/>
      <c r="E20" s="1373"/>
      <c r="F20" s="1373"/>
      <c r="G20" s="1373"/>
      <c r="H20" s="1373"/>
      <c r="I20" s="1374"/>
      <c r="J20" s="1373"/>
      <c r="K20" s="1374"/>
      <c r="L20" s="1366" t="s">
        <v>604</v>
      </c>
      <c r="M20" s="1374"/>
      <c r="N20" s="1373"/>
      <c r="O20" s="1374"/>
      <c r="P20" s="1373" t="s">
        <v>604</v>
      </c>
      <c r="Q20" s="1374"/>
      <c r="R20" s="1373"/>
      <c r="S20" s="1374"/>
      <c r="T20" s="1373"/>
      <c r="U20" s="1374"/>
      <c r="V20" s="1373"/>
      <c r="W20" s="1374"/>
      <c r="X20" s="1375"/>
      <c r="Y20" s="1376"/>
    </row>
    <row r="21" spans="2:25" s="1316" customFormat="1" ht="82.5" customHeight="1" x14ac:dyDescent="0.15">
      <c r="B21" s="1377"/>
      <c r="C21" s="1377"/>
      <c r="D21" s="1377"/>
      <c r="E21" s="1377"/>
      <c r="F21" s="1377"/>
      <c r="G21" s="1377"/>
      <c r="H21" s="1377"/>
      <c r="I21" s="1377"/>
      <c r="J21" s="1377"/>
      <c r="K21" s="1377"/>
      <c r="L21" s="1373" t="s">
        <v>581</v>
      </c>
      <c r="M21" s="1377"/>
      <c r="N21" s="1377"/>
      <c r="O21" s="1377"/>
      <c r="P21" s="1377" t="s">
        <v>581</v>
      </c>
      <c r="Q21" s="1377"/>
      <c r="R21" s="1377"/>
      <c r="S21" s="1377"/>
      <c r="T21" s="1377"/>
      <c r="U21" s="1377"/>
      <c r="V21" s="1377"/>
      <c r="W21" s="1377"/>
      <c r="X21" s="1378"/>
      <c r="Y21" s="1378"/>
    </row>
    <row r="22" spans="2:25" ht="83.25" customHeight="1" x14ac:dyDescent="0.15">
      <c r="B22" s="1379"/>
      <c r="C22" s="1379"/>
      <c r="D22" s="1379"/>
      <c r="E22" s="1379"/>
      <c r="F22" s="1379"/>
      <c r="G22" s="1379"/>
      <c r="H22" s="1379"/>
      <c r="I22" s="1379"/>
      <c r="J22" s="1379"/>
      <c r="K22" s="1379"/>
      <c r="L22" s="1377" t="s">
        <v>622</v>
      </c>
      <c r="M22" s="1380"/>
      <c r="N22" s="1381"/>
      <c r="O22" s="1381"/>
      <c r="P22" s="1380" t="s">
        <v>622</v>
      </c>
      <c r="Q22" s="1382"/>
      <c r="R22" s="1382"/>
      <c r="S22" s="1382"/>
      <c r="T22" s="1382"/>
      <c r="U22" s="1382"/>
      <c r="V22" s="1382"/>
      <c r="W22" s="1382"/>
      <c r="X22" s="1383"/>
      <c r="Y22" s="1383"/>
    </row>
    <row r="23" spans="2:25" ht="83.25" customHeight="1" x14ac:dyDescent="0.15">
      <c r="B23" s="1314"/>
      <c r="C23" s="1314"/>
      <c r="D23" s="1314"/>
      <c r="E23" s="1314"/>
      <c r="F23" s="1314"/>
      <c r="G23" s="1314"/>
      <c r="H23" s="1314"/>
      <c r="I23" s="1314"/>
      <c r="J23" s="1314"/>
      <c r="K23" s="1314"/>
      <c r="L23" s="1311"/>
      <c r="M23" s="1312"/>
      <c r="N23" s="1313"/>
      <c r="O23" s="1313"/>
      <c r="P23" s="1312"/>
      <c r="Q23" s="1312"/>
      <c r="R23" s="1312"/>
      <c r="S23" s="1312"/>
      <c r="T23" s="1312"/>
      <c r="U23" s="1312"/>
      <c r="V23" s="1312"/>
      <c r="W23" s="1312"/>
      <c r="X23" s="1310"/>
      <c r="Y23" s="1310"/>
    </row>
    <row r="24" spans="2:25" ht="83.25" customHeight="1" x14ac:dyDescent="0.15">
      <c r="B24" s="1314"/>
      <c r="C24" s="1314"/>
      <c r="D24" s="1314"/>
      <c r="E24" s="1314"/>
      <c r="F24" s="1314"/>
      <c r="G24" s="1314"/>
      <c r="H24" s="1314"/>
      <c r="I24" s="1314"/>
      <c r="J24" s="1314"/>
      <c r="K24" s="1314"/>
      <c r="L24" s="1311"/>
      <c r="M24" s="1312"/>
      <c r="N24" s="1313"/>
      <c r="O24" s="1313"/>
      <c r="P24" s="1312"/>
      <c r="Q24" s="1312"/>
      <c r="R24" s="1312"/>
      <c r="S24" s="1312"/>
      <c r="T24" s="1312"/>
      <c r="U24" s="1312"/>
      <c r="V24" s="1312"/>
      <c r="W24" s="1312"/>
      <c r="X24" s="1310"/>
      <c r="Y24" s="1310"/>
    </row>
    <row r="25" spans="2:25" ht="83.25" customHeight="1" x14ac:dyDescent="0.15">
      <c r="B25" s="1314"/>
      <c r="C25" s="1314"/>
      <c r="D25" s="1314"/>
      <c r="E25" s="1314"/>
      <c r="F25" s="1314"/>
      <c r="G25" s="1314"/>
      <c r="H25" s="1314"/>
      <c r="I25" s="1314"/>
      <c r="J25" s="1314"/>
      <c r="K25" s="1314"/>
      <c r="L25" s="1311"/>
      <c r="M25" s="1312"/>
      <c r="N25" s="1313"/>
      <c r="O25" s="1313"/>
      <c r="P25" s="1312"/>
      <c r="Q25" s="1312"/>
      <c r="R25" s="1312"/>
      <c r="S25" s="1312"/>
      <c r="T25" s="1312"/>
      <c r="U25" s="1312"/>
      <c r="V25" s="1312"/>
      <c r="W25" s="1312"/>
      <c r="X25" s="1310"/>
      <c r="Y25" s="1310"/>
    </row>
    <row r="26" spans="2:25" ht="83.25" customHeight="1" x14ac:dyDescent="0.15">
      <c r="L26" s="1311"/>
      <c r="M26" s="1312"/>
    </row>
    <row r="27" spans="2:25" ht="83.25" customHeight="1" x14ac:dyDescent="0.15"/>
    <row r="28" spans="2:25" ht="83.25" customHeight="1" x14ac:dyDescent="0.15"/>
  </sheetData>
  <sheetProtection sheet="1" objects="1" scenarios="1" selectLockedCells="1" selectUnlockedCells="1"/>
  <mergeCells count="1">
    <mergeCell ref="B1:Y1"/>
  </mergeCells>
  <phoneticPr fontId="1"/>
  <pageMargins left="0.7" right="0.7" top="0.75" bottom="0.75" header="0.3" footer="0.3"/>
  <pageSetup paperSize="9" scale="26"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8"/>
  <sheetViews>
    <sheetView showGridLines="0" view="pageBreakPreview" zoomScale="115" zoomScaleNormal="100" zoomScaleSheetLayoutView="115" workbookViewId="0">
      <pane ySplit="7" topLeftCell="A58" activePane="bottomLeft" state="frozen"/>
      <selection activeCell="X81" sqref="X81:Z81"/>
      <selection pane="bottomLeft" activeCell="H61" sqref="H61:K62"/>
    </sheetView>
  </sheetViews>
  <sheetFormatPr defaultRowHeight="13.5" x14ac:dyDescent="0.1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4" customFormat="1" ht="2.25" customHeight="1" thickBot="1" x14ac:dyDescent="0.2">
      <c r="B1" s="546"/>
      <c r="C1" s="546"/>
      <c r="D1" s="546"/>
      <c r="E1" s="546"/>
      <c r="F1" s="1693" t="s">
        <v>501</v>
      </c>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546"/>
    </row>
    <row r="2" spans="1:38" s="344" customFormat="1" ht="21" customHeight="1" thickBot="1" x14ac:dyDescent="0.2">
      <c r="A2" s="546"/>
      <c r="B2" s="1666" t="str">
        <f>IF(OR(D5="×",I6="×",K6="×"),"提出不可","提出ＯＫ")</f>
        <v>提出不可</v>
      </c>
      <c r="C2" s="1666"/>
      <c r="D2" s="1666"/>
      <c r="E2" s="1666"/>
      <c r="F2" s="1693"/>
      <c r="G2" s="1693"/>
      <c r="H2" s="1693"/>
      <c r="I2" s="1693"/>
      <c r="J2" s="1693"/>
      <c r="K2" s="1693"/>
      <c r="L2" s="1693"/>
      <c r="M2" s="1693"/>
      <c r="N2" s="1693"/>
      <c r="O2" s="1693"/>
      <c r="P2" s="1693"/>
      <c r="Q2" s="1693"/>
      <c r="R2" s="1693"/>
      <c r="S2" s="1693"/>
      <c r="T2" s="1693"/>
      <c r="U2" s="1693"/>
      <c r="V2" s="1693"/>
      <c r="W2" s="1693"/>
      <c r="X2" s="1693"/>
      <c r="Y2" s="1693"/>
      <c r="Z2" s="1693"/>
      <c r="AA2" s="1693"/>
      <c r="AB2" s="1693"/>
      <c r="AC2" s="1693"/>
      <c r="AD2" s="1694" t="s">
        <v>212</v>
      </c>
      <c r="AE2" s="1695"/>
      <c r="AF2" s="1661"/>
      <c r="AG2" s="1662"/>
    </row>
    <row r="3" spans="1:38" s="344" customFormat="1" ht="6" customHeight="1" x14ac:dyDescent="0.15">
      <c r="B3" s="1666"/>
      <c r="C3" s="1666"/>
      <c r="D3" s="1666"/>
      <c r="E3" s="1666"/>
      <c r="F3" s="536"/>
      <c r="G3" s="551"/>
      <c r="H3" s="536"/>
      <c r="M3" s="545"/>
      <c r="AI3" s="345"/>
      <c r="AJ3" s="346"/>
      <c r="AK3" s="347"/>
    </row>
    <row r="4" spans="1:38" s="344" customFormat="1" ht="2.25" customHeight="1" thickBot="1" x14ac:dyDescent="0.2">
      <c r="B4" s="547"/>
      <c r="C4" s="547"/>
      <c r="D4" s="559"/>
      <c r="E4" s="559"/>
      <c r="F4" s="560"/>
      <c r="G4" s="560"/>
      <c r="H4" s="536"/>
      <c r="M4" s="545"/>
      <c r="N4" s="1663" t="s">
        <v>435</v>
      </c>
      <c r="O4" s="1663"/>
      <c r="P4" s="1663"/>
      <c r="Q4" s="1663"/>
      <c r="R4" s="1663"/>
      <c r="S4" s="1663"/>
      <c r="T4" s="1663"/>
      <c r="U4" s="1663"/>
      <c r="V4" s="1663"/>
      <c r="W4" s="1663"/>
      <c r="X4" s="1663"/>
      <c r="Y4" s="1663"/>
      <c r="Z4" s="1663"/>
      <c r="AA4" s="1663"/>
      <c r="AB4" s="1663"/>
      <c r="AC4" s="1663"/>
      <c r="AD4" s="1663"/>
      <c r="AE4" s="1663"/>
      <c r="AF4" s="1663"/>
      <c r="AG4" s="1663"/>
      <c r="AI4" s="345"/>
      <c r="AJ4" s="346"/>
      <c r="AK4" s="347"/>
    </row>
    <row r="5" spans="1:38" s="344" customFormat="1" ht="12.75" customHeight="1" x14ac:dyDescent="0.15">
      <c r="B5" s="1676" t="s">
        <v>560</v>
      </c>
      <c r="C5" s="1677"/>
      <c r="D5" s="1670" t="str">
        <f>IF(OR(B9="×",B11="×",B15="×",B18="×",B19="×",B21="×",B23="×",B24="×",B26="×",B29="×",B30="×",B31="×",B33="×",B42="×",B47="×",B52="×",B54="×",B56="×",B61="×",B66="×",B83="×",B88="×",B95="×",B97="×",B103="×",B109="×",B115="×",B121="×",B127="×",B133="×",B139="×",B145="×",B151="×"),"未完成","ＯＫ")</f>
        <v>未完成</v>
      </c>
      <c r="E5" s="1671"/>
      <c r="F5" s="1671"/>
      <c r="G5" s="1672"/>
      <c r="H5" s="536"/>
      <c r="I5" s="1664" t="s">
        <v>561</v>
      </c>
      <c r="J5" s="1665"/>
      <c r="K5" s="1664" t="s">
        <v>562</v>
      </c>
      <c r="L5" s="1665"/>
      <c r="N5" s="1663"/>
      <c r="O5" s="1663"/>
      <c r="P5" s="1663"/>
      <c r="Q5" s="1663"/>
      <c r="R5" s="1663"/>
      <c r="S5" s="1663"/>
      <c r="T5" s="1663"/>
      <c r="U5" s="1663"/>
      <c r="V5" s="1663"/>
      <c r="W5" s="1663"/>
      <c r="X5" s="1663"/>
      <c r="Y5" s="1663"/>
      <c r="Z5" s="1663"/>
      <c r="AA5" s="1663"/>
      <c r="AB5" s="1663"/>
      <c r="AC5" s="1663"/>
      <c r="AD5" s="1663"/>
      <c r="AE5" s="1663"/>
      <c r="AF5" s="1663"/>
      <c r="AG5" s="1663"/>
      <c r="AI5" s="347"/>
    </row>
    <row r="6" spans="1:38" s="344" customFormat="1" ht="16.5" customHeight="1" thickBot="1" x14ac:dyDescent="0.2">
      <c r="B6" s="1678"/>
      <c r="C6" s="1679"/>
      <c r="D6" s="1673"/>
      <c r="E6" s="1674"/>
      <c r="F6" s="1674"/>
      <c r="G6" s="1675"/>
      <c r="H6" s="536"/>
      <c r="I6" s="1667" t="str">
        <f>IF(入力2【名簿】!D2="ＯＫ","○","×")</f>
        <v>×</v>
      </c>
      <c r="J6" s="1668"/>
      <c r="K6" s="1669" t="str">
        <f>IF(OR('入力3【⑥計画書 9時】'!E2="ＯＫ",'入力3【⑥計画書 13時】'!E2="ＯＫ"),"○","×")</f>
        <v>×</v>
      </c>
      <c r="L6" s="1668"/>
      <c r="N6" s="1663"/>
      <c r="O6" s="1663"/>
      <c r="P6" s="1663"/>
      <c r="Q6" s="1663"/>
      <c r="R6" s="1663"/>
      <c r="S6" s="1663"/>
      <c r="T6" s="1663"/>
      <c r="U6" s="1663"/>
      <c r="V6" s="1663"/>
      <c r="W6" s="1663"/>
      <c r="X6" s="1663"/>
      <c r="Y6" s="1663"/>
      <c r="Z6" s="1663"/>
      <c r="AA6" s="1663"/>
      <c r="AB6" s="1663"/>
      <c r="AC6" s="1663"/>
      <c r="AD6" s="1663"/>
      <c r="AE6" s="1663"/>
      <c r="AF6" s="1663"/>
      <c r="AG6" s="1663"/>
      <c r="AI6" s="347"/>
      <c r="AJ6" s="347"/>
    </row>
    <row r="7" spans="1:38" s="348" customFormat="1" ht="2.25" customHeight="1" x14ac:dyDescent="0.15">
      <c r="B7" s="1120" t="str">
        <f>IF(F13="","","　"&amp;F13&amp;" "&amp;J13)</f>
        <v/>
      </c>
      <c r="F7" s="349"/>
      <c r="G7" s="349"/>
      <c r="H7" s="349"/>
      <c r="I7" s="349"/>
      <c r="J7" s="350"/>
      <c r="K7" s="350"/>
      <c r="L7" s="350"/>
      <c r="M7" s="350"/>
      <c r="AJ7" s="761"/>
    </row>
    <row r="8" spans="1:38" ht="30" customHeight="1" thickBot="1" x14ac:dyDescent="0.2">
      <c r="B8" s="1707" t="s">
        <v>405</v>
      </c>
      <c r="C8" s="1707"/>
      <c r="D8" s="1707"/>
      <c r="E8" s="1707"/>
      <c r="F8" s="1707"/>
      <c r="G8" s="1707"/>
      <c r="H8" s="1707"/>
      <c r="I8" s="1707"/>
      <c r="J8" s="1707"/>
      <c r="K8" s="1707"/>
      <c r="L8" s="1707"/>
      <c r="M8" s="1707"/>
      <c r="N8" s="1707"/>
      <c r="O8" s="1707"/>
      <c r="P8" s="1707"/>
      <c r="Q8" s="1707"/>
      <c r="R8" s="1707"/>
      <c r="S8" s="1707"/>
      <c r="T8" s="1707"/>
      <c r="U8" s="1707"/>
      <c r="V8" s="1707"/>
      <c r="W8" s="1707"/>
      <c r="X8" s="1707"/>
      <c r="AA8" s="201"/>
      <c r="AB8" s="201"/>
      <c r="AC8" s="201"/>
      <c r="AD8" s="201"/>
      <c r="AE8" s="201"/>
      <c r="AF8" s="201"/>
      <c r="AG8" s="201"/>
      <c r="AH8" s="201"/>
      <c r="AI8" s="201"/>
      <c r="AJ8" s="201"/>
      <c r="AK8" s="362"/>
    </row>
    <row r="9" spans="1:38" ht="33.75" customHeight="1" thickBot="1" x14ac:dyDescent="0.2">
      <c r="B9" s="524" t="str">
        <f>IF(V9="","×","○")</f>
        <v>×</v>
      </c>
      <c r="C9" s="1696" t="s">
        <v>553</v>
      </c>
      <c r="D9" s="1697"/>
      <c r="E9" s="1697"/>
      <c r="F9" s="1697"/>
      <c r="G9" s="1697"/>
      <c r="H9" s="1697"/>
      <c r="I9" s="1697"/>
      <c r="J9" s="1697"/>
      <c r="K9" s="1697"/>
      <c r="L9" s="1697"/>
      <c r="M9" s="1697"/>
      <c r="N9" s="1697"/>
      <c r="O9" s="1697"/>
      <c r="P9" s="1697"/>
      <c r="Q9" s="1697"/>
      <c r="R9" s="1697"/>
      <c r="S9" s="1697"/>
      <c r="T9" s="1697"/>
      <c r="U9" s="1698"/>
      <c r="V9" s="1699"/>
      <c r="W9" s="1700"/>
      <c r="Z9" s="201"/>
      <c r="AA9" s="201"/>
      <c r="AB9" s="201"/>
      <c r="AC9" s="201"/>
      <c r="AD9" s="201"/>
      <c r="AE9" s="201"/>
      <c r="AF9" s="201"/>
      <c r="AG9" s="201"/>
      <c r="AH9" s="201"/>
      <c r="AI9" s="201"/>
      <c r="AJ9" s="201"/>
      <c r="AK9" s="362"/>
      <c r="AL9" s="2"/>
    </row>
    <row r="10" spans="1:38" ht="11.25" customHeight="1" thickBot="1" x14ac:dyDescent="0.2">
      <c r="A10" s="322"/>
      <c r="B10" s="948"/>
      <c r="C10" s="330"/>
      <c r="D10" s="949"/>
      <c r="E10" s="949"/>
      <c r="F10" s="1007"/>
      <c r="G10" s="1007"/>
      <c r="H10" s="1007"/>
      <c r="I10" s="1007"/>
      <c r="J10" s="949"/>
      <c r="K10" s="949"/>
      <c r="L10" s="950"/>
      <c r="M10" s="950"/>
      <c r="N10" s="950"/>
      <c r="O10" s="950"/>
      <c r="P10" s="950"/>
      <c r="Q10" s="950"/>
      <c r="R10" s="951"/>
      <c r="S10" s="951"/>
      <c r="T10" s="951"/>
      <c r="U10" s="951"/>
      <c r="V10" s="951"/>
      <c r="W10" s="952"/>
      <c r="X10" s="953"/>
      <c r="Y10" s="953"/>
      <c r="Z10" s="331"/>
      <c r="AA10" s="331"/>
      <c r="AB10" s="331"/>
      <c r="AC10" s="331"/>
      <c r="AD10" s="331"/>
      <c r="AE10" s="331"/>
      <c r="AF10" s="331"/>
      <c r="AG10" s="331"/>
      <c r="AH10" s="331"/>
      <c r="AI10" s="331"/>
      <c r="AJ10" s="331"/>
      <c r="AK10" s="202"/>
      <c r="AL10" s="202"/>
    </row>
    <row r="11" spans="1:38" ht="30" customHeight="1" thickBot="1" x14ac:dyDescent="0.2">
      <c r="B11" s="524" t="str">
        <f>IF(F11="","×","○")</f>
        <v>×</v>
      </c>
      <c r="C11" s="1704" t="s">
        <v>521</v>
      </c>
      <c r="D11" s="1705"/>
      <c r="E11" s="1706"/>
      <c r="F11" s="1701"/>
      <c r="G11" s="1702"/>
      <c r="H11" s="1702"/>
      <c r="I11" s="1703"/>
      <c r="J11" s="201"/>
      <c r="K11" s="201"/>
      <c r="L11" s="201"/>
      <c r="M11" s="201"/>
      <c r="N11" s="201"/>
      <c r="O11" s="201"/>
      <c r="P11" s="201"/>
      <c r="Q11" s="201"/>
      <c r="R11" s="201"/>
      <c r="S11" s="201"/>
      <c r="T11" s="201"/>
      <c r="U11" s="362"/>
      <c r="V11" s="2"/>
    </row>
    <row r="12" spans="1:38" ht="22.5" customHeight="1" thickBot="1" x14ac:dyDescent="0.2">
      <c r="A12" s="322"/>
      <c r="B12" s="948"/>
      <c r="C12" s="1690" t="s">
        <v>539</v>
      </c>
      <c r="D12" s="1690"/>
      <c r="E12" s="1690"/>
      <c r="F12" s="1690"/>
      <c r="G12" s="1690"/>
      <c r="H12" s="1690"/>
      <c r="I12" s="1690"/>
      <c r="J12" s="1690"/>
      <c r="K12" s="1690"/>
      <c r="L12" s="1690"/>
      <c r="M12" s="1690"/>
      <c r="N12" s="1690"/>
      <c r="O12" s="1690"/>
      <c r="P12" s="1690"/>
      <c r="Q12" s="1690"/>
      <c r="R12" s="1690"/>
      <c r="S12" s="1690"/>
      <c r="T12" s="1690"/>
      <c r="U12" s="1690"/>
      <c r="V12" s="1690"/>
      <c r="W12" s="1690"/>
      <c r="X12" s="1690"/>
      <c r="Y12" s="1690"/>
      <c r="Z12" s="1690"/>
      <c r="AA12" s="1690"/>
      <c r="AB12" s="1690"/>
      <c r="AC12" s="1690"/>
      <c r="AD12" s="1690"/>
      <c r="AE12" s="1690"/>
      <c r="AF12" s="331"/>
      <c r="AG12" s="331"/>
      <c r="AH12" s="331"/>
      <c r="AI12" s="331"/>
      <c r="AJ12" s="331"/>
      <c r="AK12" s="202"/>
      <c r="AL12" s="202"/>
    </row>
    <row r="13" spans="1:38" ht="30" customHeight="1" thickBot="1" x14ac:dyDescent="0.2">
      <c r="B13" s="524" t="str">
        <f>IF(F13="","×","○")</f>
        <v>×</v>
      </c>
      <c r="C13" s="1704" t="s">
        <v>522</v>
      </c>
      <c r="D13" s="1705"/>
      <c r="E13" s="1706"/>
      <c r="F13" s="1701"/>
      <c r="G13" s="1702"/>
      <c r="H13" s="1702"/>
      <c r="I13" s="1702"/>
      <c r="J13" s="1691">
        <f>F11</f>
        <v>0</v>
      </c>
      <c r="K13" s="1691"/>
      <c r="L13" s="1691"/>
      <c r="M13" s="1692"/>
      <c r="N13" s="201"/>
      <c r="O13" s="201"/>
      <c r="P13" s="201"/>
      <c r="Q13" s="201"/>
      <c r="R13" s="201"/>
      <c r="S13" s="201"/>
      <c r="T13" s="201"/>
      <c r="U13" s="362"/>
      <c r="V13" s="2"/>
    </row>
    <row r="14" spans="1:38" ht="22.5" customHeight="1" thickBot="1" x14ac:dyDescent="0.2">
      <c r="A14" s="279"/>
      <c r="B14" s="525"/>
      <c r="C14" s="1690" t="s">
        <v>307</v>
      </c>
      <c r="D14" s="1690"/>
      <c r="E14" s="1690"/>
      <c r="F14" s="1690"/>
      <c r="G14" s="1690"/>
      <c r="H14" s="1690"/>
      <c r="I14" s="1690"/>
      <c r="J14" s="1690"/>
      <c r="K14" s="1690"/>
      <c r="L14" s="1690"/>
      <c r="M14" s="1690"/>
      <c r="N14" s="1690"/>
      <c r="O14" s="1690"/>
      <c r="P14" s="1690"/>
      <c r="Q14" s="1690"/>
      <c r="R14" s="1690"/>
      <c r="S14" s="1690"/>
      <c r="T14" s="1690"/>
      <c r="U14" s="1690"/>
      <c r="V14" s="1690"/>
      <c r="W14" s="1690"/>
      <c r="X14" s="1690"/>
      <c r="Y14" s="1690"/>
      <c r="Z14" s="1690"/>
      <c r="AA14" s="1690"/>
      <c r="AB14" s="1690"/>
      <c r="AC14" s="1690"/>
      <c r="AD14" s="1690"/>
      <c r="AE14" s="1690"/>
      <c r="AF14" s="201"/>
      <c r="AG14" s="201"/>
      <c r="AH14" s="201"/>
      <c r="AI14" s="201"/>
      <c r="AJ14" s="201"/>
      <c r="AK14" s="362"/>
    </row>
    <row r="15" spans="1:38" ht="15" customHeight="1" x14ac:dyDescent="0.15">
      <c r="A15" s="2"/>
      <c r="B15" s="1680" t="str">
        <f>IF(OR(F16="",Q16=""),"×","○")</f>
        <v>×</v>
      </c>
      <c r="C15" s="1941" t="s">
        <v>39</v>
      </c>
      <c r="D15" s="1942"/>
      <c r="E15" s="1943"/>
      <c r="F15" s="1947" t="str">
        <f>PHONETIC(F16)</f>
        <v/>
      </c>
      <c r="G15" s="1948"/>
      <c r="H15" s="1948"/>
      <c r="I15" s="1948"/>
      <c r="J15" s="1948"/>
      <c r="K15" s="1948"/>
      <c r="L15" s="1948"/>
      <c r="M15" s="1949"/>
      <c r="N15" s="1941" t="s">
        <v>40</v>
      </c>
      <c r="O15" s="1942"/>
      <c r="P15" s="1942"/>
      <c r="Q15" s="1953" t="str">
        <f>PHONETIC(Q16)</f>
        <v/>
      </c>
      <c r="R15" s="1954"/>
      <c r="S15" s="1954"/>
      <c r="T15" s="1954"/>
      <c r="U15" s="1954"/>
      <c r="V15" s="1954"/>
      <c r="W15" s="1954"/>
      <c r="X15" s="1955"/>
      <c r="Z15" s="201"/>
      <c r="AA15" s="201"/>
      <c r="AB15" s="201"/>
      <c r="AC15" s="201"/>
      <c r="AD15" s="201"/>
      <c r="AE15" s="201"/>
      <c r="AF15" s="201"/>
      <c r="AG15" s="201"/>
      <c r="AH15" s="201"/>
      <c r="AI15" s="201"/>
      <c r="AJ15" s="201"/>
      <c r="AK15" s="362"/>
    </row>
    <row r="16" spans="1:38" ht="30" customHeight="1" thickBot="1" x14ac:dyDescent="0.2">
      <c r="A16" s="2"/>
      <c r="B16" s="1680"/>
      <c r="C16" s="1944"/>
      <c r="D16" s="1945"/>
      <c r="E16" s="1946"/>
      <c r="F16" s="1956"/>
      <c r="G16" s="1957"/>
      <c r="H16" s="1957"/>
      <c r="I16" s="1957"/>
      <c r="J16" s="1957"/>
      <c r="K16" s="1957"/>
      <c r="L16" s="1957"/>
      <c r="M16" s="1958"/>
      <c r="N16" s="1944"/>
      <c r="O16" s="1945"/>
      <c r="P16" s="1945"/>
      <c r="Q16" s="1959"/>
      <c r="R16" s="1960"/>
      <c r="S16" s="1960"/>
      <c r="T16" s="1960"/>
      <c r="U16" s="1960"/>
      <c r="V16" s="1960"/>
      <c r="W16" s="1960"/>
      <c r="X16" s="1961"/>
      <c r="AA16" s="201"/>
      <c r="AB16" s="201"/>
      <c r="AC16" s="201"/>
      <c r="AD16" s="201"/>
      <c r="AE16" s="201"/>
      <c r="AF16" s="201"/>
      <c r="AG16" s="201"/>
      <c r="AH16" s="201"/>
      <c r="AI16" s="201"/>
      <c r="AJ16" s="201"/>
      <c r="AK16" s="362"/>
    </row>
    <row r="17" spans="1:45" ht="23.25" customHeight="1" thickBot="1" x14ac:dyDescent="0.2">
      <c r="A17" s="2"/>
      <c r="B17" s="527"/>
      <c r="C17" s="1934" t="s">
        <v>280</v>
      </c>
      <c r="D17" s="1934"/>
      <c r="E17" s="1934"/>
      <c r="F17" s="1934"/>
      <c r="G17" s="1934"/>
      <c r="H17" s="1934"/>
      <c r="I17" s="1934"/>
      <c r="J17" s="1934"/>
      <c r="K17" s="1934"/>
      <c r="L17" s="1934"/>
      <c r="M17" s="1934"/>
      <c r="N17" s="1934"/>
      <c r="O17" s="1934"/>
      <c r="P17" s="1934"/>
      <c r="Q17" s="1934"/>
      <c r="R17" s="1934"/>
      <c r="S17" s="1934"/>
      <c r="T17" s="1934"/>
      <c r="U17" s="1934"/>
      <c r="V17" s="1934"/>
      <c r="W17" s="1934"/>
      <c r="X17" s="1934"/>
      <c r="Z17" s="201"/>
      <c r="AA17" s="201"/>
      <c r="AB17" s="201"/>
      <c r="AC17" s="201"/>
      <c r="AD17" s="201"/>
      <c r="AE17" s="201"/>
      <c r="AF17" s="201"/>
      <c r="AG17" s="201"/>
      <c r="AH17" s="201"/>
      <c r="AI17" s="201"/>
      <c r="AJ17" s="201"/>
      <c r="AK17" s="362"/>
    </row>
    <row r="18" spans="1:45" ht="30" customHeight="1" thickBot="1" x14ac:dyDescent="0.2">
      <c r="A18" s="2"/>
      <c r="B18" s="523" t="str">
        <f>IF(OR(G18="",I18="",L18="",O18="",AB18="×"),"×","○")</f>
        <v>×</v>
      </c>
      <c r="C18" s="1939" t="s">
        <v>268</v>
      </c>
      <c r="D18" s="1939"/>
      <c r="E18" s="1940"/>
      <c r="F18" s="21" t="s">
        <v>134</v>
      </c>
      <c r="G18" s="506"/>
      <c r="H18" s="31" t="s">
        <v>41</v>
      </c>
      <c r="I18" s="1911"/>
      <c r="J18" s="1911"/>
      <c r="K18" s="32"/>
      <c r="L18" s="1950"/>
      <c r="M18" s="1950"/>
      <c r="N18" s="562" t="s">
        <v>269</v>
      </c>
      <c r="O18" s="1951"/>
      <c r="P18" s="1951"/>
      <c r="Q18" s="1951"/>
      <c r="R18" s="1951"/>
      <c r="S18" s="1951"/>
      <c r="T18" s="1951"/>
      <c r="U18" s="1951"/>
      <c r="V18" s="1951"/>
      <c r="W18" s="1951"/>
      <c r="X18" s="1952"/>
      <c r="Y18" s="270"/>
      <c r="Z18" s="201"/>
      <c r="AA18" s="201"/>
      <c r="AB18" s="765" t="str">
        <f>IF(OR(AC18="×",AE18="×",AF18="×",AG18="×"),"×","○")</f>
        <v>○</v>
      </c>
      <c r="AC18" s="765" t="str">
        <f>IF(COUNTIF(L18, "*県"), "×", "○")</f>
        <v>○</v>
      </c>
      <c r="AD18" s="765" t="str">
        <f>IF(COUNTIF(L18, "*都"), "×", "○")</f>
        <v>○</v>
      </c>
      <c r="AE18" s="765" t="str">
        <f>IF(OR(AD18="○",AND(AD18="×",L18="京都")),"○","×")</f>
        <v>○</v>
      </c>
      <c r="AF18" s="765" t="str">
        <f>IF(COUNTIF(L18, "*道"), "×", "○")</f>
        <v>○</v>
      </c>
      <c r="AG18" s="765" t="str">
        <f>IF(COUNTIF(L18, "*府"), "×", "○")</f>
        <v>○</v>
      </c>
      <c r="AH18" s="201"/>
      <c r="AI18" s="201"/>
      <c r="AJ18" s="201"/>
      <c r="AK18" s="201"/>
      <c r="AL18" s="362"/>
    </row>
    <row r="19" spans="1:45" ht="30" customHeight="1" thickBot="1" x14ac:dyDescent="0.2">
      <c r="A19" s="2"/>
      <c r="B19" s="523" t="str">
        <f>IF(OR(G19="",I19="",L19="",O19="",AB19="×"),"×","○")</f>
        <v>×</v>
      </c>
      <c r="C19" s="1939" t="s">
        <v>201</v>
      </c>
      <c r="D19" s="1939"/>
      <c r="E19" s="1940"/>
      <c r="F19" s="21" t="s">
        <v>134</v>
      </c>
      <c r="G19" s="506"/>
      <c r="H19" s="31" t="s">
        <v>41</v>
      </c>
      <c r="I19" s="1911"/>
      <c r="J19" s="1911"/>
      <c r="K19" s="32"/>
      <c r="L19" s="1950"/>
      <c r="M19" s="1950"/>
      <c r="N19" s="563" t="s">
        <v>269</v>
      </c>
      <c r="O19" s="1951"/>
      <c r="P19" s="1951"/>
      <c r="Q19" s="1951"/>
      <c r="R19" s="1951"/>
      <c r="S19" s="1951"/>
      <c r="T19" s="1951"/>
      <c r="U19" s="1951"/>
      <c r="V19" s="1951"/>
      <c r="W19" s="1951"/>
      <c r="X19" s="1952"/>
      <c r="Y19" s="270"/>
      <c r="Z19" s="270"/>
      <c r="AA19" s="201"/>
      <c r="AB19" s="765" t="str">
        <f>IF(OR(AC19="×",AE19="×",AF19="×",AG19="×"),"×","○")</f>
        <v>○</v>
      </c>
      <c r="AC19" s="765" t="str">
        <f>IF(COUNTIF(L19, "*県"), "×", "○")</f>
        <v>○</v>
      </c>
      <c r="AD19" s="765" t="str">
        <f>IF(COUNTIF(L19, "*都"), "×", "○")</f>
        <v>○</v>
      </c>
      <c r="AE19" s="765" t="str">
        <f>IF(OR(AD19="○",AND(AD19="×",L19="京都")),"○","×")</f>
        <v>○</v>
      </c>
      <c r="AF19" s="765" t="str">
        <f>IF(COUNTIF(L19, "*道"), "×", "○")</f>
        <v>○</v>
      </c>
      <c r="AG19" s="765" t="str">
        <f>IF(COUNTIF(L19, "*府"), "×", "○")</f>
        <v>○</v>
      </c>
      <c r="AH19" s="201"/>
      <c r="AI19" s="201"/>
      <c r="AJ19" s="201"/>
      <c r="AK19" s="201"/>
      <c r="AL19" s="362"/>
    </row>
    <row r="20" spans="1:45" ht="22.5" customHeight="1" thickBot="1" x14ac:dyDescent="0.2">
      <c r="A20" s="2"/>
      <c r="B20" s="527"/>
      <c r="C20" s="1934" t="s">
        <v>281</v>
      </c>
      <c r="D20" s="1934"/>
      <c r="E20" s="1934"/>
      <c r="F20" s="1934"/>
      <c r="G20" s="1934"/>
      <c r="H20" s="1934"/>
      <c r="I20" s="1934"/>
      <c r="J20" s="1934"/>
      <c r="K20" s="1934"/>
      <c r="L20" s="1934"/>
      <c r="M20" s="1934"/>
      <c r="N20" s="1934"/>
      <c r="O20" s="1934"/>
      <c r="P20" s="1934"/>
      <c r="Q20" s="1934"/>
      <c r="R20" s="1934"/>
      <c r="S20" s="1934"/>
      <c r="T20" s="1934"/>
      <c r="U20" s="1934"/>
      <c r="V20" s="1934"/>
      <c r="W20" s="1934"/>
      <c r="X20" s="1934"/>
      <c r="Z20" s="319"/>
      <c r="AA20" s="319"/>
      <c r="AB20" s="319"/>
      <c r="AC20" s="319"/>
      <c r="AD20" s="319"/>
      <c r="AE20" s="319"/>
      <c r="AF20" s="319"/>
      <c r="AG20" s="319"/>
      <c r="AH20" s="319"/>
      <c r="AI20" s="319"/>
      <c r="AJ20" s="319"/>
      <c r="AK20" s="319"/>
    </row>
    <row r="21" spans="1:45" ht="30" customHeight="1" thickBot="1" x14ac:dyDescent="0.2">
      <c r="A21" s="2"/>
      <c r="B21" s="526" t="str">
        <f>IF(OR(G21="",J21="",M21="",Q21="",T21="",W21=""),"×","○")</f>
        <v>×</v>
      </c>
      <c r="C21" s="1705" t="s">
        <v>202</v>
      </c>
      <c r="D21" s="1705"/>
      <c r="E21" s="1706"/>
      <c r="F21" s="166" t="s">
        <v>203</v>
      </c>
      <c r="G21" s="1935"/>
      <c r="H21" s="1936"/>
      <c r="I21" s="123" t="s">
        <v>276</v>
      </c>
      <c r="J21" s="1936"/>
      <c r="K21" s="1936"/>
      <c r="L21" s="123" t="s">
        <v>277</v>
      </c>
      <c r="M21" s="1936"/>
      <c r="N21" s="2040"/>
      <c r="O21" s="2041" t="s">
        <v>204</v>
      </c>
      <c r="P21" s="2042"/>
      <c r="Q21" s="2043"/>
      <c r="R21" s="2043"/>
      <c r="S21" s="133" t="s">
        <v>278</v>
      </c>
      <c r="T21" s="2043"/>
      <c r="U21" s="2043"/>
      <c r="V21" s="133" t="s">
        <v>279</v>
      </c>
      <c r="W21" s="1937"/>
      <c r="X21" s="1938"/>
      <c r="Y21" s="319"/>
      <c r="Z21" s="319"/>
      <c r="AA21" s="319"/>
      <c r="AB21" s="319"/>
      <c r="AC21" s="319"/>
      <c r="AD21" s="319"/>
      <c r="AE21" s="319"/>
      <c r="AF21" s="319"/>
      <c r="AG21" s="319"/>
      <c r="AH21" s="319"/>
      <c r="AI21" s="319"/>
      <c r="AJ21" s="319"/>
      <c r="AK21" s="319"/>
    </row>
    <row r="22" spans="1:45" s="262" customFormat="1" ht="18.75" customHeight="1" thickBot="1" x14ac:dyDescent="0.2">
      <c r="B22" s="528"/>
      <c r="C22" s="945" t="str">
        <f>IF(V24="","",K22)</f>
        <v/>
      </c>
      <c r="D22" s="946" t="str">
        <f>IF(V24="","",IF(H23&lt;2," ",K22+1))</f>
        <v/>
      </c>
      <c r="E22" s="946" t="str">
        <f>IF(V24="","",IF(H23&lt;3," ",K22+2))</f>
        <v/>
      </c>
      <c r="F22" s="946" t="str">
        <f>IF(V24="","",IF(H23&lt;4," ",K22+3))</f>
        <v/>
      </c>
      <c r="G22" s="946" t="str">
        <f>IF(V24="","",IF(H23&lt;5," ",K22+4))</f>
        <v/>
      </c>
      <c r="H22" s="947" t="str">
        <f>IF(V24="","",IF(H23&lt;6," ",K22+5))</f>
        <v/>
      </c>
      <c r="I22" s="765"/>
      <c r="K22" s="2044" t="str">
        <f>IF(L24="","",DATE(G24,J24,L24))</f>
        <v/>
      </c>
      <c r="L22" s="2044"/>
      <c r="M22" s="2044"/>
      <c r="N22" s="765" t="str">
        <f>IF(O24="","",IF(Q24&lt;=12,"昼","夕"))</f>
        <v/>
      </c>
      <c r="O22" s="1914" t="str">
        <f>IF(L24="","",K22+F23)</f>
        <v/>
      </c>
      <c r="P22" s="1914"/>
      <c r="Q22" s="1914"/>
      <c r="R22" s="783" t="str">
        <f>IF(L24="","",IF(AA24&lt;=12,"朝","昼"))</f>
        <v/>
      </c>
      <c r="S22" s="782"/>
      <c r="T22" s="782"/>
      <c r="U22" s="1914" t="str">
        <f>IF(OR(G24="",J24="",L24=""),"",(K22-◎施設管理!O13))</f>
        <v/>
      </c>
      <c r="V22" s="1914"/>
      <c r="W22" s="782"/>
      <c r="X22" s="341"/>
      <c r="Y22" s="361"/>
      <c r="Z22" s="361"/>
      <c r="AA22" s="361"/>
      <c r="AB22" s="361"/>
      <c r="AC22" s="361"/>
      <c r="AD22" s="361"/>
      <c r="AE22" s="361"/>
      <c r="AF22" s="361"/>
      <c r="AG22" s="361"/>
      <c r="AH22" s="361"/>
      <c r="AI22" s="361"/>
      <c r="AJ22" s="361"/>
      <c r="AK22" s="759"/>
    </row>
    <row r="23" spans="1:45" ht="30" customHeight="1" thickBot="1" x14ac:dyDescent="0.2">
      <c r="A23" s="278"/>
      <c r="B23" s="523" t="str">
        <f>IF(F23="","×","○")</f>
        <v>×</v>
      </c>
      <c r="C23" s="2007" t="s">
        <v>194</v>
      </c>
      <c r="D23" s="2008"/>
      <c r="E23" s="2009"/>
      <c r="F23" s="267"/>
      <c r="G23" s="124" t="s">
        <v>192</v>
      </c>
      <c r="H23" s="274" t="str">
        <f>IF(F23="","",F23+1)</f>
        <v/>
      </c>
      <c r="I23" s="7" t="s">
        <v>193</v>
      </c>
      <c r="J23" s="2036" t="s">
        <v>548</v>
      </c>
      <c r="K23" s="2037"/>
      <c r="L23" s="2037"/>
      <c r="M23" s="2037"/>
      <c r="N23" s="2037"/>
      <c r="O23" s="2037"/>
      <c r="P23" s="2037"/>
      <c r="Q23" s="2037"/>
      <c r="R23" s="2037"/>
      <c r="S23" s="2037"/>
      <c r="T23" s="2037"/>
      <c r="U23" s="2037"/>
      <c r="V23" s="2037"/>
      <c r="W23" s="2037"/>
      <c r="X23" s="2037"/>
      <c r="Y23" s="2037"/>
      <c r="Z23" s="2037"/>
      <c r="AA23" s="2037"/>
      <c r="AB23" s="2037"/>
      <c r="AC23" s="1"/>
      <c r="AD23" s="1"/>
      <c r="AE23" s="265"/>
      <c r="AF23" s="1"/>
      <c r="AG23" s="1"/>
      <c r="AH23" s="1"/>
      <c r="AI23" s="1"/>
      <c r="AJ23" s="1"/>
      <c r="AK23" s="278"/>
    </row>
    <row r="24" spans="1:45" s="1" customFormat="1" ht="30" customHeight="1" thickBot="1" x14ac:dyDescent="0.2">
      <c r="A24" s="278"/>
      <c r="B24" s="523" t="str">
        <f>IF(AND(LEN(G24)=4,J24&lt;&gt;"",L24&lt;&gt;"",Q24&lt;&gt;"",AA24&lt;&gt;""),"○","×")</f>
        <v>×</v>
      </c>
      <c r="C24" s="2032" t="s">
        <v>2</v>
      </c>
      <c r="D24" s="2033"/>
      <c r="E24" s="2034"/>
      <c r="F24" s="276" t="s">
        <v>275</v>
      </c>
      <c r="G24" s="2035"/>
      <c r="H24" s="2035"/>
      <c r="I24" s="6" t="s">
        <v>3</v>
      </c>
      <c r="J24" s="267"/>
      <c r="K24" s="6" t="s">
        <v>0</v>
      </c>
      <c r="L24" s="267"/>
      <c r="M24" s="6" t="s">
        <v>1</v>
      </c>
      <c r="N24" s="6" t="s">
        <v>15</v>
      </c>
      <c r="O24" s="282" t="str">
        <f>TEXT(K22,"aaa")</f>
        <v/>
      </c>
      <c r="P24" s="6" t="s">
        <v>16</v>
      </c>
      <c r="Q24" s="267"/>
      <c r="R24" s="268" t="s">
        <v>52</v>
      </c>
      <c r="S24" s="268" t="s">
        <v>260</v>
      </c>
      <c r="T24" s="283" t="str">
        <f>IF(OR(F23="",L24=""),"",O22)</f>
        <v/>
      </c>
      <c r="U24" s="268" t="s">
        <v>0</v>
      </c>
      <c r="V24" s="1342" t="str">
        <f>IF(OR(F23="",L24=""),"",O22)</f>
        <v/>
      </c>
      <c r="W24" s="268" t="s">
        <v>1</v>
      </c>
      <c r="X24" s="268" t="s">
        <v>261</v>
      </c>
      <c r="Y24" s="282" t="str">
        <f>IF(OR(F23="",L24=""),"",TEXT(O22,"aaa"))</f>
        <v/>
      </c>
      <c r="Z24" s="268" t="s">
        <v>16</v>
      </c>
      <c r="AA24" s="267"/>
      <c r="AB24" s="7" t="s">
        <v>52</v>
      </c>
      <c r="AC24" s="280"/>
      <c r="AD24" s="281"/>
      <c r="AE24" s="278"/>
      <c r="AK24" s="278"/>
    </row>
    <row r="25" spans="1:45" ht="5.25" customHeight="1" thickBot="1" x14ac:dyDescent="0.2">
      <c r="A25" s="322"/>
      <c r="B25" s="948"/>
      <c r="C25" s="330"/>
      <c r="D25" s="949"/>
      <c r="E25" s="949"/>
      <c r="F25" s="949"/>
      <c r="G25" s="949"/>
      <c r="H25" s="949"/>
      <c r="I25" s="949"/>
      <c r="J25" s="954"/>
      <c r="K25" s="954"/>
      <c r="L25" s="955"/>
      <c r="M25" s="955"/>
      <c r="N25" s="955"/>
      <c r="O25" s="955"/>
      <c r="P25" s="955"/>
      <c r="Q25" s="955"/>
      <c r="R25" s="951"/>
      <c r="S25" s="951"/>
      <c r="T25" s="951"/>
      <c r="U25" s="951"/>
      <c r="V25" s="951"/>
      <c r="W25" s="952"/>
      <c r="X25" s="953"/>
      <c r="Y25" s="953"/>
      <c r="Z25" s="953"/>
      <c r="AA25" s="953"/>
      <c r="AB25" s="953"/>
      <c r="AC25" s="953"/>
      <c r="AD25" s="953"/>
      <c r="AE25" s="953"/>
      <c r="AF25" s="953"/>
      <c r="AG25" s="953"/>
      <c r="AH25" s="953"/>
      <c r="AI25" s="953"/>
      <c r="AJ25" s="953"/>
      <c r="AK25" s="202"/>
      <c r="AL25" s="202"/>
    </row>
    <row r="26" spans="1:45" s="49" customFormat="1" ht="30" customHeight="1" thickBot="1" x14ac:dyDescent="0.2">
      <c r="B26" s="539" t="str">
        <f>IF(OR(AND(F23&lt;&gt;0,F26=""),AND(F23=0,F26&lt;&gt;"")),"×","○")</f>
        <v>○</v>
      </c>
      <c r="C26" s="2032" t="s">
        <v>439</v>
      </c>
      <c r="D26" s="2033"/>
      <c r="E26" s="2034"/>
      <c r="F26" s="1915"/>
      <c r="G26" s="1915"/>
      <c r="H26" s="1915"/>
      <c r="I26" s="1916"/>
      <c r="J26" s="1994" t="str">
        <f>IF(F23=0,"　※ 宿泊を伴わない利用期日になっています。","")</f>
        <v>　※ 宿泊を伴わない利用期日になっています。</v>
      </c>
      <c r="K26" s="1995"/>
      <c r="L26" s="1995"/>
      <c r="M26" s="1995"/>
      <c r="N26" s="1995"/>
      <c r="O26" s="1995"/>
      <c r="P26" s="1995"/>
      <c r="Q26" s="1995"/>
      <c r="R26" s="1995"/>
      <c r="S26" s="1995"/>
      <c r="T26" s="1995"/>
      <c r="U26" s="1995"/>
      <c r="V26" s="555"/>
      <c r="W26" s="555"/>
      <c r="X26" s="555"/>
      <c r="Y26" s="555"/>
      <c r="Z26" s="1096"/>
      <c r="AA26" s="1096"/>
      <c r="AB26" s="1096"/>
      <c r="AC26" s="1096"/>
      <c r="AD26" s="1097"/>
      <c r="AE26" s="1098"/>
      <c r="AF26" s="1098"/>
      <c r="AG26" s="556"/>
      <c r="AH26" s="555"/>
      <c r="AI26" s="555"/>
      <c r="AL26" s="129"/>
    </row>
    <row r="27" spans="1:45" s="1" customFormat="1" ht="30" customHeight="1" x14ac:dyDescent="0.15">
      <c r="A27" s="22"/>
      <c r="B27" s="22"/>
      <c r="C27" s="8"/>
      <c r="D27" s="22"/>
      <c r="E27" s="22"/>
      <c r="F27" s="22"/>
      <c r="G27" s="22"/>
      <c r="H27" s="22"/>
      <c r="I27" s="3"/>
      <c r="J27" s="3"/>
      <c r="K27" s="9"/>
      <c r="L27" s="3"/>
      <c r="M27" s="1918" t="str">
        <f>IF(L29="","",DATE(G29,J29,L29))</f>
        <v/>
      </c>
      <c r="N27" s="1918"/>
      <c r="O27" s="3"/>
      <c r="P27" s="3"/>
      <c r="Q27" s="3"/>
      <c r="R27" s="3"/>
      <c r="S27" s="3"/>
      <c r="T27" s="3"/>
      <c r="U27" s="3"/>
      <c r="V27" s="3"/>
      <c r="W27" s="3"/>
      <c r="X27" s="3"/>
      <c r="Y27" s="3"/>
      <c r="Z27" s="1103"/>
      <c r="AA27" s="1103" t="str">
        <f>IF(AA24="","",IF(H23&lt;=1,"","②朝"))</f>
        <v/>
      </c>
      <c r="AB27" s="1103" t="str">
        <f>IF(AA24="","",IF(H23&lt;=2,"","③朝"))</f>
        <v/>
      </c>
      <c r="AC27" s="1103" t="str">
        <f>IF(AA24="","",IF(H23&lt;=3,"","④朝"))</f>
        <v/>
      </c>
      <c r="AD27" s="1103" t="str">
        <f>IF(AA24="","",IF(H23&lt;=4,"","⑤朝"))</f>
        <v/>
      </c>
      <c r="AE27" s="1103" t="str">
        <f>IF(AA24="","",IF(H23&lt;=5,"","⑥朝"))</f>
        <v/>
      </c>
      <c r="AF27" s="1103"/>
      <c r="AG27" s="1103"/>
      <c r="AH27" s="286"/>
      <c r="AI27" s="22"/>
      <c r="AK27" s="201"/>
      <c r="AL27" s="201"/>
      <c r="AM27" s="201"/>
      <c r="AN27" s="201"/>
      <c r="AO27" s="201"/>
      <c r="AP27" s="201"/>
      <c r="AQ27" s="201"/>
      <c r="AR27" s="201"/>
      <c r="AS27" s="201"/>
    </row>
    <row r="28" spans="1:45" s="1" customFormat="1" ht="30" customHeight="1" thickBot="1" x14ac:dyDescent="0.2">
      <c r="A28" s="22"/>
      <c r="B28" s="1707" t="s">
        <v>418</v>
      </c>
      <c r="C28" s="1707"/>
      <c r="D28" s="1707"/>
      <c r="E28" s="1707"/>
      <c r="F28" s="1707"/>
      <c r="G28" s="1707"/>
      <c r="H28" s="1707"/>
      <c r="I28" s="1707"/>
      <c r="J28" s="1707"/>
      <c r="K28" s="1707"/>
      <c r="L28" s="1707"/>
      <c r="M28" s="507"/>
      <c r="N28" s="1917" t="str">
        <f>IF(OR(L29="",M27&lt;=R29),"","　※ 提出期限を過ぎています。施設にご連絡ください。")</f>
        <v/>
      </c>
      <c r="O28" s="1917"/>
      <c r="P28" s="1917"/>
      <c r="Q28" s="1917"/>
      <c r="R28" s="1917"/>
      <c r="S28" s="1917"/>
      <c r="T28" s="1917"/>
      <c r="U28" s="1917"/>
      <c r="V28" s="1917"/>
      <c r="W28" s="1917"/>
      <c r="X28" s="1917"/>
      <c r="Y28" s="1917"/>
      <c r="Z28" s="1104" t="str">
        <f>IF(AA24="","",IF(L64&lt;&gt;"昼","","①昼"))</f>
        <v/>
      </c>
      <c r="AA28" s="1105" t="str">
        <f>IF(AA24="","",IF(OR(AA29&lt;&gt;"",AND(O22=K22+1,R22="昼")),"②昼",""))</f>
        <v/>
      </c>
      <c r="AB28" s="1105" t="str">
        <f>IF(AA24="","",IF(OR(AB29&lt;&gt;"",AND(O22=K22+2,R22="昼")),"③昼",""))</f>
        <v/>
      </c>
      <c r="AC28" s="1106" t="str">
        <f>IF(AA24="","",IF(OR(AC29&lt;&gt;"",AND(O22=K22+3,R22="昼")),"④昼",""))</f>
        <v/>
      </c>
      <c r="AD28" s="1106" t="str">
        <f>IF(AA24="","",IF(OR(AD29&lt;&gt;"",AND(O22=K22+4,R22="昼")),"⑤昼",""))</f>
        <v/>
      </c>
      <c r="AE28" s="1103" t="str">
        <f>IF(AA24="","",IF(OR(H23&lt;=5,R22&lt;&gt;"昼",AC66=""),"","⑥昼"))</f>
        <v/>
      </c>
      <c r="AF28" s="1103"/>
      <c r="AG28" s="1103"/>
      <c r="AH28" s="287"/>
      <c r="AI28" s="201"/>
    </row>
    <row r="29" spans="1:45" ht="30" customHeight="1" thickBot="1" x14ac:dyDescent="0.2">
      <c r="B29" s="524" t="str">
        <f>IF(AND(LEN(G29)=4,J29&lt;&gt;"",L29&lt;&gt;"",N28=""),"○","×")</f>
        <v>×</v>
      </c>
      <c r="C29" s="2032" t="s">
        <v>205</v>
      </c>
      <c r="D29" s="2033"/>
      <c r="E29" s="2034"/>
      <c r="F29" s="276" t="s">
        <v>270</v>
      </c>
      <c r="G29" s="2031"/>
      <c r="H29" s="2031"/>
      <c r="I29" s="126" t="s">
        <v>3</v>
      </c>
      <c r="J29" s="207"/>
      <c r="K29" s="6" t="s">
        <v>0</v>
      </c>
      <c r="L29" s="207"/>
      <c r="M29" s="7" t="s">
        <v>1</v>
      </c>
      <c r="N29" s="2038" t="s">
        <v>408</v>
      </c>
      <c r="O29" s="2039"/>
      <c r="P29" s="2039"/>
      <c r="Q29" s="2039"/>
      <c r="R29" s="2045" t="str">
        <f>IF(OR(G24="",J24="",L24=""),"",(WORKDAY.INTL(U22+1,-1,"0000000",◎施設管理!B5:E35)))</f>
        <v/>
      </c>
      <c r="S29" s="2045"/>
      <c r="T29" s="2045"/>
      <c r="U29" s="2045"/>
      <c r="V29" s="2045"/>
      <c r="W29" s="2045"/>
      <c r="X29" s="2045"/>
      <c r="Y29" s="533"/>
      <c r="Z29" s="1107" t="str">
        <f>IF(AA24="","",IF(F23=0,"","①夕"))</f>
        <v/>
      </c>
      <c r="AA29" s="1108" t="str">
        <f>IF(AA24="","",IF(OR(F23&lt;=1,M66=""),"","②夕"))</f>
        <v/>
      </c>
      <c r="AB29" s="1108" t="str">
        <f>IF(AA24="","",IF(OR(F23&lt;=2,Q66=""),"","③夕"))</f>
        <v/>
      </c>
      <c r="AC29" s="1106" t="str">
        <f>IF(AA24="","",IF(OR(F23&lt;=3,U66=""),"","④夕"))</f>
        <v/>
      </c>
      <c r="AD29" s="1106" t="str">
        <f>IF(AA24="","",IF(OR(F23&lt;=4,U66=""),"","⑤夕"))</f>
        <v/>
      </c>
      <c r="AE29" s="1103"/>
      <c r="AF29" s="1103"/>
      <c r="AG29" s="1103"/>
      <c r="AH29" s="287"/>
      <c r="AI29" s="201"/>
      <c r="AN29" s="2"/>
    </row>
    <row r="30" spans="1:45" ht="30" customHeight="1" thickBot="1" x14ac:dyDescent="0.2">
      <c r="A30" s="49"/>
      <c r="B30" s="524" t="str">
        <f>IF(F30="","×","○")</f>
        <v>×</v>
      </c>
      <c r="C30" s="2021" t="s">
        <v>110</v>
      </c>
      <c r="D30" s="2022"/>
      <c r="E30" s="2022"/>
      <c r="F30" s="2023"/>
      <c r="G30" s="2024"/>
      <c r="H30" s="2024"/>
      <c r="I30" s="2024"/>
      <c r="J30" s="2024"/>
      <c r="K30" s="2024"/>
      <c r="L30" s="2024"/>
      <c r="M30" s="2024"/>
      <c r="N30" s="2024"/>
      <c r="O30" s="2024"/>
      <c r="P30" s="2024"/>
      <c r="Q30" s="2024"/>
      <c r="R30" s="2024"/>
      <c r="S30" s="2025"/>
      <c r="U30" s="134"/>
      <c r="V30" s="134"/>
      <c r="W30" s="134"/>
      <c r="X30" s="134"/>
      <c r="Y30" s="131"/>
      <c r="Z30" s="795"/>
      <c r="AA30" s="795"/>
      <c r="AB30" s="795"/>
      <c r="AC30" s="795"/>
      <c r="AD30" s="795"/>
      <c r="AE30" s="795"/>
      <c r="AF30" s="795"/>
      <c r="AG30" s="795"/>
      <c r="AM30" s="135"/>
      <c r="AN30" s="135"/>
      <c r="AS30" s="22" t="str">
        <f>IF(AND(入力1!AA28&lt;&gt;"",入力1!H88&lt;&gt;""),"○",IF(AND(入力1!AA28&lt;&gt;"",入力1!H88=""),"-",""))</f>
        <v/>
      </c>
    </row>
    <row r="31" spans="1:45" ht="30" customHeight="1" thickBot="1" x14ac:dyDescent="0.2">
      <c r="A31" s="49"/>
      <c r="B31" s="524" t="str">
        <f>IF(F31="","×","○")</f>
        <v>×</v>
      </c>
      <c r="C31" s="2026" t="s">
        <v>69</v>
      </c>
      <c r="D31" s="2027"/>
      <c r="E31" s="2027"/>
      <c r="F31" s="2028"/>
      <c r="G31" s="2029"/>
      <c r="H31" s="2029"/>
      <c r="I31" s="2029"/>
      <c r="J31" s="2029"/>
      <c r="K31" s="2029"/>
      <c r="L31" s="2029"/>
      <c r="M31" s="2029"/>
      <c r="N31" s="2029"/>
      <c r="O31" s="2029"/>
      <c r="P31" s="2029"/>
      <c r="Q31" s="2029"/>
      <c r="R31" s="2029"/>
      <c r="S31" s="2030"/>
      <c r="U31" s="134"/>
      <c r="V31" s="134"/>
      <c r="W31" s="134"/>
      <c r="X31" s="134"/>
      <c r="Y31" s="131"/>
      <c r="Z31" s="1109"/>
      <c r="AA31" s="1109"/>
      <c r="AB31" s="1107"/>
      <c r="AC31" s="1109"/>
      <c r="AD31" s="1107"/>
      <c r="AE31" s="1109"/>
      <c r="AF31" s="1109"/>
      <c r="AG31" s="1110"/>
      <c r="AH31" s="129"/>
      <c r="AI31" s="132"/>
      <c r="AJ31" s="132"/>
      <c r="AK31" s="132"/>
      <c r="AL31" s="132"/>
      <c r="AM31" s="132"/>
      <c r="AN31" s="132"/>
    </row>
    <row r="32" spans="1:45" s="49" customFormat="1" ht="15" customHeight="1" thickBot="1" x14ac:dyDescent="0.2">
      <c r="C32" s="258"/>
      <c r="D32" s="130"/>
      <c r="E32" s="130"/>
      <c r="F32" s="62"/>
      <c r="G32" s="62"/>
      <c r="H32" s="258"/>
      <c r="I32" s="258"/>
      <c r="J32" s="258"/>
      <c r="K32" s="258"/>
      <c r="L32" s="129"/>
      <c r="M32" s="258"/>
      <c r="N32" s="258"/>
      <c r="O32" s="258"/>
      <c r="P32" s="258"/>
      <c r="Q32" s="258"/>
      <c r="R32" s="258"/>
      <c r="S32" s="258"/>
      <c r="T32" s="258"/>
      <c r="U32" s="258"/>
      <c r="V32" s="511"/>
      <c r="W32" s="511"/>
      <c r="X32" s="511"/>
      <c r="Y32" s="131"/>
      <c r="Z32" s="258"/>
      <c r="AA32" s="53"/>
      <c r="AB32" s="259"/>
      <c r="AC32" s="259"/>
      <c r="AN32" s="129"/>
    </row>
    <row r="33" spans="1:40" s="49" customFormat="1" ht="17.25" customHeight="1" x14ac:dyDescent="0.15">
      <c r="A33" s="22"/>
      <c r="B33" s="1680" t="str">
        <f>IF(AND(Q33="",Q34=""),"○","×")</f>
        <v>×</v>
      </c>
      <c r="C33" s="2004" t="s">
        <v>195</v>
      </c>
      <c r="D33" s="2005"/>
      <c r="E33" s="2006"/>
      <c r="F33" s="2010">
        <f>AC40+AE40</f>
        <v>0</v>
      </c>
      <c r="G33" s="2010"/>
      <c r="H33" s="1912" t="s">
        <v>196</v>
      </c>
      <c r="I33" s="2016" t="s">
        <v>242</v>
      </c>
      <c r="J33" s="1912" t="s">
        <v>198</v>
      </c>
      <c r="K33" s="1912"/>
      <c r="L33" s="1912"/>
      <c r="M33" s="2014">
        <f>Y40+AA40</f>
        <v>0</v>
      </c>
      <c r="N33" s="2014"/>
      <c r="O33" s="1912" t="s">
        <v>196</v>
      </c>
      <c r="P33" s="2012" t="s">
        <v>197</v>
      </c>
      <c r="Q33" s="1994" t="str">
        <f>IF(F33&lt;2,"　※ 1名でのご利用はできません。","")</f>
        <v>　※ 1名でのご利用はできません。</v>
      </c>
      <c r="R33" s="1995"/>
      <c r="S33" s="1995"/>
      <c r="T33" s="1995"/>
      <c r="U33" s="1995"/>
      <c r="V33" s="1995"/>
      <c r="W33" s="1995"/>
      <c r="X33" s="1995"/>
      <c r="Y33" s="1995"/>
      <c r="Z33" s="1995"/>
      <c r="AA33" s="1995"/>
      <c r="AB33" s="1995"/>
      <c r="AC33" s="362"/>
      <c r="AN33" s="129"/>
    </row>
    <row r="34" spans="1:40" s="49" customFormat="1" ht="17.25" customHeight="1" thickBot="1" x14ac:dyDescent="0.2">
      <c r="A34" s="22"/>
      <c r="B34" s="1680"/>
      <c r="C34" s="2007"/>
      <c r="D34" s="2008"/>
      <c r="E34" s="2009"/>
      <c r="F34" s="2011"/>
      <c r="G34" s="2011"/>
      <c r="H34" s="1913"/>
      <c r="I34" s="2017"/>
      <c r="J34" s="1913"/>
      <c r="K34" s="1913"/>
      <c r="L34" s="1913"/>
      <c r="M34" s="2015"/>
      <c r="N34" s="2015"/>
      <c r="O34" s="1913"/>
      <c r="P34" s="2013"/>
      <c r="Q34" s="1994" t="str">
        <f>IF(M33=0,"　※ 大人の方が含まれない人員でのご利用はできません。","")</f>
        <v>　※ 大人の方が含まれない人員でのご利用はできません。</v>
      </c>
      <c r="R34" s="1995"/>
      <c r="S34" s="1995"/>
      <c r="T34" s="1995"/>
      <c r="U34" s="1995"/>
      <c r="V34" s="1995"/>
      <c r="W34" s="1995"/>
      <c r="X34" s="1995"/>
      <c r="Y34" s="1995"/>
      <c r="Z34" s="1995"/>
      <c r="AA34" s="1995"/>
      <c r="AB34" s="1995"/>
      <c r="AC34" s="362"/>
    </row>
    <row r="35" spans="1:40" s="335" customFormat="1" ht="5.25" customHeight="1" thickBot="1" x14ac:dyDescent="0.2">
      <c r="A35" s="322"/>
      <c r="B35" s="948"/>
      <c r="C35" s="956"/>
      <c r="D35" s="956"/>
      <c r="E35" s="956"/>
      <c r="F35" s="957"/>
      <c r="G35" s="957"/>
      <c r="H35" s="958"/>
      <c r="I35" s="959"/>
      <c r="J35" s="958"/>
      <c r="K35" s="958"/>
      <c r="L35" s="958"/>
      <c r="M35" s="960"/>
      <c r="N35" s="960"/>
      <c r="O35" s="958"/>
      <c r="P35" s="961"/>
      <c r="Q35" s="958"/>
      <c r="R35" s="956"/>
      <c r="S35" s="956"/>
      <c r="T35" s="956"/>
      <c r="U35" s="962"/>
      <c r="V35" s="962"/>
      <c r="W35" s="962"/>
      <c r="X35" s="962"/>
      <c r="Y35" s="948"/>
      <c r="Z35" s="948"/>
      <c r="AA35" s="948"/>
      <c r="AB35" s="948"/>
      <c r="AC35" s="948"/>
      <c r="AD35" s="948"/>
      <c r="AE35" s="948"/>
      <c r="AF35" s="322"/>
      <c r="AG35" s="322"/>
      <c r="AH35" s="334"/>
      <c r="AI35" s="334"/>
      <c r="AJ35" s="334"/>
      <c r="AK35" s="760"/>
    </row>
    <row r="36" spans="1:40" s="49" customFormat="1" ht="18.75" customHeight="1" x14ac:dyDescent="0.15">
      <c r="C36" s="1919" t="s">
        <v>102</v>
      </c>
      <c r="D36" s="1920"/>
      <c r="E36" s="1923" t="s">
        <v>80</v>
      </c>
      <c r="F36" s="1924"/>
      <c r="G36" s="1924"/>
      <c r="H36" s="1925"/>
      <c r="I36" s="1923" t="s">
        <v>82</v>
      </c>
      <c r="J36" s="1924"/>
      <c r="K36" s="1924"/>
      <c r="L36" s="1925"/>
      <c r="M36" s="1923" t="s">
        <v>409</v>
      </c>
      <c r="N36" s="1924"/>
      <c r="O36" s="1924"/>
      <c r="P36" s="1925"/>
      <c r="Q36" s="1923" t="s">
        <v>410</v>
      </c>
      <c r="R36" s="1924"/>
      <c r="S36" s="1924"/>
      <c r="T36" s="1925"/>
      <c r="U36" s="1926" t="s">
        <v>313</v>
      </c>
      <c r="V36" s="1924"/>
      <c r="W36" s="1924"/>
      <c r="X36" s="1925"/>
      <c r="Y36" s="1926" t="s">
        <v>314</v>
      </c>
      <c r="Z36" s="1927"/>
      <c r="AA36" s="1927"/>
      <c r="AB36" s="1928"/>
      <c r="AC36" s="1929" t="s">
        <v>79</v>
      </c>
      <c r="AD36" s="1930"/>
      <c r="AE36" s="1930"/>
      <c r="AF36" s="1931"/>
      <c r="AG36" s="128"/>
      <c r="AK36" s="129"/>
    </row>
    <row r="37" spans="1:40" s="49" customFormat="1" ht="18.75" customHeight="1" thickBot="1" x14ac:dyDescent="0.2">
      <c r="C37" s="1921"/>
      <c r="D37" s="1922"/>
      <c r="E37" s="1907" t="s">
        <v>152</v>
      </c>
      <c r="F37" s="1908"/>
      <c r="G37" s="1909" t="s">
        <v>200</v>
      </c>
      <c r="H37" s="1910"/>
      <c r="I37" s="1907" t="s">
        <v>152</v>
      </c>
      <c r="J37" s="1908"/>
      <c r="K37" s="1909" t="s">
        <v>200</v>
      </c>
      <c r="L37" s="1910"/>
      <c r="M37" s="1907" t="s">
        <v>152</v>
      </c>
      <c r="N37" s="1908"/>
      <c r="O37" s="1909" t="s">
        <v>200</v>
      </c>
      <c r="P37" s="1910"/>
      <c r="Q37" s="1907" t="s">
        <v>152</v>
      </c>
      <c r="R37" s="1908"/>
      <c r="S37" s="1909" t="s">
        <v>200</v>
      </c>
      <c r="T37" s="1910"/>
      <c r="U37" s="1907" t="s">
        <v>152</v>
      </c>
      <c r="V37" s="1908"/>
      <c r="W37" s="1909" t="s">
        <v>200</v>
      </c>
      <c r="X37" s="1910"/>
      <c r="Y37" s="1907" t="s">
        <v>152</v>
      </c>
      <c r="Z37" s="1908"/>
      <c r="AA37" s="1909" t="s">
        <v>200</v>
      </c>
      <c r="AB37" s="1910"/>
      <c r="AC37" s="1907" t="s">
        <v>152</v>
      </c>
      <c r="AD37" s="1908"/>
      <c r="AE37" s="1909" t="s">
        <v>200</v>
      </c>
      <c r="AF37" s="1910"/>
      <c r="AG37" s="261" t="str">
        <f>IF(F33=AC40+AE40,"○","×")</f>
        <v>○</v>
      </c>
      <c r="AK37" s="129"/>
    </row>
    <row r="38" spans="1:40" s="49" customFormat="1" ht="30" customHeight="1" x14ac:dyDescent="0.25">
      <c r="C38" s="1932" t="s">
        <v>199</v>
      </c>
      <c r="D38" s="1933"/>
      <c r="E38" s="1893"/>
      <c r="F38" s="1894"/>
      <c r="G38" s="1883"/>
      <c r="H38" s="1884"/>
      <c r="I38" s="1893"/>
      <c r="J38" s="1894"/>
      <c r="K38" s="1883"/>
      <c r="L38" s="1884"/>
      <c r="M38" s="1893"/>
      <c r="N38" s="1894"/>
      <c r="O38" s="1883"/>
      <c r="P38" s="1884"/>
      <c r="Q38" s="1893"/>
      <c r="R38" s="1894"/>
      <c r="S38" s="1883"/>
      <c r="T38" s="1884"/>
      <c r="U38" s="1893"/>
      <c r="V38" s="1894"/>
      <c r="W38" s="1883"/>
      <c r="X38" s="1884"/>
      <c r="Y38" s="1893"/>
      <c r="Z38" s="1894"/>
      <c r="AA38" s="1883"/>
      <c r="AB38" s="1884"/>
      <c r="AC38" s="1879">
        <f>SUM(E38,I38,M38,Q38,U38,Y38)</f>
        <v>0</v>
      </c>
      <c r="AD38" s="1880"/>
      <c r="AE38" s="1881">
        <f>SUM(G38,K38,O38,S38,W38,AA38)</f>
        <v>0</v>
      </c>
      <c r="AF38" s="1882"/>
      <c r="AK38" s="129"/>
    </row>
    <row r="39" spans="1:40" s="49" customFormat="1" ht="30" customHeight="1" thickBot="1" x14ac:dyDescent="0.3">
      <c r="C39" s="2002" t="s">
        <v>78</v>
      </c>
      <c r="D39" s="2003"/>
      <c r="E39" s="1885"/>
      <c r="F39" s="1886"/>
      <c r="G39" s="1887"/>
      <c r="H39" s="1888"/>
      <c r="I39" s="1885"/>
      <c r="J39" s="1886"/>
      <c r="K39" s="1887"/>
      <c r="L39" s="1888"/>
      <c r="M39" s="1885"/>
      <c r="N39" s="1886"/>
      <c r="O39" s="1887"/>
      <c r="P39" s="1888"/>
      <c r="Q39" s="1885"/>
      <c r="R39" s="1886"/>
      <c r="S39" s="1887"/>
      <c r="T39" s="1888"/>
      <c r="U39" s="1885"/>
      <c r="V39" s="1886"/>
      <c r="W39" s="1887"/>
      <c r="X39" s="1888"/>
      <c r="Y39" s="1885"/>
      <c r="Z39" s="1886"/>
      <c r="AA39" s="1887"/>
      <c r="AB39" s="1888"/>
      <c r="AC39" s="1889">
        <f>SUM(E39,I39,M39,Q39,U39,Y39)</f>
        <v>0</v>
      </c>
      <c r="AD39" s="1890"/>
      <c r="AE39" s="1891">
        <f>SUM(G39,K39,O39,S39,W39,AA39)</f>
        <v>0</v>
      </c>
      <c r="AF39" s="1892"/>
      <c r="AK39" s="129"/>
    </row>
    <row r="40" spans="1:40" s="49" customFormat="1" ht="30" customHeight="1" thickTop="1" thickBot="1" x14ac:dyDescent="0.3">
      <c r="C40" s="2000" t="s">
        <v>79</v>
      </c>
      <c r="D40" s="2001"/>
      <c r="E40" s="1868">
        <f>SUM(E38:F39)</f>
        <v>0</v>
      </c>
      <c r="F40" s="1869"/>
      <c r="G40" s="1870">
        <f>SUM(G38:H39)</f>
        <v>0</v>
      </c>
      <c r="H40" s="1871"/>
      <c r="I40" s="1868">
        <f>SUM(I38:J39)</f>
        <v>0</v>
      </c>
      <c r="J40" s="1869"/>
      <c r="K40" s="1870">
        <f>SUM(K38:L39)</f>
        <v>0</v>
      </c>
      <c r="L40" s="1871"/>
      <c r="M40" s="1868">
        <f>SUM(M38:N39)</f>
        <v>0</v>
      </c>
      <c r="N40" s="1869"/>
      <c r="O40" s="1870">
        <f>SUM(O38:P39)</f>
        <v>0</v>
      </c>
      <c r="P40" s="1871"/>
      <c r="Q40" s="1868">
        <f>SUM(Q38:R39)</f>
        <v>0</v>
      </c>
      <c r="R40" s="1869"/>
      <c r="S40" s="1870">
        <f>SUM(S38:T39)</f>
        <v>0</v>
      </c>
      <c r="T40" s="1871"/>
      <c r="U40" s="1868">
        <f>SUM(U38:V39)</f>
        <v>0</v>
      </c>
      <c r="V40" s="1869"/>
      <c r="W40" s="1870">
        <f>SUM(W38:X39)</f>
        <v>0</v>
      </c>
      <c r="X40" s="1871"/>
      <c r="Y40" s="1868">
        <f>SUM(Y38:Z39)</f>
        <v>0</v>
      </c>
      <c r="Z40" s="1869"/>
      <c r="AA40" s="1870">
        <f>SUM(AA38:AB39)</f>
        <v>0</v>
      </c>
      <c r="AB40" s="1871"/>
      <c r="AC40" s="1900">
        <f>SUM(AC38:AD39)</f>
        <v>0</v>
      </c>
      <c r="AD40" s="1901"/>
      <c r="AE40" s="1980">
        <f>SUM(AE38:AF39)</f>
        <v>0</v>
      </c>
      <c r="AF40" s="1981"/>
      <c r="AK40" s="129"/>
    </row>
    <row r="41" spans="1:40" s="49" customFormat="1" ht="11.25" customHeight="1" thickBot="1" x14ac:dyDescent="0.2">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K41" s="129"/>
    </row>
    <row r="42" spans="1:40" s="49" customFormat="1" ht="33.75" customHeight="1" thickBot="1" x14ac:dyDescent="0.2">
      <c r="A42" s="2"/>
      <c r="B42" s="523" t="str">
        <f>IF(V42="","×","○")</f>
        <v>×</v>
      </c>
      <c r="C42" s="1696" t="s">
        <v>552</v>
      </c>
      <c r="D42" s="1697"/>
      <c r="E42" s="1697"/>
      <c r="F42" s="1697"/>
      <c r="G42" s="1697"/>
      <c r="H42" s="1697"/>
      <c r="I42" s="1697"/>
      <c r="J42" s="1697"/>
      <c r="K42" s="1697"/>
      <c r="L42" s="1697"/>
      <c r="M42" s="1697"/>
      <c r="N42" s="1697"/>
      <c r="O42" s="1697"/>
      <c r="P42" s="1697"/>
      <c r="Q42" s="1697"/>
      <c r="R42" s="1697"/>
      <c r="S42" s="1697"/>
      <c r="T42" s="1697"/>
      <c r="U42" s="1698"/>
      <c r="V42" s="1699"/>
      <c r="W42" s="1700"/>
      <c r="X42" s="322"/>
      <c r="Y42" s="22"/>
      <c r="Z42" s="22"/>
      <c r="AA42" s="22"/>
      <c r="AB42" s="22"/>
      <c r="AC42" s="22"/>
      <c r="AD42" s="22"/>
      <c r="AE42" s="22"/>
      <c r="AF42" s="22"/>
      <c r="AG42" s="201"/>
      <c r="AH42" s="201"/>
      <c r="AI42" s="201"/>
      <c r="AJ42" s="362"/>
      <c r="AK42" s="129"/>
    </row>
    <row r="43" spans="1:40" ht="26.25" customHeight="1" x14ac:dyDescent="0.15">
      <c r="I43" s="3"/>
      <c r="J43" s="3"/>
      <c r="K43" s="9"/>
      <c r="L43" s="3"/>
      <c r="M43" s="9"/>
      <c r="N43" s="9"/>
      <c r="O43" s="3"/>
      <c r="P43" s="339"/>
      <c r="Q43" s="339"/>
      <c r="R43" s="339"/>
      <c r="S43" s="339"/>
      <c r="T43" s="339"/>
      <c r="U43" s="339"/>
      <c r="V43" s="339"/>
      <c r="W43" s="339"/>
      <c r="X43" s="339"/>
      <c r="Y43" s="339"/>
      <c r="Z43" s="339"/>
      <c r="AA43" s="339"/>
      <c r="AB43" s="339"/>
      <c r="AC43" s="339"/>
      <c r="AK43" s="2"/>
    </row>
    <row r="44" spans="1:40" ht="30" customHeight="1" x14ac:dyDescent="0.15">
      <c r="B44" s="1707" t="s">
        <v>419</v>
      </c>
      <c r="C44" s="1707"/>
      <c r="D44" s="1707"/>
      <c r="E44" s="1707"/>
      <c r="F44" s="1707"/>
      <c r="G44" s="1707"/>
      <c r="H44" s="1707"/>
      <c r="I44" s="1707"/>
      <c r="J44" s="1707"/>
      <c r="K44" s="1707"/>
      <c r="L44" s="1707"/>
      <c r="M44" s="260"/>
      <c r="N44" s="260"/>
      <c r="O44" s="260"/>
      <c r="P44" s="260"/>
      <c r="Q44" s="260"/>
      <c r="R44" s="260"/>
      <c r="S44" s="260"/>
      <c r="T44" s="260"/>
      <c r="U44" s="260"/>
      <c r="V44" s="152"/>
      <c r="W44" s="152"/>
      <c r="X44" s="152"/>
      <c r="AB44" s="152"/>
      <c r="AC44" s="152"/>
      <c r="AD44" s="152"/>
      <c r="AE44" s="152"/>
      <c r="AF44" s="152"/>
      <c r="AK44" s="2"/>
    </row>
    <row r="45" spans="1:40" ht="59.25" customHeight="1" x14ac:dyDescent="0.15">
      <c r="A45" s="2"/>
      <c r="B45" s="2"/>
      <c r="C45" s="1872" t="s">
        <v>484</v>
      </c>
      <c r="D45" s="1872"/>
      <c r="E45" s="1872"/>
      <c r="F45" s="1872"/>
      <c r="G45" s="1872"/>
      <c r="H45" s="1872"/>
      <c r="I45" s="1872"/>
      <c r="J45" s="1872"/>
      <c r="K45" s="1872"/>
      <c r="L45" s="1872"/>
      <c r="M45" s="1872"/>
      <c r="N45" s="1872"/>
      <c r="O45" s="1872"/>
      <c r="P45" s="1872"/>
      <c r="Q45" s="1872"/>
      <c r="R45" s="1872"/>
      <c r="S45" s="1872"/>
      <c r="T45" s="1872"/>
      <c r="U45" s="1872"/>
      <c r="V45" s="1872"/>
      <c r="W45" s="510"/>
      <c r="AB45" s="332"/>
      <c r="AC45" s="332"/>
      <c r="AD45" s="332"/>
      <c r="AE45" s="332"/>
      <c r="AF45" s="332"/>
      <c r="AG45" s="270"/>
      <c r="AH45" s="270"/>
      <c r="AI45" s="270"/>
      <c r="AK45" s="2"/>
    </row>
    <row r="46" spans="1:40" ht="7.5" customHeight="1" thickBot="1" x14ac:dyDescent="0.2">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x14ac:dyDescent="0.2">
      <c r="A47" s="2"/>
      <c r="B47" s="1680" t="str">
        <f>IF(AND(W48="○",W49="○",W50="○",W47="○",OR(I48&lt;&gt;"",D49&lt;&gt;"",D50&lt;&gt;"")),"○","×")</f>
        <v>×</v>
      </c>
      <c r="C47" s="275"/>
      <c r="D47" s="1770" t="s">
        <v>10</v>
      </c>
      <c r="E47" s="1771"/>
      <c r="F47" s="1771"/>
      <c r="G47" s="1771"/>
      <c r="H47" s="1771"/>
      <c r="I47" s="1771"/>
      <c r="J47" s="1771"/>
      <c r="K47" s="1771"/>
      <c r="L47" s="1772"/>
      <c r="M47" s="1770" t="s">
        <v>11</v>
      </c>
      <c r="N47" s="1771"/>
      <c r="O47" s="1772"/>
      <c r="P47" s="1976" t="s">
        <v>208</v>
      </c>
      <c r="Q47" s="1976"/>
      <c r="R47" s="1976"/>
      <c r="S47" s="1770" t="s">
        <v>12</v>
      </c>
      <c r="T47" s="1771"/>
      <c r="U47" s="1771"/>
      <c r="V47" s="1826"/>
      <c r="W47" s="763" t="str">
        <f>IF(AND(X47=Y47,Y47=Z47,X47=Z47),"○","×")</f>
        <v>×</v>
      </c>
      <c r="X47" s="764">
        <f>COUNTA(I48,D49,D50)</f>
        <v>0</v>
      </c>
      <c r="Y47" s="764">
        <f>COUNTA(M48:M50)</f>
        <v>1</v>
      </c>
      <c r="Z47" s="764">
        <f>COUNTA(P48:P50)</f>
        <v>0</v>
      </c>
    </row>
    <row r="48" spans="1:40" ht="30" customHeight="1" x14ac:dyDescent="0.15">
      <c r="B48" s="1680"/>
      <c r="C48" s="1114">
        <v>1</v>
      </c>
      <c r="E48" s="1763" t="s">
        <v>207</v>
      </c>
      <c r="F48" s="1763"/>
      <c r="G48" s="1763"/>
      <c r="H48" s="1763"/>
      <c r="I48" s="1816"/>
      <c r="J48" s="1816"/>
      <c r="K48" s="299" t="s">
        <v>197</v>
      </c>
      <c r="L48" s="300"/>
      <c r="M48" s="1817" t="s">
        <v>696</v>
      </c>
      <c r="N48" s="1818"/>
      <c r="O48" s="1819"/>
      <c r="P48" s="1866"/>
      <c r="Q48" s="1867"/>
      <c r="R48" s="1867"/>
      <c r="S48" s="1764"/>
      <c r="T48" s="1765"/>
      <c r="U48" s="1765"/>
      <c r="V48" s="1766"/>
      <c r="W48" s="765" t="str">
        <f>IF((OR(AND(I48&lt;&gt;"",M48&lt;&gt;"",P48&lt;&gt;""),AND(I48="",M48="",P48=""))),"○","×")</f>
        <v>×</v>
      </c>
      <c r="X48" s="1996" t="s">
        <v>487</v>
      </c>
      <c r="Y48" s="1896"/>
      <c r="Z48" s="1897"/>
      <c r="AA48" s="1896" t="s">
        <v>485</v>
      </c>
      <c r="AB48" s="1897"/>
      <c r="AC48" s="1896" t="s">
        <v>486</v>
      </c>
      <c r="AD48" s="1897"/>
      <c r="AE48" s="1896" t="s">
        <v>488</v>
      </c>
      <c r="AF48" s="1897"/>
    </row>
    <row r="49" spans="1:43" ht="30" customHeight="1" thickBot="1" x14ac:dyDescent="0.2">
      <c r="B49" s="1680"/>
      <c r="C49" s="1115">
        <v>2</v>
      </c>
      <c r="D49" s="1767"/>
      <c r="E49" s="1768"/>
      <c r="F49" s="1768"/>
      <c r="G49" s="1768"/>
      <c r="H49" s="1768"/>
      <c r="I49" s="1768"/>
      <c r="J49" s="1768"/>
      <c r="K49" s="1768"/>
      <c r="L49" s="1769"/>
      <c r="M49" s="1820"/>
      <c r="N49" s="1821"/>
      <c r="O49" s="1822"/>
      <c r="P49" s="1820"/>
      <c r="Q49" s="1821"/>
      <c r="R49" s="1821"/>
      <c r="S49" s="1773"/>
      <c r="T49" s="1774"/>
      <c r="U49" s="1774"/>
      <c r="V49" s="1775"/>
      <c r="W49" s="765" t="str">
        <f>IF((OR(AND(D49&lt;&gt;"",M49&lt;&gt;"",P49&lt;&gt;""),AND(D49="",M49="",P49=""))),"○","×")</f>
        <v>○</v>
      </c>
      <c r="X49" s="1997">
        <f>◎施設管理!I10</f>
        <v>200</v>
      </c>
      <c r="Y49" s="1998"/>
      <c r="Z49" s="1999"/>
      <c r="AA49" s="1982">
        <f>SUM(P48:R50)</f>
        <v>0</v>
      </c>
      <c r="AB49" s="1983"/>
      <c r="AC49" s="1898">
        <f>AC40</f>
        <v>0</v>
      </c>
      <c r="AD49" s="1899"/>
      <c r="AE49" s="1898">
        <f>AC49-AA49</f>
        <v>0</v>
      </c>
      <c r="AF49" s="1899"/>
    </row>
    <row r="50" spans="1:43" ht="30" customHeight="1" thickBot="1" x14ac:dyDescent="0.2">
      <c r="B50" s="1680"/>
      <c r="C50" s="1116">
        <v>3</v>
      </c>
      <c r="D50" s="1776"/>
      <c r="E50" s="1777"/>
      <c r="F50" s="1777"/>
      <c r="G50" s="1777"/>
      <c r="H50" s="1777"/>
      <c r="I50" s="1777"/>
      <c r="J50" s="1777"/>
      <c r="K50" s="1777"/>
      <c r="L50" s="1778"/>
      <c r="M50" s="1823"/>
      <c r="N50" s="1824"/>
      <c r="O50" s="1825"/>
      <c r="P50" s="1823"/>
      <c r="Q50" s="1824"/>
      <c r="R50" s="1824"/>
      <c r="S50" s="1779"/>
      <c r="T50" s="1780"/>
      <c r="U50" s="1780"/>
      <c r="V50" s="1781"/>
      <c r="W50" s="765" t="str">
        <f>IF((OR(AND(D50&lt;&gt;"",M50&lt;&gt;"",P50&lt;&gt;""),AND(D50="",M50="",P50=""))),"○","×")</f>
        <v>○</v>
      </c>
      <c r="X50" s="202"/>
      <c r="Y50" s="202"/>
    </row>
    <row r="51" spans="1:43" ht="11.25" customHeight="1" thickBot="1" x14ac:dyDescent="0.2">
      <c r="A51" s="948"/>
      <c r="B51" s="948"/>
      <c r="C51" s="330"/>
      <c r="D51" s="949"/>
      <c r="E51" s="949"/>
      <c r="F51" s="949"/>
      <c r="G51" s="949"/>
      <c r="H51" s="949"/>
      <c r="I51" s="949"/>
      <c r="J51" s="949"/>
      <c r="K51" s="949"/>
      <c r="L51" s="950"/>
      <c r="M51" s="950"/>
      <c r="N51" s="950"/>
      <c r="O51" s="950"/>
      <c r="P51" s="950"/>
      <c r="Q51" s="950"/>
      <c r="R51" s="951"/>
      <c r="S51" s="951"/>
      <c r="T51" s="951"/>
      <c r="U51" s="951"/>
      <c r="V51" s="952"/>
      <c r="W51" s="953"/>
      <c r="X51" s="953"/>
      <c r="Y51" s="953"/>
      <c r="Z51" s="953"/>
      <c r="AA51" s="953"/>
      <c r="AB51" s="953"/>
      <c r="AC51" s="953"/>
      <c r="AD51" s="331"/>
      <c r="AE51" s="331"/>
      <c r="AF51" s="331"/>
      <c r="AG51" s="331"/>
      <c r="AH51" s="331"/>
      <c r="AI51" s="331"/>
      <c r="AJ51" s="202"/>
      <c r="AK51" s="202"/>
    </row>
    <row r="52" spans="1:43" ht="33.75" customHeight="1" thickBot="1" x14ac:dyDescent="0.2">
      <c r="A52" s="322"/>
      <c r="B52" s="524" t="str">
        <f>IF(U52="","×","○")</f>
        <v>×</v>
      </c>
      <c r="C52" s="1696" t="s">
        <v>411</v>
      </c>
      <c r="D52" s="1697"/>
      <c r="E52" s="1697"/>
      <c r="F52" s="1697"/>
      <c r="G52" s="1697"/>
      <c r="H52" s="1697"/>
      <c r="I52" s="1697"/>
      <c r="J52" s="1697"/>
      <c r="K52" s="1697"/>
      <c r="L52" s="1697"/>
      <c r="M52" s="1697"/>
      <c r="N52" s="1697"/>
      <c r="O52" s="1697"/>
      <c r="P52" s="1697"/>
      <c r="Q52" s="1697"/>
      <c r="R52" s="1697"/>
      <c r="S52" s="1697"/>
      <c r="T52" s="1698"/>
      <c r="U52" s="1699"/>
      <c r="V52" s="1700"/>
      <c r="W52" s="331"/>
      <c r="X52" s="331"/>
      <c r="Y52" s="331"/>
      <c r="Z52" s="331"/>
      <c r="AA52" s="331"/>
      <c r="AB52" s="331"/>
      <c r="AC52" s="331"/>
      <c r="AD52" s="331"/>
      <c r="AE52" s="331"/>
      <c r="AF52" s="331"/>
      <c r="AG52" s="331"/>
      <c r="AH52" s="331"/>
      <c r="AI52" s="202"/>
      <c r="AJ52" s="202"/>
    </row>
    <row r="53" spans="1:43" ht="5.25" customHeight="1" thickBot="1" x14ac:dyDescent="0.2">
      <c r="A53" s="322"/>
      <c r="B53" s="948"/>
      <c r="C53" s="330"/>
      <c r="D53" s="949"/>
      <c r="E53" s="949"/>
      <c r="F53" s="949"/>
      <c r="G53" s="949"/>
      <c r="H53" s="949"/>
      <c r="I53" s="949"/>
      <c r="J53" s="949"/>
      <c r="K53" s="949"/>
      <c r="L53" s="950"/>
      <c r="M53" s="950"/>
      <c r="N53" s="950"/>
      <c r="O53" s="950"/>
      <c r="P53" s="950"/>
      <c r="Q53" s="950"/>
      <c r="R53" s="951"/>
      <c r="S53" s="951"/>
      <c r="T53" s="951"/>
      <c r="U53" s="951"/>
      <c r="V53" s="951"/>
      <c r="W53" s="952"/>
      <c r="X53" s="953"/>
      <c r="Y53" s="953"/>
      <c r="Z53" s="331"/>
      <c r="AA53" s="331"/>
      <c r="AB53" s="331"/>
      <c r="AC53" s="331"/>
      <c r="AD53" s="331"/>
      <c r="AE53" s="331"/>
      <c r="AF53" s="331"/>
      <c r="AG53" s="331"/>
      <c r="AH53" s="331"/>
      <c r="AI53" s="331"/>
      <c r="AJ53" s="331"/>
      <c r="AK53" s="202"/>
      <c r="AL53" s="202"/>
      <c r="AM53" s="2"/>
    </row>
    <row r="54" spans="1:43" ht="33.75" customHeight="1" thickBot="1" x14ac:dyDescent="0.2">
      <c r="A54" s="322"/>
      <c r="B54" s="524" t="str">
        <f>IF(U54="","×","○")</f>
        <v>×</v>
      </c>
      <c r="C54" s="1696" t="s">
        <v>426</v>
      </c>
      <c r="D54" s="1697"/>
      <c r="E54" s="1697"/>
      <c r="F54" s="1697"/>
      <c r="G54" s="1697"/>
      <c r="H54" s="1697"/>
      <c r="I54" s="1697"/>
      <c r="J54" s="1697"/>
      <c r="K54" s="1697"/>
      <c r="L54" s="1697"/>
      <c r="M54" s="1697"/>
      <c r="N54" s="1697"/>
      <c r="O54" s="1697"/>
      <c r="P54" s="1697"/>
      <c r="Q54" s="1697"/>
      <c r="R54" s="1697"/>
      <c r="S54" s="1697"/>
      <c r="T54" s="1698"/>
      <c r="U54" s="1699"/>
      <c r="V54" s="1700"/>
      <c r="W54" s="331"/>
      <c r="X54" s="331"/>
      <c r="Y54" s="331"/>
      <c r="Z54" s="331"/>
      <c r="AA54" s="331"/>
      <c r="AB54" s="331"/>
      <c r="AC54" s="331"/>
      <c r="AD54" s="331"/>
      <c r="AE54" s="331"/>
      <c r="AF54" s="331"/>
      <c r="AG54" s="331"/>
      <c r="AH54" s="331"/>
      <c r="AI54" s="202"/>
      <c r="AJ54" s="202"/>
    </row>
    <row r="55" spans="1:43" s="322" customFormat="1" ht="5.25" customHeight="1" thickBot="1" x14ac:dyDescent="0.2">
      <c r="B55" s="963"/>
      <c r="C55" s="964"/>
      <c r="D55" s="964"/>
      <c r="E55" s="964"/>
      <c r="F55" s="964"/>
      <c r="G55" s="964"/>
      <c r="H55" s="964"/>
      <c r="I55" s="964"/>
      <c r="J55" s="964"/>
      <c r="K55" s="964"/>
      <c r="L55" s="964"/>
      <c r="M55" s="964"/>
      <c r="N55" s="964"/>
      <c r="O55" s="964"/>
      <c r="P55" s="964"/>
      <c r="Q55" s="964"/>
      <c r="R55" s="964"/>
      <c r="S55" s="964"/>
      <c r="T55" s="964"/>
      <c r="U55" s="965"/>
      <c r="V55" s="965"/>
      <c r="W55" s="953"/>
      <c r="X55" s="953"/>
      <c r="Y55" s="953"/>
      <c r="Z55" s="331"/>
      <c r="AA55" s="331"/>
      <c r="AB55" s="331"/>
      <c r="AC55" s="331"/>
      <c r="AD55" s="331"/>
      <c r="AE55" s="331"/>
      <c r="AF55" s="331"/>
      <c r="AG55" s="331"/>
      <c r="AH55" s="331"/>
      <c r="AI55" s="333"/>
      <c r="AJ55" s="333"/>
    </row>
    <row r="56" spans="1:43" s="322" customFormat="1" ht="33.75" customHeight="1" thickBot="1" x14ac:dyDescent="0.2">
      <c r="B56" s="524" t="str">
        <f>IF(U56="","×","○")</f>
        <v>×</v>
      </c>
      <c r="C56" s="1696" t="s">
        <v>697</v>
      </c>
      <c r="D56" s="1697"/>
      <c r="E56" s="1697"/>
      <c r="F56" s="1697"/>
      <c r="G56" s="1697"/>
      <c r="H56" s="1697"/>
      <c r="I56" s="1697"/>
      <c r="J56" s="1697"/>
      <c r="K56" s="1697"/>
      <c r="L56" s="1697"/>
      <c r="M56" s="1697"/>
      <c r="N56" s="1697"/>
      <c r="O56" s="1697"/>
      <c r="P56" s="1697"/>
      <c r="Q56" s="1697"/>
      <c r="R56" s="1697"/>
      <c r="S56" s="1697"/>
      <c r="T56" s="1698"/>
      <c r="U56" s="1699"/>
      <c r="V56" s="1700"/>
      <c r="W56" s="331"/>
      <c r="X56" s="331"/>
      <c r="Y56" s="331"/>
      <c r="Z56" s="331"/>
      <c r="AA56" s="331"/>
      <c r="AB56" s="331"/>
      <c r="AC56" s="331"/>
      <c r="AD56" s="331"/>
      <c r="AE56" s="331"/>
      <c r="AF56" s="331"/>
      <c r="AG56" s="331"/>
      <c r="AH56" s="331"/>
      <c r="AI56" s="333"/>
      <c r="AJ56" s="333"/>
    </row>
    <row r="57" spans="1:43" ht="26.25" customHeight="1" x14ac:dyDescent="0.15">
      <c r="C57" s="766"/>
      <c r="D57" s="766"/>
      <c r="E57" s="766"/>
      <c r="F57" s="766"/>
      <c r="G57" s="766"/>
      <c r="H57" s="766"/>
      <c r="I57" s="766"/>
      <c r="J57" s="766"/>
      <c r="K57" s="766"/>
      <c r="L57" s="766"/>
      <c r="M57" s="766"/>
      <c r="N57" s="766"/>
      <c r="O57" s="766"/>
      <c r="P57" s="26"/>
      <c r="Q57" s="4"/>
      <c r="Y57" s="162"/>
      <c r="AB57" s="2"/>
      <c r="AC57" s="1902"/>
      <c r="AD57" s="1902"/>
      <c r="AE57" s="1902"/>
      <c r="AF57" s="1902"/>
      <c r="AG57" s="1902"/>
      <c r="AH57" s="1902"/>
      <c r="AI57" s="1902"/>
      <c r="AK57" s="2"/>
    </row>
    <row r="58" spans="1:43" ht="30" customHeight="1" x14ac:dyDescent="0.15">
      <c r="B58" s="1707" t="s">
        <v>421</v>
      </c>
      <c r="C58" s="1707"/>
      <c r="D58" s="1707"/>
      <c r="E58" s="1707"/>
      <c r="F58" s="1707"/>
      <c r="G58" s="1707"/>
      <c r="H58" s="1986"/>
      <c r="I58" s="1986"/>
      <c r="J58" s="1986"/>
      <c r="K58" s="1986"/>
      <c r="L58" s="1986"/>
      <c r="M58" s="1986"/>
      <c r="N58" s="1986"/>
      <c r="O58" s="1986"/>
      <c r="P58" s="1986"/>
      <c r="Q58" s="1986"/>
      <c r="R58" s="1986"/>
      <c r="S58" s="1986"/>
      <c r="T58" s="1986"/>
      <c r="U58" s="1986"/>
      <c r="V58" s="1986"/>
      <c r="W58" s="1986"/>
      <c r="X58" s="1986"/>
      <c r="Y58" s="1986"/>
      <c r="Z58" s="1986"/>
      <c r="AA58" s="1986"/>
      <c r="AB58" s="2"/>
      <c r="AC58" s="39"/>
      <c r="AD58" s="39"/>
      <c r="AE58" s="39"/>
      <c r="AF58" s="39"/>
      <c r="AG58" s="39"/>
      <c r="AH58" s="39"/>
      <c r="AI58" s="39"/>
      <c r="AK58" s="2"/>
    </row>
    <row r="59" spans="1:43" ht="65.25" customHeight="1" x14ac:dyDescent="0.15">
      <c r="A59" s="2"/>
      <c r="C59" s="1872" t="s">
        <v>652</v>
      </c>
      <c r="D59" s="1872"/>
      <c r="E59" s="1872"/>
      <c r="F59" s="1872"/>
      <c r="G59" s="1872"/>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39"/>
      <c r="AE59" s="39"/>
      <c r="AF59" s="39"/>
      <c r="AG59" s="39"/>
      <c r="AH59" s="39"/>
      <c r="AI59" s="39"/>
      <c r="AK59" s="2"/>
    </row>
    <row r="60" spans="1:43" ht="7.5" customHeight="1" thickBot="1" x14ac:dyDescent="0.2">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x14ac:dyDescent="0.15">
      <c r="A61" s="2"/>
      <c r="B61" s="1680" t="str">
        <f>IF(H61="","×","○")</f>
        <v>×</v>
      </c>
      <c r="C61" s="1873" t="s">
        <v>290</v>
      </c>
      <c r="D61" s="1874"/>
      <c r="E61" s="1874"/>
      <c r="F61" s="1874"/>
      <c r="G61" s="1875"/>
      <c r="H61" s="1864"/>
      <c r="I61" s="1864"/>
      <c r="J61" s="1864"/>
      <c r="K61" s="1864"/>
      <c r="L61" s="1903" t="str">
        <f>IF(H61="あり","　※ 食物アレルギー調査票〔ＨＰにて別途ダウンロード〕を","")</f>
        <v/>
      </c>
      <c r="M61" s="1904"/>
      <c r="N61" s="1904"/>
      <c r="O61" s="1904"/>
      <c r="P61" s="1904"/>
      <c r="Q61" s="1904"/>
      <c r="R61" s="1904"/>
      <c r="S61" s="1904"/>
      <c r="T61" s="1904"/>
      <c r="U61" s="1904"/>
      <c r="V61" s="1904"/>
      <c r="W61" s="1904"/>
      <c r="X61" s="1904"/>
      <c r="Y61" s="1904"/>
      <c r="Z61" s="1904"/>
      <c r="AA61" s="1904"/>
      <c r="AB61" s="508"/>
      <c r="AC61" s="508"/>
      <c r="AD61" s="68"/>
      <c r="AE61" s="68"/>
      <c r="AF61" s="68"/>
      <c r="AG61" s="68"/>
      <c r="AH61" s="68"/>
      <c r="AI61" s="68"/>
      <c r="AK61" s="68"/>
    </row>
    <row r="62" spans="1:43" ht="17.25" customHeight="1" thickBot="1" x14ac:dyDescent="0.2">
      <c r="A62" s="2"/>
      <c r="B62" s="1680"/>
      <c r="C62" s="1876"/>
      <c r="D62" s="1877"/>
      <c r="E62" s="1877"/>
      <c r="F62" s="1877"/>
      <c r="G62" s="1878"/>
      <c r="H62" s="1865"/>
      <c r="I62" s="1865"/>
      <c r="J62" s="1865"/>
      <c r="K62" s="1865"/>
      <c r="L62" s="1984" t="str">
        <f>IF(H61="あり","　　 ２週間前までに提出してください。","")</f>
        <v/>
      </c>
      <c r="M62" s="1985"/>
      <c r="N62" s="1985"/>
      <c r="O62" s="1985"/>
      <c r="P62" s="1985"/>
      <c r="Q62" s="1985"/>
      <c r="R62" s="1985"/>
      <c r="S62" s="1985"/>
      <c r="T62" s="1985"/>
      <c r="U62" s="1985"/>
      <c r="V62" s="1985"/>
      <c r="W62" s="1985"/>
      <c r="X62" s="1985"/>
      <c r="Y62" s="1985"/>
      <c r="Z62" s="1985"/>
      <c r="AA62" s="1985"/>
      <c r="AB62" s="508"/>
      <c r="AC62" s="508"/>
      <c r="AD62" s="68"/>
      <c r="AE62" s="68"/>
      <c r="AF62" s="68"/>
      <c r="AG62" s="68"/>
      <c r="AH62" s="68"/>
      <c r="AI62" s="68"/>
      <c r="AK62" s="70"/>
    </row>
    <row r="63" spans="1:43" ht="11.25" customHeight="1" thickBot="1" x14ac:dyDescent="0.2">
      <c r="C63" s="127"/>
      <c r="D63" s="303"/>
      <c r="E63" s="303"/>
      <c r="F63" s="303"/>
      <c r="G63" s="303"/>
      <c r="H63" s="303"/>
      <c r="I63" s="303"/>
      <c r="J63" s="304"/>
      <c r="K63" s="303"/>
      <c r="L63" s="340"/>
      <c r="M63" s="305"/>
      <c r="N63" s="305"/>
      <c r="O63" s="305"/>
      <c r="P63" s="27"/>
      <c r="Q63" s="305"/>
      <c r="R63" s="305"/>
      <c r="S63" s="305"/>
      <c r="T63" s="27"/>
      <c r="U63" s="305"/>
      <c r="V63" s="305"/>
      <c r="W63" s="27"/>
      <c r="X63" s="27"/>
      <c r="Y63" s="27"/>
      <c r="Z63" s="27"/>
      <c r="AA63" s="27"/>
      <c r="AB63" s="27"/>
      <c r="AC63" s="27"/>
      <c r="AD63" s="27"/>
      <c r="AE63" s="27"/>
      <c r="AK63" s="2"/>
    </row>
    <row r="64" spans="1:43" ht="27" customHeight="1" thickBot="1" x14ac:dyDescent="0.2">
      <c r="A64" s="2"/>
      <c r="B64" s="25"/>
      <c r="C64" s="1850">
        <f>G24</f>
        <v>0</v>
      </c>
      <c r="D64" s="1850"/>
      <c r="E64" s="1049" t="s">
        <v>13</v>
      </c>
      <c r="F64" s="1050">
        <f>J24</f>
        <v>0</v>
      </c>
      <c r="G64" s="1049" t="s">
        <v>14</v>
      </c>
      <c r="H64" s="1081">
        <f>L24</f>
        <v>0</v>
      </c>
      <c r="I64" s="1073" t="s">
        <v>17</v>
      </c>
      <c r="J64" s="1082" t="str">
        <f>O24</f>
        <v/>
      </c>
      <c r="K64" s="1075" t="s">
        <v>16</v>
      </c>
      <c r="L64" s="1076" t="str">
        <f>IF(AND(J24&lt;&gt;"",L24&lt;&gt;""),N22,"")</f>
        <v/>
      </c>
      <c r="M64" s="1851" t="s">
        <v>412</v>
      </c>
      <c r="N64" s="1851"/>
      <c r="O64" s="1070" t="str">
        <f>T24</f>
        <v/>
      </c>
      <c r="P64" s="1071" t="s">
        <v>544</v>
      </c>
      <c r="Q64" s="1072" t="str">
        <f>V24</f>
        <v/>
      </c>
      <c r="R64" s="1073" t="s">
        <v>545</v>
      </c>
      <c r="S64" s="1074" t="str">
        <f>Y24</f>
        <v/>
      </c>
      <c r="T64" s="1075" t="s">
        <v>546</v>
      </c>
      <c r="U64" s="1076" t="str">
        <f>IF(AND(T24&lt;&gt;"",V24&lt;&gt;""),R22,"")</f>
        <v/>
      </c>
      <c r="V64" s="1905" t="s">
        <v>547</v>
      </c>
      <c r="W64" s="1905"/>
      <c r="X64" s="1905"/>
      <c r="Y64" s="1905"/>
      <c r="Z64" s="1905"/>
      <c r="AA64" s="1905"/>
      <c r="AB64" s="1905"/>
      <c r="AC64" s="1905"/>
      <c r="AD64" s="1905"/>
      <c r="AE64" s="1906"/>
      <c r="AF64" s="203"/>
      <c r="AG64" s="203"/>
      <c r="AH64" s="1024"/>
      <c r="AI64" s="1024"/>
      <c r="AJ64" s="1025"/>
      <c r="AK64" s="1025"/>
      <c r="AL64" s="1026"/>
      <c r="AM64" s="1026"/>
      <c r="AN64" s="1026"/>
      <c r="AO64" s="1026"/>
      <c r="AP64" s="1026"/>
      <c r="AQ64" s="1026"/>
    </row>
    <row r="65" spans="1:43" ht="5.25" customHeight="1" thickBot="1" x14ac:dyDescent="0.2">
      <c r="A65" s="2"/>
      <c r="B65" s="70"/>
      <c r="C65" s="272"/>
      <c r="D65" s="272"/>
      <c r="E65" s="273"/>
      <c r="F65" s="272"/>
      <c r="G65" s="273"/>
      <c r="H65" s="517"/>
      <c r="I65" s="517"/>
      <c r="J65" s="518"/>
      <c r="K65" s="519"/>
      <c r="L65" s="520"/>
      <c r="M65" s="1051"/>
      <c r="N65" s="1051"/>
      <c r="O65" s="1052"/>
      <c r="P65" s="273"/>
      <c r="Q65" s="1053"/>
      <c r="R65" s="272"/>
      <c r="S65" s="1054"/>
      <c r="T65" s="1067"/>
      <c r="U65" s="1068"/>
      <c r="V65" s="1069"/>
      <c r="W65" s="1069"/>
      <c r="X65" s="1069"/>
      <c r="Y65" s="1069"/>
      <c r="Z65" s="1069"/>
      <c r="AA65" s="1069"/>
      <c r="AB65" s="1083"/>
      <c r="AC65" s="1084"/>
      <c r="AD65" s="1084"/>
      <c r="AE65" s="1084"/>
      <c r="AF65" s="203"/>
      <c r="AG65" s="203"/>
      <c r="AH65" s="1024"/>
      <c r="AI65" s="1024"/>
      <c r="AJ65" s="1025"/>
      <c r="AK65" s="1025"/>
      <c r="AL65" s="1026"/>
      <c r="AM65" s="1026"/>
      <c r="AN65" s="1026"/>
      <c r="AO65" s="1026"/>
      <c r="AP65" s="1026"/>
      <c r="AQ65" s="1026"/>
    </row>
    <row r="66" spans="1:43" s="68" customFormat="1" ht="18" customHeight="1" x14ac:dyDescent="0.2">
      <c r="A66" s="70"/>
      <c r="B66" s="1680" t="str">
        <f>IF(AND(AK70="○",AK72="○",AL67="○",AL70="○",AL72="○",AM67="○",AM70="○",AM72="○",AN67="○",AN70="○",AN72="○",AO67="○",AO70="○",AO72="○",AP67="○",AP70="○",AL73="○",AK74="○"),"○","×")</f>
        <v>×</v>
      </c>
      <c r="C66" s="521"/>
      <c r="D66" s="521"/>
      <c r="E66" s="521"/>
      <c r="F66" s="521"/>
      <c r="G66" s="522"/>
      <c r="H66" s="310" t="s">
        <v>304</v>
      </c>
      <c r="I66" s="1838" t="str">
        <f>IF(V24="","",K22)</f>
        <v/>
      </c>
      <c r="J66" s="1838"/>
      <c r="K66" s="311" t="str">
        <f>"（"&amp;O24&amp;"）"</f>
        <v>（）</v>
      </c>
      <c r="L66" s="515" t="s">
        <v>305</v>
      </c>
      <c r="M66" s="1987" t="str">
        <f>IF(V24="","",IF(H23&lt;2," ",K22+1))</f>
        <v/>
      </c>
      <c r="N66" s="1987"/>
      <c r="O66" s="311" t="str">
        <f>IF(H23&lt;2," ","（"&amp;TEXT(M66,"aaa")&amp;"）")</f>
        <v>（）</v>
      </c>
      <c r="P66" s="516" t="s">
        <v>306</v>
      </c>
      <c r="Q66" s="1845" t="str">
        <f>IF(V24="","",IF(H23&lt;3," ",K22+2))</f>
        <v/>
      </c>
      <c r="R66" s="1838"/>
      <c r="S66" s="311" t="str">
        <f>IF(H23&lt;3," ","（"&amp;TEXT(Q66,"aaa")&amp;"）")</f>
        <v>（）</v>
      </c>
      <c r="T66" s="1100" t="s">
        <v>541</v>
      </c>
      <c r="U66" s="1855" t="str">
        <f>IF(V24="","",IF(H23&lt;4," ",K22+3))</f>
        <v/>
      </c>
      <c r="V66" s="1852"/>
      <c r="W66" s="1101" t="str">
        <f>IF(H23&lt;4," ","（"&amp;TEXT(U66,"aaa")&amp;"）")</f>
        <v>（）</v>
      </c>
      <c r="X66" s="1100" t="s">
        <v>542</v>
      </c>
      <c r="Y66" s="1977" t="str">
        <f>IF(V24="","",IF(H23&lt;5," ",K22+4))</f>
        <v/>
      </c>
      <c r="Z66" s="1977"/>
      <c r="AA66" s="1101" t="str">
        <f>IF(H23&lt;5," ","（"&amp;TEXT(Y66,"aaa")&amp;"）")</f>
        <v>（）</v>
      </c>
      <c r="AB66" s="1102" t="s">
        <v>543</v>
      </c>
      <c r="AC66" s="1852" t="str">
        <f>IF(V24="","",IF(H23&lt;6," ",K22+5))</f>
        <v/>
      </c>
      <c r="AD66" s="1852"/>
      <c r="AE66" s="1101" t="str">
        <f>IF(H23&lt;6," ","（"&amp;TEXT(AC66,"aaa")&amp;"）")</f>
        <v>（）</v>
      </c>
      <c r="AF66" s="342"/>
      <c r="AG66" s="342"/>
      <c r="AH66" s="1027"/>
      <c r="AI66" s="1027"/>
      <c r="AJ66" s="1028"/>
      <c r="AK66" s="1029" t="str">
        <f>IF(V24="","",K22)</f>
        <v/>
      </c>
      <c r="AL66" s="1029" t="str">
        <f>IF(V24="","",IF(H23&lt;2," ",K22+1))</f>
        <v/>
      </c>
      <c r="AM66" s="1029" t="str">
        <f>IF(V24="","",IF(H23&lt;3," ",K22+2))</f>
        <v/>
      </c>
      <c r="AN66" s="1029" t="str">
        <f>IF(V24="","",IF(H23&lt;4," ",K22+3))</f>
        <v/>
      </c>
      <c r="AO66" s="1029" t="str">
        <f>IF(V24="","",IF(H23&lt;5," ",K22+4))</f>
        <v/>
      </c>
      <c r="AP66" s="1029" t="str">
        <f>IF(V24="","",IF(H23&lt;6," ",K22+5))</f>
        <v/>
      </c>
      <c r="AQ66" s="1030"/>
    </row>
    <row r="67" spans="1:43" s="68" customFormat="1" ht="18" customHeight="1" thickBot="1" x14ac:dyDescent="0.2">
      <c r="A67" s="70"/>
      <c r="B67" s="1680"/>
      <c r="C67" s="521"/>
      <c r="D67" s="521"/>
      <c r="E67" s="521"/>
      <c r="F67" s="521"/>
      <c r="G67" s="522"/>
      <c r="H67" s="1839" t="s">
        <v>309</v>
      </c>
      <c r="I67" s="1840"/>
      <c r="J67" s="1841" t="s">
        <v>293</v>
      </c>
      <c r="K67" s="1842"/>
      <c r="L67" s="1846" t="s">
        <v>309</v>
      </c>
      <c r="M67" s="1847"/>
      <c r="N67" s="1841" t="s">
        <v>293</v>
      </c>
      <c r="O67" s="1842"/>
      <c r="P67" s="1846" t="s">
        <v>309</v>
      </c>
      <c r="Q67" s="1847"/>
      <c r="R67" s="1841" t="s">
        <v>293</v>
      </c>
      <c r="S67" s="1842"/>
      <c r="T67" s="1862" t="s">
        <v>309</v>
      </c>
      <c r="U67" s="1863"/>
      <c r="V67" s="1860" t="s">
        <v>293</v>
      </c>
      <c r="W67" s="1861"/>
      <c r="X67" s="1862" t="s">
        <v>309</v>
      </c>
      <c r="Y67" s="1863"/>
      <c r="Z67" s="1860" t="s">
        <v>293</v>
      </c>
      <c r="AA67" s="1861"/>
      <c r="AB67" s="1856" t="s">
        <v>309</v>
      </c>
      <c r="AC67" s="1857"/>
      <c r="AD67" s="1860" t="s">
        <v>293</v>
      </c>
      <c r="AE67" s="1861"/>
      <c r="AF67" s="343"/>
      <c r="AG67" s="343"/>
      <c r="AH67" s="1027"/>
      <c r="AI67" s="1027"/>
      <c r="AJ67" s="1031" t="s">
        <v>273</v>
      </c>
      <c r="AK67" s="1032"/>
      <c r="AL67" s="1033" t="str">
        <f>IF(OR(H23&lt;=1,AND(L68&lt;&gt;"",L69&lt;&gt;"",L70&lt;&gt;"",L71&lt;&gt;"")),"○","×")</f>
        <v>×</v>
      </c>
      <c r="AM67" s="1032" t="str">
        <f>IF(OR(H23&lt;=2,AND(P68&lt;&gt;"",P69&lt;&gt;"",P70&lt;&gt;"",P71&lt;&gt;"")),"○","×")</f>
        <v>×</v>
      </c>
      <c r="AN67" s="1033" t="str">
        <f>IF(OR(H23&lt;=3,AND(T68&lt;&gt;"",T69&lt;&gt;"",T70&lt;&gt;"",T71&lt;&gt;"")),"○","×")</f>
        <v>×</v>
      </c>
      <c r="AO67" s="1032" t="str">
        <f>IF(OR(H23&lt;=4,AND(X68&lt;&gt;"",X69&lt;&gt;"",X70&lt;&gt;"",X71&lt;&gt;"")),"○","×")</f>
        <v>×</v>
      </c>
      <c r="AP67" s="1032" t="str">
        <f>IF(OR(H23&lt;=5,AND(AB68&lt;&gt;"",AB69&lt;&gt;"",AB70&lt;&gt;"",AB71&lt;&gt;"")),"○","×")</f>
        <v>×</v>
      </c>
      <c r="AQ67" s="1030"/>
    </row>
    <row r="68" spans="1:43" s="68" customFormat="1" ht="24.75" customHeight="1" thickTop="1" x14ac:dyDescent="0.2">
      <c r="A68" s="70"/>
      <c r="B68" s="1680"/>
      <c r="C68" s="1794" t="s">
        <v>222</v>
      </c>
      <c r="D68" s="1708" t="s">
        <v>679</v>
      </c>
      <c r="E68" s="1709"/>
      <c r="F68" s="1684" t="s">
        <v>271</v>
      </c>
      <c r="G68" s="1685"/>
      <c r="H68" s="1714"/>
      <c r="I68" s="1715"/>
      <c r="J68" s="966"/>
      <c r="K68" s="967" t="s">
        <v>130</v>
      </c>
      <c r="L68" s="1848"/>
      <c r="M68" s="1849"/>
      <c r="N68" s="1061"/>
      <c r="O68" s="302" t="s">
        <v>130</v>
      </c>
      <c r="P68" s="1848"/>
      <c r="Q68" s="1849"/>
      <c r="R68" s="1061"/>
      <c r="S68" s="302" t="s">
        <v>130</v>
      </c>
      <c r="T68" s="1848"/>
      <c r="U68" s="1849"/>
      <c r="V68" s="1061"/>
      <c r="W68" s="1062" t="s">
        <v>130</v>
      </c>
      <c r="X68" s="1848"/>
      <c r="Y68" s="1849"/>
      <c r="Z68" s="1061"/>
      <c r="AA68" s="1062" t="s">
        <v>130</v>
      </c>
      <c r="AB68" s="1848"/>
      <c r="AC68" s="1849"/>
      <c r="AD68" s="1061"/>
      <c r="AE68" s="1062" t="s">
        <v>130</v>
      </c>
      <c r="AF68" s="1895"/>
      <c r="AG68" s="1895"/>
      <c r="AH68" s="1034"/>
      <c r="AI68" s="1034"/>
      <c r="AJ68" s="1031"/>
      <c r="AK68" s="1032"/>
      <c r="AL68" s="1033"/>
      <c r="AM68" s="1032"/>
      <c r="AN68" s="1033"/>
      <c r="AO68" s="1032"/>
      <c r="AP68" s="1032"/>
      <c r="AQ68" s="1030"/>
    </row>
    <row r="69" spans="1:43" s="68" customFormat="1" ht="24.75" customHeight="1" x14ac:dyDescent="0.2">
      <c r="A69" s="70"/>
      <c r="B69" s="1680"/>
      <c r="C69" s="1795"/>
      <c r="D69" s="1853" t="s">
        <v>669</v>
      </c>
      <c r="E69" s="1854"/>
      <c r="F69" s="1843" t="s">
        <v>680</v>
      </c>
      <c r="G69" s="1844"/>
      <c r="H69" s="1858"/>
      <c r="I69" s="1859"/>
      <c r="J69" s="968"/>
      <c r="K69" s="969" t="s">
        <v>130</v>
      </c>
      <c r="L69" s="1716"/>
      <c r="M69" s="1717"/>
      <c r="N69" s="1046"/>
      <c r="O69" s="298" t="s">
        <v>130</v>
      </c>
      <c r="P69" s="1716"/>
      <c r="Q69" s="1717"/>
      <c r="R69" s="1046"/>
      <c r="S69" s="298" t="s">
        <v>130</v>
      </c>
      <c r="T69" s="1716"/>
      <c r="U69" s="1717"/>
      <c r="V69" s="1046"/>
      <c r="W69" s="1063" t="s">
        <v>130</v>
      </c>
      <c r="X69" s="1716"/>
      <c r="Y69" s="1717"/>
      <c r="Z69" s="1046"/>
      <c r="AA69" s="1063" t="s">
        <v>130</v>
      </c>
      <c r="AB69" s="1716"/>
      <c r="AC69" s="1717"/>
      <c r="AD69" s="1046"/>
      <c r="AE69" s="1063" t="s">
        <v>130</v>
      </c>
      <c r="AF69" s="263"/>
      <c r="AG69" s="263"/>
      <c r="AH69" s="1034"/>
      <c r="AI69" s="1034"/>
      <c r="AJ69" s="1031" t="s">
        <v>274</v>
      </c>
      <c r="AK69" s="1034" t="str">
        <f>IF(OR(L64&lt;&gt;"昼",AND(H72&lt;&gt;"",H73&lt;&gt;"",H74&lt;&gt;"",H75&lt;&gt;"")),"○","×")</f>
        <v>○</v>
      </c>
      <c r="AL69" s="1035" t="str">
        <f>IF(OR(AA28="",AND(L72&lt;&gt;"",L73&lt;&gt;"",L74&lt;&gt;"",L75&lt;&gt;"")),"○","×")</f>
        <v>○</v>
      </c>
      <c r="AM69" s="1035" t="str">
        <f>IF(OR(AB28="",AND(P72&lt;&gt;"",P73&lt;&gt;"",P74&lt;&gt;"",P75&lt;&gt;"")),"○","×")</f>
        <v>○</v>
      </c>
      <c r="AN69" s="1035" t="str">
        <f>IF(OR(AC28="",AND(T72&lt;&gt;"",T73&lt;&gt;"",T74&lt;&gt;"",T75&lt;&gt;"")),"○","×")</f>
        <v>○</v>
      </c>
      <c r="AO69" s="1035" t="str">
        <f>IF(OR(AD28="",AND(X72&lt;&gt;"",X73&lt;&gt;"",X74&lt;&gt;"",X75&lt;&gt;"")),"○","×")</f>
        <v>○</v>
      </c>
      <c r="AP69" s="1035" t="str">
        <f>IF(OR(AE28="",AND(AB72&lt;&gt;"",AB73&lt;&gt;"",AB74&lt;&gt;"",AB75&lt;&gt;"")),"○","×")</f>
        <v>○</v>
      </c>
      <c r="AQ69" s="1030"/>
    </row>
    <row r="70" spans="1:43" s="68" customFormat="1" ht="24.75" customHeight="1" x14ac:dyDescent="0.2">
      <c r="A70" s="70"/>
      <c r="B70" s="1680"/>
      <c r="C70" s="1795"/>
      <c r="D70" s="1813" t="s">
        <v>83</v>
      </c>
      <c r="E70" s="1814"/>
      <c r="F70" s="1988" t="s">
        <v>681</v>
      </c>
      <c r="G70" s="1989"/>
      <c r="H70" s="1971"/>
      <c r="I70" s="1972"/>
      <c r="J70" s="968"/>
      <c r="K70" s="970" t="s">
        <v>130</v>
      </c>
      <c r="L70" s="1712"/>
      <c r="M70" s="1713"/>
      <c r="N70" s="1046"/>
      <c r="O70" s="298" t="s">
        <v>130</v>
      </c>
      <c r="P70" s="1712"/>
      <c r="Q70" s="1713"/>
      <c r="R70" s="1046"/>
      <c r="S70" s="298" t="s">
        <v>130</v>
      </c>
      <c r="T70" s="1712"/>
      <c r="U70" s="1713"/>
      <c r="V70" s="1046"/>
      <c r="W70" s="1063" t="s">
        <v>130</v>
      </c>
      <c r="X70" s="1712"/>
      <c r="Y70" s="1713"/>
      <c r="Z70" s="1046"/>
      <c r="AA70" s="1063" t="s">
        <v>130</v>
      </c>
      <c r="AB70" s="1712"/>
      <c r="AC70" s="1713"/>
      <c r="AD70" s="1046"/>
      <c r="AE70" s="1063" t="s">
        <v>130</v>
      </c>
      <c r="AF70" s="263"/>
      <c r="AG70" s="263"/>
      <c r="AH70" s="1034"/>
      <c r="AI70" s="1034"/>
      <c r="AJ70" s="1031"/>
      <c r="AK70" s="1036" t="str">
        <f>IF(AND(AK69="×",H76=""),"×","○")</f>
        <v>○</v>
      </c>
      <c r="AL70" s="1037" t="str">
        <f>IF(AND(AL69="×",L76=""),"×","○")</f>
        <v>○</v>
      </c>
      <c r="AM70" s="1037" t="str">
        <f>IF(AND(AM69="×",P76=""),"×","○")</f>
        <v>○</v>
      </c>
      <c r="AN70" s="1037" t="str">
        <f>IF(AND(AN69="×",T76=""),"×","○")</f>
        <v>○</v>
      </c>
      <c r="AO70" s="1037" t="str">
        <f>IF(AND(AO69="×",X76=""),"×","○")</f>
        <v>○</v>
      </c>
      <c r="AP70" s="1037" t="str">
        <f>IF(AND(AP69="×",AB76=""),"×","○")</f>
        <v>○</v>
      </c>
      <c r="AQ70" s="1030"/>
    </row>
    <row r="71" spans="1:43" s="68" customFormat="1" ht="24.75" customHeight="1" thickBot="1" x14ac:dyDescent="0.25">
      <c r="A71" s="70"/>
      <c r="B71" s="1680"/>
      <c r="C71" s="1796"/>
      <c r="D71" s="1804" t="s">
        <v>124</v>
      </c>
      <c r="E71" s="1805"/>
      <c r="F71" s="1806" t="s">
        <v>682</v>
      </c>
      <c r="G71" s="1807"/>
      <c r="H71" s="1718"/>
      <c r="I71" s="1719"/>
      <c r="J71" s="971"/>
      <c r="K71" s="972" t="s">
        <v>130</v>
      </c>
      <c r="L71" s="1791"/>
      <c r="M71" s="1792"/>
      <c r="N71" s="1064"/>
      <c r="O71" s="309" t="s">
        <v>130</v>
      </c>
      <c r="P71" s="1791"/>
      <c r="Q71" s="1792"/>
      <c r="R71" s="1064"/>
      <c r="S71" s="309" t="s">
        <v>130</v>
      </c>
      <c r="T71" s="1791"/>
      <c r="U71" s="1792"/>
      <c r="V71" s="1064"/>
      <c r="W71" s="1065" t="s">
        <v>130</v>
      </c>
      <c r="X71" s="1791"/>
      <c r="Y71" s="1792"/>
      <c r="Z71" s="1064"/>
      <c r="AA71" s="1065" t="s">
        <v>130</v>
      </c>
      <c r="AB71" s="1791"/>
      <c r="AC71" s="1792"/>
      <c r="AD71" s="1064"/>
      <c r="AE71" s="1065" t="s">
        <v>130</v>
      </c>
      <c r="AF71" s="263"/>
      <c r="AG71" s="263"/>
      <c r="AH71" s="1034"/>
      <c r="AI71" s="1034"/>
      <c r="AJ71" s="1031" t="s">
        <v>440</v>
      </c>
      <c r="AK71" s="1034" t="str">
        <f>IF(OR(F23=0,AND(H77&lt;&gt;"",H78&lt;&gt;"",H79&lt;&gt;"",H80&lt;&gt;"")),"○","×")</f>
        <v>○</v>
      </c>
      <c r="AL71" s="1035" t="str">
        <f>IF(OR(AA29="",AND(L77&lt;&gt;"",L78&lt;&gt;"",L79&lt;&gt;"",L80&lt;&gt;"")),"○","×")</f>
        <v>○</v>
      </c>
      <c r="AM71" s="1035" t="str">
        <f>IF(OR(AB29="",AND(P77&lt;&gt;"",P78&lt;&gt;"",P79&lt;&gt;"",P80&lt;&gt;"")),"○","×")</f>
        <v>○</v>
      </c>
      <c r="AN71" s="1035" t="str">
        <f>IF(OR(AC29="",AND(T77&lt;&gt;"",T78&lt;&gt;"",T79&lt;&gt;"",T80&lt;&gt;"")),"○","×")</f>
        <v>○</v>
      </c>
      <c r="AO71" s="1034" t="str">
        <f>IF(OR(AD29="",AND(X77&lt;&gt;"",X78&lt;&gt;"",X79&lt;&gt;"",X80&lt;&gt;"")),"○","×")</f>
        <v>○</v>
      </c>
      <c r="AP71" s="1034"/>
      <c r="AQ71" s="1030"/>
    </row>
    <row r="72" spans="1:43" s="68" customFormat="1" ht="24.75" customHeight="1" x14ac:dyDescent="0.2">
      <c r="A72" s="70"/>
      <c r="B72" s="1680"/>
      <c r="C72" s="1795" t="s">
        <v>223</v>
      </c>
      <c r="D72" s="1966" t="str">
        <f>$D$68</f>
        <v>４歳児
未満</v>
      </c>
      <c r="E72" s="1967"/>
      <c r="F72" s="1801" t="s">
        <v>271</v>
      </c>
      <c r="G72" s="1798"/>
      <c r="H72" s="1710"/>
      <c r="I72" s="1711"/>
      <c r="J72" s="1046"/>
      <c r="K72" s="298" t="s">
        <v>130</v>
      </c>
      <c r="L72" s="1710"/>
      <c r="M72" s="1711"/>
      <c r="N72" s="1042"/>
      <c r="O72" s="306" t="s">
        <v>130</v>
      </c>
      <c r="P72" s="1710"/>
      <c r="Q72" s="1711"/>
      <c r="R72" s="1042"/>
      <c r="S72" s="306" t="s">
        <v>130</v>
      </c>
      <c r="T72" s="1710"/>
      <c r="U72" s="1711"/>
      <c r="V72" s="1042"/>
      <c r="W72" s="1043" t="s">
        <v>130</v>
      </c>
      <c r="X72" s="1710"/>
      <c r="Y72" s="1711"/>
      <c r="Z72" s="1042"/>
      <c r="AA72" s="1043" t="s">
        <v>130</v>
      </c>
      <c r="AB72" s="1710"/>
      <c r="AC72" s="1711"/>
      <c r="AD72" s="1042"/>
      <c r="AE72" s="1043" t="s">
        <v>130</v>
      </c>
      <c r="AF72" s="263"/>
      <c r="AG72" s="263"/>
      <c r="AH72" s="1034"/>
      <c r="AI72" s="1034"/>
      <c r="AJ72" s="1034"/>
      <c r="AK72" s="1036" t="str">
        <f>IF(AND(AK71="×",H81=""),"×","○")</f>
        <v>○</v>
      </c>
      <c r="AL72" s="1037" t="str">
        <f>IF(AND(AL71="×",L81=""),"×","○")</f>
        <v>○</v>
      </c>
      <c r="AM72" s="1037" t="str">
        <f>IF(AND(AM71="×",P81=""),"×","○")</f>
        <v>○</v>
      </c>
      <c r="AN72" s="1037" t="str">
        <f>IF(AND(AN71="×",T81=""),"×","○")</f>
        <v>○</v>
      </c>
      <c r="AO72" s="1036" t="str">
        <f>IF(AND(AO71="×",X81=""),"×","○")</f>
        <v>○</v>
      </c>
      <c r="AP72" s="1036"/>
      <c r="AQ72" s="1030"/>
    </row>
    <row r="73" spans="1:43" s="68" customFormat="1" ht="24.75" customHeight="1" x14ac:dyDescent="0.2">
      <c r="A73" s="70"/>
      <c r="B73" s="1680"/>
      <c r="C73" s="1795"/>
      <c r="D73" s="1799" t="str">
        <f>$D$69</f>
        <v>４歳～
学齢前</v>
      </c>
      <c r="E73" s="1800"/>
      <c r="F73" s="1836" t="s">
        <v>683</v>
      </c>
      <c r="G73" s="1837"/>
      <c r="H73" s="1712"/>
      <c r="I73" s="1713"/>
      <c r="J73" s="1046"/>
      <c r="K73" s="297" t="s">
        <v>130</v>
      </c>
      <c r="L73" s="1712"/>
      <c r="M73" s="1713"/>
      <c r="N73" s="1044"/>
      <c r="O73" s="297" t="s">
        <v>130</v>
      </c>
      <c r="P73" s="1712"/>
      <c r="Q73" s="1713"/>
      <c r="R73" s="1044"/>
      <c r="S73" s="297" t="s">
        <v>130</v>
      </c>
      <c r="T73" s="1712"/>
      <c r="U73" s="1713"/>
      <c r="V73" s="1044"/>
      <c r="W73" s="1045" t="s">
        <v>130</v>
      </c>
      <c r="X73" s="1712"/>
      <c r="Y73" s="1713"/>
      <c r="Z73" s="1044"/>
      <c r="AA73" s="1045" t="s">
        <v>130</v>
      </c>
      <c r="AB73" s="1712"/>
      <c r="AC73" s="1713"/>
      <c r="AD73" s="1044"/>
      <c r="AE73" s="1045" t="s">
        <v>130</v>
      </c>
      <c r="AF73" s="263"/>
      <c r="AG73" s="263"/>
      <c r="AH73" s="1034"/>
      <c r="AI73" s="1034"/>
      <c r="AJ73" s="1036" t="s">
        <v>308</v>
      </c>
      <c r="AK73" s="1038">
        <f>COUNT(J72,J73,J74,J75,J77,J78,J79,J80,N68,N69,N70,N71,N72,N73,N74,N75,N77,N78,N79,N80,R68,R69,R70,R71,R72,R73,R74,R75,R77,R78,R79,R80,V68,V69,V70,V71,V72,V73,V74,V75,V77,V78,V79,V80,Z68,Z69,Z70,Z71,Z72,Z73,Z74,Z75,Z77,Z78,Z79,Z80,AD68,AD69,AD70,AD71,AD72,AD73,AD74,AD75)</f>
        <v>0</v>
      </c>
      <c r="AL73" s="1039" t="str">
        <f>IF(AND(H61="あり",AK73=0),"×","○")</f>
        <v>○</v>
      </c>
      <c r="AM73" s="1034"/>
      <c r="AN73" s="1034"/>
      <c r="AO73" s="1034"/>
      <c r="AP73" s="1034"/>
      <c r="AQ73" s="1030"/>
    </row>
    <row r="74" spans="1:43" s="68" customFormat="1" ht="24.75" customHeight="1" x14ac:dyDescent="0.2">
      <c r="A74" s="70"/>
      <c r="B74" s="1680"/>
      <c r="C74" s="1795"/>
      <c r="D74" s="2062" t="str">
        <f>$D$70</f>
        <v>小学生</v>
      </c>
      <c r="E74" s="2063"/>
      <c r="F74" s="2064" t="s">
        <v>684</v>
      </c>
      <c r="G74" s="1969"/>
      <c r="H74" s="1712"/>
      <c r="I74" s="1713"/>
      <c r="J74" s="1046"/>
      <c r="K74" s="297" t="s">
        <v>130</v>
      </c>
      <c r="L74" s="1712"/>
      <c r="M74" s="1713"/>
      <c r="N74" s="1044"/>
      <c r="O74" s="297" t="s">
        <v>130</v>
      </c>
      <c r="P74" s="1712"/>
      <c r="Q74" s="1713"/>
      <c r="R74" s="1044"/>
      <c r="S74" s="297" t="s">
        <v>130</v>
      </c>
      <c r="T74" s="1712"/>
      <c r="U74" s="1713"/>
      <c r="V74" s="1044"/>
      <c r="W74" s="1045" t="s">
        <v>130</v>
      </c>
      <c r="X74" s="1712"/>
      <c r="Y74" s="1713"/>
      <c r="Z74" s="1044"/>
      <c r="AA74" s="1045" t="s">
        <v>130</v>
      </c>
      <c r="AB74" s="1712"/>
      <c r="AC74" s="1713"/>
      <c r="AD74" s="1044"/>
      <c r="AE74" s="1045" t="s">
        <v>130</v>
      </c>
      <c r="AF74" s="263"/>
      <c r="AG74" s="263"/>
      <c r="AH74" s="1034"/>
      <c r="AI74" s="1034"/>
      <c r="AJ74" s="1034"/>
      <c r="AK74" s="1040" t="str">
        <f>IF(AND(AK75="○",AK76="○",AL74="○",AL75="○",AL76="○",AM74="○",AM75="○",AM76="○",AN74="○",AN75="○",AN76="○",AO74="○",AO75="○",AO76="○",AP74="○",AP75="○"),"○","×")</f>
        <v>○</v>
      </c>
      <c r="AL74" s="1041" t="str">
        <f>IF(AND(AA27="",OR(L68&lt;&gt;"",L69&lt;&gt;"",L70&lt;&gt;"",L71&lt;&gt;"",N68&lt;&gt;"",N69&lt;&gt;"",N70&lt;&gt;"",N71&lt;&gt;"")),"×","○")</f>
        <v>○</v>
      </c>
      <c r="AM74" s="1041" t="str">
        <f>IF(AND(AB27="",OR(P68&lt;&gt;"",P69&lt;&gt;"",P70&lt;&gt;"",P71&lt;&gt;"",R68&lt;&gt;"",R69&lt;&gt;"",R70&lt;&gt;"",R71&lt;&gt;"")),"×","○")</f>
        <v>○</v>
      </c>
      <c r="AN74" s="1041" t="str">
        <f>IF(AND(AC27="",OR(T68&lt;&gt;"",T69&lt;&gt;"",T70&lt;&gt;"",T71&lt;&gt;"",V68&lt;&gt;"",V69&lt;&gt;"",V70&lt;&gt;"",V71&lt;&gt;"")),"×","○")</f>
        <v>○</v>
      </c>
      <c r="AO74" s="1041" t="str">
        <f>IF(AND(AD27="",OR(X68&lt;&gt;"",X69&lt;&gt;"",X70&lt;&gt;"",X71&lt;&gt;"",Z68&lt;&gt;"",Z69&lt;&gt;"",Z70&lt;&gt;"",Z71&lt;&gt;"")),"×","○")</f>
        <v>○</v>
      </c>
      <c r="AP74" s="1041" t="str">
        <f>IF(AND(AE27="",OR(AB68&lt;&gt;"",AB69&lt;&gt;"",AB70&lt;&gt;"",AB71&lt;&gt;"",AD68&lt;&gt;"",AD69&lt;&gt;"",AD70&lt;&gt;"",AD71&lt;&gt;"")),"×","○")</f>
        <v>○</v>
      </c>
      <c r="AQ74" s="1030"/>
    </row>
    <row r="75" spans="1:43" s="68" customFormat="1" ht="24.75" customHeight="1" x14ac:dyDescent="0.2">
      <c r="A75" s="70"/>
      <c r="B75" s="1680"/>
      <c r="C75" s="1795"/>
      <c r="D75" s="1802" t="str">
        <f>$D$71</f>
        <v>中学生
以上</v>
      </c>
      <c r="E75" s="1803"/>
      <c r="F75" s="1815" t="s">
        <v>685</v>
      </c>
      <c r="G75" s="1687"/>
      <c r="H75" s="1808"/>
      <c r="I75" s="1809"/>
      <c r="J75" s="1046"/>
      <c r="K75" s="297" t="s">
        <v>130</v>
      </c>
      <c r="L75" s="1808"/>
      <c r="M75" s="1809"/>
      <c r="N75" s="1046"/>
      <c r="O75" s="307" t="s">
        <v>130</v>
      </c>
      <c r="P75" s="1808"/>
      <c r="Q75" s="1809"/>
      <c r="R75" s="1046"/>
      <c r="S75" s="307" t="s">
        <v>130</v>
      </c>
      <c r="T75" s="1808"/>
      <c r="U75" s="1809"/>
      <c r="V75" s="1046"/>
      <c r="W75" s="1047" t="s">
        <v>130</v>
      </c>
      <c r="X75" s="1808"/>
      <c r="Y75" s="1809"/>
      <c r="Z75" s="1046"/>
      <c r="AA75" s="1047" t="s">
        <v>130</v>
      </c>
      <c r="AB75" s="1808"/>
      <c r="AC75" s="1809"/>
      <c r="AD75" s="1046"/>
      <c r="AE75" s="1047" t="s">
        <v>130</v>
      </c>
      <c r="AF75" s="263"/>
      <c r="AG75" s="263"/>
      <c r="AH75" s="1034"/>
      <c r="AI75" s="1034"/>
      <c r="AJ75" s="1034"/>
      <c r="AK75" s="1034" t="str">
        <f>IF(AND(Z28="",OR(H72&lt;&gt;"",H73&lt;&gt;"",H74&lt;&gt;"",H75&lt;&gt;"",J72&lt;&gt;"",J73&lt;&gt;"",J74&lt;&gt;"",J75&lt;&gt;"",H76&lt;&gt;"")),"×","○")</f>
        <v>○</v>
      </c>
      <c r="AL75" s="1041" t="str">
        <f>IF(AND(AA28="",OR(L72&lt;&gt;"",L73&lt;&gt;"",L74&lt;&gt;"",L75&lt;&gt;"",N72&lt;&gt;"",N73&lt;&gt;"",N74&lt;&gt;"",N75&lt;&gt;"",L76&lt;&gt;"")),"×","○")</f>
        <v>○</v>
      </c>
      <c r="AM75" s="1041" t="str">
        <f>IF(AND(AB28="",OR(P72&lt;&gt;"",P73&lt;&gt;"",P74&lt;&gt;"",P75&lt;&gt;"",R72&lt;&gt;"",R73&lt;&gt;"",R74&lt;&gt;"",R75&lt;&gt;"",P76&lt;&gt;"")),"×","○")</f>
        <v>○</v>
      </c>
      <c r="AN75" s="1041" t="str">
        <f>IF(AND(AC28="",OR(T72&lt;&gt;"",T73&lt;&gt;"",T74&lt;&gt;"",T75&lt;&gt;"",V72&lt;&gt;"",V73&lt;&gt;"",V74&lt;&gt;"",V75&lt;&gt;"",T76&lt;&gt;"")),"×","○")</f>
        <v>○</v>
      </c>
      <c r="AO75" s="1041" t="str">
        <f>IF(AND(AD28="",OR(X72&lt;&gt;"",X73&lt;&gt;"",X74&lt;&gt;"",X75&lt;&gt;"",Z72&lt;&gt;"",Z73&lt;&gt;"",Z74&lt;&gt;"",Z75&lt;&gt;"",X76&lt;&gt;"")),"×","○")</f>
        <v>○</v>
      </c>
      <c r="AP75" s="1041" t="str">
        <f>IF(AND(AE28="",OR(AB72&lt;&gt;"",AB73&lt;&gt;"",AB74&lt;&gt;"",AB75&lt;&gt;"",AD72&lt;&gt;"",AD73&lt;&gt;"",AD74&lt;&gt;"",AD75&lt;&gt;"",AB76&lt;&gt;"")),"×","○")</f>
        <v>○</v>
      </c>
      <c r="AQ75" s="1030"/>
    </row>
    <row r="76" spans="1:43" s="68" customFormat="1" ht="24.75" customHeight="1" thickBot="1" x14ac:dyDescent="0.25">
      <c r="A76" s="70"/>
      <c r="B76" s="1680"/>
      <c r="C76" s="1796"/>
      <c r="D76" s="1810" t="s">
        <v>272</v>
      </c>
      <c r="E76" s="1811"/>
      <c r="F76" s="1811"/>
      <c r="G76" s="1812"/>
      <c r="H76" s="1688"/>
      <c r="I76" s="1689"/>
      <c r="J76" s="1689"/>
      <c r="K76" s="301" t="s">
        <v>209</v>
      </c>
      <c r="L76" s="1688"/>
      <c r="M76" s="1689"/>
      <c r="N76" s="1689"/>
      <c r="O76" s="301" t="s">
        <v>209</v>
      </c>
      <c r="P76" s="1688"/>
      <c r="Q76" s="1689"/>
      <c r="R76" s="1689"/>
      <c r="S76" s="301" t="s">
        <v>209</v>
      </c>
      <c r="T76" s="1964"/>
      <c r="U76" s="1965"/>
      <c r="V76" s="1965"/>
      <c r="W76" s="1066" t="s">
        <v>209</v>
      </c>
      <c r="X76" s="1964"/>
      <c r="Y76" s="1965"/>
      <c r="Z76" s="1965"/>
      <c r="AA76" s="1066" t="s">
        <v>209</v>
      </c>
      <c r="AB76" s="1964"/>
      <c r="AC76" s="1965"/>
      <c r="AD76" s="1965"/>
      <c r="AE76" s="1066" t="s">
        <v>209</v>
      </c>
      <c r="AF76" s="269"/>
      <c r="AG76" s="269"/>
      <c r="AH76" s="269"/>
      <c r="AI76" s="786"/>
      <c r="AJ76" s="786"/>
      <c r="AK76" s="785" t="str">
        <f>IF(AND(Z29="",OR(H77&lt;&gt;"",H78&lt;&gt;"",H79&lt;&gt;"",H80&lt;&gt;"",J77&lt;&gt;"",J78&lt;&gt;"",J79&lt;&gt;"",J80&lt;&gt;"",H81&lt;&gt;"")),"×","○")</f>
        <v>○</v>
      </c>
      <c r="AL76" s="787" t="str">
        <f>IF(AND(AA29="",OR(L77&lt;&gt;"",L78&lt;&gt;"",L79&lt;&gt;"",L80&lt;&gt;"",N77&lt;&gt;"",N78&lt;&gt;"",N79&lt;&gt;"",N80&lt;&gt;"",L81&lt;&gt;"")),"×","○")</f>
        <v>○</v>
      </c>
      <c r="AM76" s="787" t="str">
        <f>IF(AND(AB29="",OR(P77&lt;&gt;"",P78&lt;&gt;"",P79&lt;&gt;"",P80&lt;&gt;"",R77&lt;&gt;"",R78&lt;&gt;"",R79&lt;&gt;"",R80&lt;&gt;"",P81&lt;&gt;"")),"×","○")</f>
        <v>○</v>
      </c>
      <c r="AN76" s="787" t="str">
        <f>IF(AND(AC29="",OR(T77&lt;&gt;"",T78&lt;&gt;"",T79&lt;&gt;"",T80&lt;&gt;"",V77&lt;&gt;"",V78&lt;&gt;"",V79&lt;&gt;"",V80&lt;&gt;"",T81&lt;&gt;"")),"×","○")</f>
        <v>○</v>
      </c>
      <c r="AO76" s="787" t="str">
        <f>IF(AND(AD29="",OR(X77&lt;&gt;"",X78&lt;&gt;"",X79&lt;&gt;"",X80&lt;&gt;"",Z77&lt;&gt;"",Z78&lt;&gt;"",Z79&lt;&gt;"",Z80&lt;&gt;"",X81&lt;&gt;"")),"×","○")</f>
        <v>○</v>
      </c>
      <c r="AP76" s="788"/>
      <c r="AQ76" s="789"/>
    </row>
    <row r="77" spans="1:43" s="68" customFormat="1" ht="24.75" customHeight="1" x14ac:dyDescent="0.2">
      <c r="A77" s="70"/>
      <c r="B77" s="1680"/>
      <c r="C77" s="2059" t="s">
        <v>224</v>
      </c>
      <c r="D77" s="1966" t="str">
        <f>$D$68</f>
        <v>４歳児
未満</v>
      </c>
      <c r="E77" s="1967"/>
      <c r="F77" s="1797" t="s">
        <v>271</v>
      </c>
      <c r="G77" s="1798"/>
      <c r="H77" s="1710"/>
      <c r="I77" s="1711"/>
      <c r="J77" s="1099"/>
      <c r="K77" s="306" t="s">
        <v>130</v>
      </c>
      <c r="L77" s="1710"/>
      <c r="M77" s="1711"/>
      <c r="N77" s="1042"/>
      <c r="O77" s="306" t="s">
        <v>130</v>
      </c>
      <c r="P77" s="1710"/>
      <c r="Q77" s="1711"/>
      <c r="R77" s="1042"/>
      <c r="S77" s="1043" t="s">
        <v>130</v>
      </c>
      <c r="T77" s="1710"/>
      <c r="U77" s="1711"/>
      <c r="V77" s="1042"/>
      <c r="W77" s="1043" t="s">
        <v>130</v>
      </c>
      <c r="X77" s="1710"/>
      <c r="Y77" s="1711"/>
      <c r="Z77" s="1042"/>
      <c r="AA77" s="1043" t="s">
        <v>130</v>
      </c>
      <c r="AB77" s="2057"/>
      <c r="AC77" s="2058"/>
      <c r="AD77" s="1055"/>
      <c r="AE77" s="1056" t="s">
        <v>130</v>
      </c>
      <c r="AF77" s="269"/>
      <c r="AG77" s="269"/>
      <c r="AH77" s="269"/>
      <c r="AI77" s="786"/>
      <c r="AJ77" s="785"/>
      <c r="AK77" s="785"/>
      <c r="AL77" s="785"/>
      <c r="AM77" s="785"/>
      <c r="AN77" s="785"/>
      <c r="AO77" s="789"/>
      <c r="AP77" s="789"/>
      <c r="AQ77" s="789"/>
    </row>
    <row r="78" spans="1:43" s="68" customFormat="1" ht="24.75" customHeight="1" x14ac:dyDescent="0.2">
      <c r="A78" s="70"/>
      <c r="B78" s="1680"/>
      <c r="C78" s="2060"/>
      <c r="D78" s="1799" t="str">
        <f>$D$69</f>
        <v>４歳～
学齢前</v>
      </c>
      <c r="E78" s="1800"/>
      <c r="F78" s="1970" t="s">
        <v>686</v>
      </c>
      <c r="G78" s="1837"/>
      <c r="H78" s="1712"/>
      <c r="I78" s="1713"/>
      <c r="J78" s="1099"/>
      <c r="K78" s="297" t="s">
        <v>130</v>
      </c>
      <c r="L78" s="1712"/>
      <c r="M78" s="1713"/>
      <c r="N78" s="1044"/>
      <c r="O78" s="297" t="s">
        <v>130</v>
      </c>
      <c r="P78" s="1712"/>
      <c r="Q78" s="1713"/>
      <c r="R78" s="1044"/>
      <c r="S78" s="1045" t="s">
        <v>130</v>
      </c>
      <c r="T78" s="1712"/>
      <c r="U78" s="1713"/>
      <c r="V78" s="1044"/>
      <c r="W78" s="1045" t="s">
        <v>130</v>
      </c>
      <c r="X78" s="1712"/>
      <c r="Y78" s="1713"/>
      <c r="Z78" s="1044"/>
      <c r="AA78" s="1045" t="s">
        <v>130</v>
      </c>
      <c r="AB78" s="1971"/>
      <c r="AC78" s="1972"/>
      <c r="AD78" s="1057"/>
      <c r="AE78" s="970" t="s">
        <v>130</v>
      </c>
      <c r="AF78" s="269"/>
      <c r="AG78" s="269"/>
      <c r="AH78" s="269"/>
      <c r="AI78" s="943"/>
      <c r="AJ78" s="942"/>
      <c r="AK78" s="942"/>
      <c r="AL78" s="942"/>
      <c r="AM78" s="942"/>
      <c r="AN78" s="942"/>
      <c r="AO78" s="941"/>
      <c r="AP78" s="941"/>
      <c r="AQ78" s="941"/>
    </row>
    <row r="79" spans="1:43" s="68" customFormat="1" ht="24.75" customHeight="1" x14ac:dyDescent="0.2">
      <c r="A79" s="70"/>
      <c r="B79" s="1680"/>
      <c r="C79" s="2060"/>
      <c r="D79" s="2062" t="str">
        <f>$D$70</f>
        <v>小学生</v>
      </c>
      <c r="E79" s="2063"/>
      <c r="F79" s="1968" t="s">
        <v>687</v>
      </c>
      <c r="G79" s="1969"/>
      <c r="H79" s="1712"/>
      <c r="I79" s="1713"/>
      <c r="J79" s="1099"/>
      <c r="K79" s="297" t="s">
        <v>130</v>
      </c>
      <c r="L79" s="1712"/>
      <c r="M79" s="1713"/>
      <c r="N79" s="1044"/>
      <c r="O79" s="297" t="s">
        <v>130</v>
      </c>
      <c r="P79" s="1712"/>
      <c r="Q79" s="1713"/>
      <c r="R79" s="1044"/>
      <c r="S79" s="1045" t="s">
        <v>130</v>
      </c>
      <c r="T79" s="1712"/>
      <c r="U79" s="1713"/>
      <c r="V79" s="1044"/>
      <c r="W79" s="1045" t="s">
        <v>130</v>
      </c>
      <c r="X79" s="1712"/>
      <c r="Y79" s="1713"/>
      <c r="Z79" s="1044"/>
      <c r="AA79" s="1045" t="s">
        <v>130</v>
      </c>
      <c r="AB79" s="1971"/>
      <c r="AC79" s="1972"/>
      <c r="AD79" s="1057"/>
      <c r="AE79" s="970" t="s">
        <v>130</v>
      </c>
      <c r="AF79" s="269"/>
      <c r="AG79" s="269"/>
      <c r="AH79" s="269"/>
      <c r="AI79" s="943"/>
      <c r="AJ79" s="944"/>
      <c r="AK79" s="944"/>
      <c r="AL79" s="944"/>
      <c r="AM79" s="944"/>
      <c r="AN79" s="944"/>
      <c r="AO79" s="941"/>
      <c r="AP79" s="941"/>
      <c r="AQ79" s="941"/>
    </row>
    <row r="80" spans="1:43" s="68" customFormat="1" ht="24.75" customHeight="1" x14ac:dyDescent="0.2">
      <c r="A80" s="70"/>
      <c r="B80" s="1680"/>
      <c r="C80" s="2060"/>
      <c r="D80" s="1802" t="str">
        <f>$D$71</f>
        <v>中学生
以上</v>
      </c>
      <c r="E80" s="1803"/>
      <c r="F80" s="1686" t="s">
        <v>688</v>
      </c>
      <c r="G80" s="1687"/>
      <c r="H80" s="1808"/>
      <c r="I80" s="1809"/>
      <c r="J80" s="1099"/>
      <c r="K80" s="307" t="s">
        <v>130</v>
      </c>
      <c r="L80" s="1808"/>
      <c r="M80" s="1809"/>
      <c r="N80" s="1046"/>
      <c r="O80" s="307" t="s">
        <v>130</v>
      </c>
      <c r="P80" s="1808"/>
      <c r="Q80" s="1809"/>
      <c r="R80" s="1046"/>
      <c r="S80" s="1047" t="s">
        <v>130</v>
      </c>
      <c r="T80" s="1808"/>
      <c r="U80" s="1809"/>
      <c r="V80" s="1046"/>
      <c r="W80" s="1047" t="s">
        <v>130</v>
      </c>
      <c r="X80" s="1808"/>
      <c r="Y80" s="1809"/>
      <c r="Z80" s="1046"/>
      <c r="AA80" s="1047" t="s">
        <v>130</v>
      </c>
      <c r="AB80" s="1973"/>
      <c r="AC80" s="1974"/>
      <c r="AD80" s="1058"/>
      <c r="AE80" s="1059" t="s">
        <v>130</v>
      </c>
      <c r="AF80" s="269"/>
      <c r="AG80" s="269"/>
      <c r="AH80" s="269"/>
      <c r="AI80" s="943"/>
      <c r="AJ80" s="942"/>
      <c r="AK80" s="942"/>
      <c r="AL80" s="942"/>
      <c r="AM80" s="942"/>
      <c r="AN80" s="942"/>
      <c r="AO80" s="941"/>
      <c r="AP80" s="941"/>
      <c r="AQ80" s="941"/>
    </row>
    <row r="81" spans="1:42" s="68" customFormat="1" ht="24.75" customHeight="1" thickBot="1" x14ac:dyDescent="0.25">
      <c r="A81" s="70"/>
      <c r="B81" s="1680"/>
      <c r="C81" s="2061"/>
      <c r="D81" s="1681" t="s">
        <v>272</v>
      </c>
      <c r="E81" s="1682"/>
      <c r="F81" s="1682"/>
      <c r="G81" s="1683"/>
      <c r="H81" s="1688"/>
      <c r="I81" s="1689"/>
      <c r="J81" s="1689"/>
      <c r="K81" s="308" t="s">
        <v>209</v>
      </c>
      <c r="L81" s="1688"/>
      <c r="M81" s="1689"/>
      <c r="N81" s="1689"/>
      <c r="O81" s="308" t="s">
        <v>209</v>
      </c>
      <c r="P81" s="1964"/>
      <c r="Q81" s="1965"/>
      <c r="R81" s="1965"/>
      <c r="S81" s="1048" t="s">
        <v>209</v>
      </c>
      <c r="T81" s="1964"/>
      <c r="U81" s="1965"/>
      <c r="V81" s="1965"/>
      <c r="W81" s="1048" t="s">
        <v>209</v>
      </c>
      <c r="X81" s="1964"/>
      <c r="Y81" s="1965"/>
      <c r="Z81" s="1965"/>
      <c r="AA81" s="1048" t="s">
        <v>209</v>
      </c>
      <c r="AB81" s="1962"/>
      <c r="AC81" s="1963"/>
      <c r="AD81" s="1963"/>
      <c r="AE81" s="1060" t="s">
        <v>209</v>
      </c>
      <c r="AF81" s="269"/>
      <c r="AG81" s="269"/>
      <c r="AH81" s="269"/>
      <c r="AI81" s="269"/>
      <c r="AJ81" s="263"/>
      <c r="AK81" s="263"/>
      <c r="AL81" s="263"/>
      <c r="AM81" s="263"/>
      <c r="AN81" s="263"/>
    </row>
    <row r="82" spans="1:42" ht="11.25" customHeight="1" thickBot="1" x14ac:dyDescent="0.2">
      <c r="A82" s="322"/>
      <c r="B82" s="948"/>
      <c r="C82" s="330"/>
      <c r="D82" s="949"/>
      <c r="E82" s="949"/>
      <c r="F82" s="949"/>
      <c r="G82" s="949"/>
      <c r="H82" s="949"/>
      <c r="I82" s="949"/>
      <c r="J82" s="949"/>
      <c r="K82" s="949"/>
      <c r="L82" s="950"/>
      <c r="M82" s="950"/>
      <c r="N82" s="950"/>
      <c r="O82" s="950"/>
      <c r="P82" s="950"/>
      <c r="Q82" s="950"/>
      <c r="R82" s="951"/>
      <c r="S82" s="951"/>
      <c r="T82" s="951"/>
      <c r="U82" s="951"/>
      <c r="V82" s="952"/>
      <c r="W82" s="953"/>
      <c r="X82" s="953"/>
      <c r="Y82" s="953"/>
      <c r="Z82" s="953"/>
      <c r="AA82" s="953"/>
      <c r="AB82" s="953"/>
      <c r="AC82" s="953"/>
      <c r="AD82" s="953"/>
      <c r="AE82" s="953"/>
      <c r="AF82" s="331"/>
      <c r="AG82" s="331"/>
      <c r="AH82" s="331"/>
      <c r="AI82" s="331"/>
      <c r="AJ82" s="202"/>
      <c r="AK82" s="202"/>
    </row>
    <row r="83" spans="1:42" ht="33.75" customHeight="1" thickBot="1" x14ac:dyDescent="0.2">
      <c r="A83" s="322"/>
      <c r="B83" s="524" t="str">
        <f>IF(U83="","×","○")</f>
        <v>×</v>
      </c>
      <c r="C83" s="1696" t="s">
        <v>422</v>
      </c>
      <c r="D83" s="1697"/>
      <c r="E83" s="1697"/>
      <c r="F83" s="1697"/>
      <c r="G83" s="1697"/>
      <c r="H83" s="1697"/>
      <c r="I83" s="1697"/>
      <c r="J83" s="1697"/>
      <c r="K83" s="1697"/>
      <c r="L83" s="1697"/>
      <c r="M83" s="1697"/>
      <c r="N83" s="1697"/>
      <c r="O83" s="1697"/>
      <c r="P83" s="1697"/>
      <c r="Q83" s="1697"/>
      <c r="R83" s="1697"/>
      <c r="S83" s="1697"/>
      <c r="T83" s="1698"/>
      <c r="U83" s="1699"/>
      <c r="V83" s="1700"/>
      <c r="W83" s="331"/>
      <c r="X83" s="331"/>
      <c r="Y83" s="331"/>
      <c r="Z83" s="331"/>
      <c r="AA83" s="331"/>
      <c r="AB83" s="331"/>
      <c r="AC83" s="331"/>
      <c r="AD83" s="331"/>
      <c r="AE83" s="331"/>
      <c r="AF83" s="331"/>
      <c r="AG83" s="331"/>
      <c r="AH83" s="331"/>
      <c r="AI83" s="202"/>
      <c r="AJ83" s="202"/>
      <c r="AK83" s="2"/>
    </row>
    <row r="84" spans="1:42" s="322" customFormat="1" ht="7.5" customHeight="1" x14ac:dyDescent="0.15">
      <c r="A84" s="948"/>
      <c r="B84" s="963"/>
      <c r="C84" s="964"/>
      <c r="D84" s="964"/>
      <c r="E84" s="964"/>
      <c r="F84" s="964"/>
      <c r="G84" s="964"/>
      <c r="H84" s="964"/>
      <c r="I84" s="964"/>
      <c r="J84" s="964"/>
      <c r="K84" s="964"/>
      <c r="L84" s="964"/>
      <c r="M84" s="964"/>
      <c r="N84" s="964"/>
      <c r="O84" s="964"/>
      <c r="P84" s="964"/>
      <c r="Q84" s="964"/>
      <c r="R84" s="964"/>
      <c r="S84" s="964"/>
      <c r="T84" s="964"/>
      <c r="U84" s="965"/>
      <c r="V84" s="965"/>
      <c r="W84" s="953"/>
      <c r="X84" s="953"/>
      <c r="Y84" s="331"/>
      <c r="Z84" s="331"/>
      <c r="AA84" s="331"/>
      <c r="AB84" s="331"/>
      <c r="AC84" s="331"/>
      <c r="AD84" s="331"/>
      <c r="AE84" s="331"/>
      <c r="AF84" s="331"/>
      <c r="AG84" s="331"/>
      <c r="AH84" s="331"/>
      <c r="AI84" s="333"/>
      <c r="AJ84" s="333"/>
      <c r="AK84" s="39"/>
    </row>
    <row r="85" spans="1:42" ht="22.5" customHeight="1" x14ac:dyDescent="0.2">
      <c r="B85" s="1975" t="s">
        <v>414</v>
      </c>
      <c r="C85" s="1975"/>
      <c r="D85" s="1975"/>
      <c r="E85" s="1975"/>
      <c r="F85" s="1975"/>
      <c r="G85" s="1975"/>
      <c r="H85" s="1975"/>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x14ac:dyDescent="0.15">
      <c r="A86" s="2"/>
      <c r="B86" s="2"/>
      <c r="C86" s="1872" t="s">
        <v>413</v>
      </c>
      <c r="D86" s="1872"/>
      <c r="E86" s="1872"/>
      <c r="F86" s="1872"/>
      <c r="G86" s="1872"/>
      <c r="H86" s="1872"/>
      <c r="I86" s="1872"/>
      <c r="J86" s="1872"/>
      <c r="K86" s="1872"/>
      <c r="L86" s="1872"/>
      <c r="M86" s="1872"/>
      <c r="N86" s="1872"/>
      <c r="O86" s="1872"/>
      <c r="P86" s="1872"/>
      <c r="Q86" s="1872"/>
      <c r="R86" s="1872"/>
      <c r="S86" s="1872"/>
      <c r="T86" s="1872"/>
      <c r="U86" s="1872"/>
      <c r="V86" s="1872"/>
      <c r="W86" s="510"/>
      <c r="AB86" s="332"/>
      <c r="AC86" s="332"/>
      <c r="AD86" s="332"/>
      <c r="AE86" s="332"/>
      <c r="AF86" s="332"/>
      <c r="AG86" s="270"/>
      <c r="AH86" s="270"/>
      <c r="AI86" s="270"/>
      <c r="AK86" s="2"/>
    </row>
    <row r="87" spans="1:42" ht="7.5" customHeight="1" thickBot="1" x14ac:dyDescent="0.2">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2"/>
      <c r="AK87" s="2"/>
    </row>
    <row r="88" spans="1:42" ht="30" customHeight="1" thickBot="1" x14ac:dyDescent="0.2">
      <c r="A88" s="2"/>
      <c r="B88" s="1680" t="str">
        <f>IF(AND(P89="○",P90="○",P91="○",P88="○",OR(I89&lt;&gt;"",D90&lt;&gt;"",D91&lt;&gt;"")),"○","×")</f>
        <v>×</v>
      </c>
      <c r="C88" s="275"/>
      <c r="D88" s="1770" t="s">
        <v>10</v>
      </c>
      <c r="E88" s="1771"/>
      <c r="F88" s="1771"/>
      <c r="G88" s="1771"/>
      <c r="H88" s="1771"/>
      <c r="I88" s="1771"/>
      <c r="J88" s="1771"/>
      <c r="K88" s="1771"/>
      <c r="L88" s="1772"/>
      <c r="M88" s="1770" t="s">
        <v>11</v>
      </c>
      <c r="N88" s="1771"/>
      <c r="O88" s="1826"/>
      <c r="P88" s="763" t="str">
        <f>IF(Q88=R88,"○","×")</f>
        <v>×</v>
      </c>
      <c r="Q88" s="764">
        <f>COUNTA(I89,D90,D91)</f>
        <v>0</v>
      </c>
      <c r="R88" s="764">
        <f>COUNTA(M89:M91)</f>
        <v>1</v>
      </c>
      <c r="S88" s="764"/>
      <c r="AE88" s="332"/>
      <c r="AG88" s="2"/>
      <c r="AH88" s="2"/>
      <c r="AK88" s="2"/>
    </row>
    <row r="89" spans="1:42" ht="30" customHeight="1" x14ac:dyDescent="0.15">
      <c r="A89" s="2"/>
      <c r="B89" s="1680"/>
      <c r="C89" s="1111">
        <v>1</v>
      </c>
      <c r="D89" s="338"/>
      <c r="E89" s="1763" t="s">
        <v>207</v>
      </c>
      <c r="F89" s="1763"/>
      <c r="G89" s="1763"/>
      <c r="H89" s="1763"/>
      <c r="I89" s="1816"/>
      <c r="J89" s="1816"/>
      <c r="K89" s="336" t="s">
        <v>197</v>
      </c>
      <c r="L89" s="337"/>
      <c r="M89" s="1817" t="s">
        <v>696</v>
      </c>
      <c r="N89" s="1818"/>
      <c r="O89" s="1819"/>
      <c r="P89" s="765" t="str">
        <f>IF((OR(AND(I89&lt;&gt;"",M89&lt;&gt;""),AND(I89="",M89=""))),"○","×")</f>
        <v>×</v>
      </c>
      <c r="Q89" s="765"/>
      <c r="R89" s="765"/>
      <c r="S89" s="765"/>
      <c r="AE89" s="332"/>
      <c r="AG89" s="2"/>
      <c r="AH89" s="2"/>
    </row>
    <row r="90" spans="1:42" ht="30" customHeight="1" x14ac:dyDescent="0.15">
      <c r="B90" s="1680"/>
      <c r="C90" s="1112">
        <v>2</v>
      </c>
      <c r="D90" s="1990"/>
      <c r="E90" s="1991"/>
      <c r="F90" s="1991"/>
      <c r="G90" s="1991"/>
      <c r="H90" s="1991"/>
      <c r="I90" s="1991"/>
      <c r="J90" s="1991"/>
      <c r="K90" s="1991"/>
      <c r="L90" s="1992"/>
      <c r="M90" s="1820"/>
      <c r="N90" s="1821"/>
      <c r="O90" s="2072"/>
      <c r="P90" s="765" t="str">
        <f>IF((OR(AND(D90&lt;&gt;"",M90&lt;&gt;""),AND(D90="",M90=""))),"○","×")</f>
        <v>○</v>
      </c>
      <c r="Q90" s="765"/>
      <c r="R90" s="765"/>
      <c r="S90" s="765"/>
      <c r="AE90" s="332"/>
      <c r="AG90" s="2"/>
      <c r="AH90" s="2"/>
    </row>
    <row r="91" spans="1:42" ht="30" customHeight="1" thickBot="1" x14ac:dyDescent="0.2">
      <c r="B91" s="1680"/>
      <c r="C91" s="1113">
        <v>3</v>
      </c>
      <c r="D91" s="1776"/>
      <c r="E91" s="1777"/>
      <c r="F91" s="1777"/>
      <c r="G91" s="1777"/>
      <c r="H91" s="1777"/>
      <c r="I91" s="1777"/>
      <c r="J91" s="1777"/>
      <c r="K91" s="1777"/>
      <c r="L91" s="1778"/>
      <c r="M91" s="1823"/>
      <c r="N91" s="1824"/>
      <c r="O91" s="2073"/>
      <c r="P91" s="765" t="str">
        <f>IF((OR(AND(D91&lt;&gt;"",M91&lt;&gt;""),AND(D91="",M91=""))),"○","×")</f>
        <v>○</v>
      </c>
      <c r="Q91" s="765"/>
      <c r="R91" s="765"/>
      <c r="S91" s="765"/>
      <c r="AE91" s="332"/>
      <c r="AG91" s="2"/>
      <c r="AH91" s="2"/>
    </row>
    <row r="92" spans="1:42" ht="26.25" customHeight="1" x14ac:dyDescent="0.15">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x14ac:dyDescent="0.15">
      <c r="B93" s="2074" t="s">
        <v>420</v>
      </c>
      <c r="C93" s="2074"/>
      <c r="D93" s="2074"/>
      <c r="E93" s="2074"/>
      <c r="F93" s="2074"/>
      <c r="G93" s="2074"/>
      <c r="H93" s="2074"/>
      <c r="I93" s="2074"/>
      <c r="J93" s="2074"/>
      <c r="K93" s="2074"/>
      <c r="M93" s="22"/>
      <c r="N93" s="22"/>
      <c r="X93" s="514"/>
      <c r="Y93" s="514"/>
      <c r="Z93" s="514"/>
      <c r="AA93" s="514"/>
      <c r="AB93" s="514"/>
      <c r="AC93" s="514"/>
      <c r="AD93" s="514"/>
      <c r="AE93" s="514"/>
      <c r="AF93" s="514"/>
      <c r="AG93" s="266"/>
      <c r="AH93" s="266"/>
      <c r="AI93" s="266"/>
      <c r="AK93" s="2"/>
    </row>
    <row r="94" spans="1:42" ht="15" customHeight="1" thickBot="1" x14ac:dyDescent="0.2">
      <c r="A94" s="2"/>
      <c r="B94" s="527"/>
      <c r="C94" s="2046" t="s">
        <v>416</v>
      </c>
      <c r="D94" s="2046"/>
      <c r="E94" s="2046"/>
      <c r="F94" s="2046"/>
      <c r="G94" s="2046"/>
      <c r="H94" s="2046"/>
      <c r="I94" s="2046"/>
      <c r="J94" s="1690"/>
      <c r="K94" s="1690"/>
      <c r="L94" s="1690"/>
      <c r="M94" s="1690"/>
      <c r="N94" s="1690"/>
      <c r="O94" s="1690"/>
      <c r="P94" s="1690"/>
      <c r="Q94" s="1690"/>
      <c r="R94" s="1690"/>
      <c r="S94" s="1690"/>
      <c r="T94" s="1690"/>
      <c r="U94" s="1690"/>
      <c r="V94" s="1690"/>
      <c r="W94" s="1690"/>
      <c r="X94" s="1690"/>
      <c r="Z94" s="201"/>
      <c r="AA94" s="201"/>
      <c r="AB94" s="201"/>
      <c r="AC94" s="201"/>
      <c r="AD94" s="201"/>
      <c r="AE94" s="201"/>
      <c r="AF94" s="201"/>
      <c r="AG94" s="201"/>
      <c r="AH94" s="201"/>
      <c r="AI94" s="201"/>
      <c r="AJ94" s="201"/>
      <c r="AK94" s="362"/>
    </row>
    <row r="95" spans="1:42" s="49" customFormat="1" ht="30" customHeight="1" thickBot="1" x14ac:dyDescent="0.2">
      <c r="B95" s="524" t="str">
        <f>IF(OR(AND(F95="なし",O95&lt;&gt;""),AND(F95="あり",O95="")),"×","○")</f>
        <v>○</v>
      </c>
      <c r="C95" s="2066" t="s">
        <v>404</v>
      </c>
      <c r="D95" s="2067"/>
      <c r="E95" s="2068"/>
      <c r="F95" s="2069" t="str">
        <f>IF(OR(SUM(H76)&gt;0,SUM(H81)&gt;0,SUM(L76)&gt;0,SUM(L81)&gt;0,SUM(P76)&gt;0,SUM(P81)&gt;0,SUM(T76)&gt;0,SUM(T81)&gt;0,SUM(X76)&gt;0,SUM(X81)&gt;0,SUM(AB76)&gt;0),"あり","なし")</f>
        <v>なし</v>
      </c>
      <c r="G95" s="2070"/>
      <c r="H95" s="2070"/>
      <c r="I95" s="2071"/>
      <c r="J95" s="534"/>
      <c r="K95" s="2018" t="s">
        <v>415</v>
      </c>
      <c r="L95" s="2019"/>
      <c r="M95" s="2019"/>
      <c r="N95" s="2020"/>
      <c r="O95" s="2047"/>
      <c r="P95" s="2047"/>
      <c r="Q95" s="2047"/>
      <c r="R95" s="2047"/>
      <c r="S95" s="2047"/>
      <c r="T95" s="2048"/>
      <c r="U95" s="2075"/>
      <c r="V95" s="2076"/>
      <c r="W95" s="2076"/>
      <c r="X95" s="2076"/>
      <c r="Y95" s="2076"/>
      <c r="Z95" s="2076"/>
      <c r="AA95" s="2076"/>
      <c r="AB95" s="2076"/>
      <c r="AC95" s="2076"/>
      <c r="AD95" s="2076"/>
      <c r="AE95" s="2076"/>
      <c r="AF95" s="2076"/>
      <c r="AG95" s="22"/>
      <c r="AH95" s="2"/>
      <c r="AI95" s="22"/>
      <c r="AJ95" s="22"/>
      <c r="AK95" s="2"/>
      <c r="AL95" s="22"/>
      <c r="AM95" s="22"/>
    </row>
    <row r="96" spans="1:42" ht="11.25" customHeight="1" thickBot="1" x14ac:dyDescent="0.2">
      <c r="B96" s="209"/>
      <c r="C96" s="973"/>
      <c r="D96" s="974"/>
      <c r="E96" s="974"/>
      <c r="F96" s="974"/>
      <c r="G96" s="974"/>
      <c r="H96" s="974"/>
      <c r="I96" s="974"/>
      <c r="J96" s="975"/>
      <c r="K96" s="976"/>
      <c r="L96" s="976"/>
      <c r="M96" s="976"/>
      <c r="N96" s="976"/>
      <c r="O96" s="977"/>
      <c r="P96" s="977"/>
      <c r="Q96" s="977"/>
      <c r="R96" s="976"/>
      <c r="S96" s="976"/>
      <c r="T96" s="978"/>
      <c r="U96" s="978"/>
      <c r="V96" s="978"/>
      <c r="W96" s="27"/>
      <c r="X96" s="27"/>
      <c r="Y96" s="27"/>
      <c r="Z96" s="27"/>
      <c r="AA96" s="27"/>
      <c r="AB96" s="27"/>
      <c r="AC96" s="27"/>
      <c r="AD96" s="2"/>
      <c r="AE96" s="2"/>
      <c r="AK96" s="2"/>
    </row>
    <row r="97" spans="1:42" s="49" customFormat="1" ht="17.25" customHeight="1" x14ac:dyDescent="0.15">
      <c r="B97" s="1680" t="str">
        <f>IF(OR(F97="",AND(O95="使い捨て食器を購入",F97="なし")),"×","○")</f>
        <v>×</v>
      </c>
      <c r="C97" s="2049" t="s">
        <v>211</v>
      </c>
      <c r="D97" s="2050"/>
      <c r="E97" s="2051"/>
      <c r="F97" s="1864"/>
      <c r="G97" s="1864"/>
      <c r="H97" s="1864"/>
      <c r="I97" s="2055"/>
      <c r="J97" s="1994" t="str">
        <f>IF(O95="使い捨て食器を購入","　※ 『使い捨て食器』を忘れずに発注してください。↓","")</f>
        <v/>
      </c>
      <c r="K97" s="1917"/>
      <c r="L97" s="1917"/>
      <c r="M97" s="1917"/>
      <c r="N97" s="1917"/>
      <c r="O97" s="1917"/>
      <c r="P97" s="1917"/>
      <c r="Q97" s="1917"/>
      <c r="R97" s="1917"/>
      <c r="S97" s="1917"/>
      <c r="T97" s="1917"/>
      <c r="U97" s="1917"/>
      <c r="V97" s="1917"/>
      <c r="W97" s="1917"/>
      <c r="X97" s="1917"/>
      <c r="Y97" s="1917"/>
      <c r="Z97" s="1917"/>
      <c r="AA97" s="1917"/>
      <c r="AB97" s="1917"/>
      <c r="AC97" s="1917"/>
      <c r="AD97" s="1917"/>
      <c r="AE97" s="1917"/>
      <c r="AF97" s="296"/>
      <c r="AG97" s="296"/>
      <c r="AH97" s="296"/>
      <c r="AI97" s="296"/>
      <c r="AJ97" s="22"/>
      <c r="AK97" s="2"/>
      <c r="AL97" s="22"/>
      <c r="AM97" s="22"/>
      <c r="AN97" s="22"/>
      <c r="AO97" s="22"/>
      <c r="AP97" s="22"/>
    </row>
    <row r="98" spans="1:42" s="49" customFormat="1" ht="17.25" customHeight="1" thickBot="1" x14ac:dyDescent="0.2">
      <c r="B98" s="1680"/>
      <c r="C98" s="2052"/>
      <c r="D98" s="2053"/>
      <c r="E98" s="2054"/>
      <c r="F98" s="1865"/>
      <c r="G98" s="1865"/>
      <c r="H98" s="1865"/>
      <c r="I98" s="2056"/>
      <c r="J98" s="1978" t="str">
        <f>IF(AND(B95="○",B97="○",F97="なし"),"　※ ここまでで不備がなければ、このシートの入力は以上です。","")</f>
        <v/>
      </c>
      <c r="K98" s="1979"/>
      <c r="L98" s="1979"/>
      <c r="M98" s="1979"/>
      <c r="N98" s="1979"/>
      <c r="O98" s="1979"/>
      <c r="P98" s="1979"/>
      <c r="Q98" s="1979"/>
      <c r="R98" s="1979"/>
      <c r="S98" s="1979"/>
      <c r="T98" s="1979"/>
      <c r="U98" s="1979"/>
      <c r="V98" s="1979"/>
      <c r="W98" s="1979"/>
      <c r="X98" s="1979"/>
      <c r="Y98" s="1979"/>
      <c r="Z98" s="1979"/>
      <c r="AA98" s="1979"/>
      <c r="AB98" s="1979"/>
      <c r="AC98" s="1979"/>
      <c r="AD98" s="1979"/>
      <c r="AE98" s="1979"/>
      <c r="AF98" s="509"/>
      <c r="AG98" s="509"/>
      <c r="AH98" s="509"/>
      <c r="AI98" s="509"/>
      <c r="AJ98" s="22"/>
      <c r="AK98" s="2"/>
      <c r="AL98" s="22"/>
      <c r="AM98" s="22"/>
      <c r="AN98" s="22"/>
      <c r="AO98" s="22"/>
      <c r="AP98" s="22"/>
    </row>
    <row r="99" spans="1:42" ht="26.25" customHeight="1" x14ac:dyDescent="0.2">
      <c r="C99" s="39"/>
      <c r="D99" s="39"/>
      <c r="E99" s="39"/>
      <c r="F99" s="39"/>
      <c r="G99" s="164"/>
      <c r="H99" s="164"/>
      <c r="I99" s="554"/>
      <c r="J99" s="2065" t="str">
        <f>IF(AND(B95="○",B97="○",F97="なし"),"　　 下部より『名簿入力』､『⑥利用計画書』のシートへお進みください。","")</f>
        <v/>
      </c>
      <c r="K99" s="2065"/>
      <c r="L99" s="2065"/>
      <c r="M99" s="2065"/>
      <c r="N99" s="2065"/>
      <c r="O99" s="2065"/>
      <c r="P99" s="2065"/>
      <c r="Q99" s="2065"/>
      <c r="R99" s="2065"/>
      <c r="S99" s="2065"/>
      <c r="T99" s="2065"/>
      <c r="U99" s="2065"/>
      <c r="V99" s="2065"/>
      <c r="W99" s="2065"/>
      <c r="X99" s="2065"/>
      <c r="Y99" s="2065"/>
      <c r="Z99" s="2065"/>
      <c r="AA99" s="2065"/>
      <c r="AB99" s="2065"/>
      <c r="AC99" s="2065"/>
      <c r="AD99" s="2065"/>
      <c r="AE99" s="2065"/>
      <c r="AF99" s="68"/>
      <c r="AG99" s="158"/>
      <c r="AH99" s="158"/>
      <c r="AJ99" s="158"/>
      <c r="AK99" s="132"/>
      <c r="AL99" s="49"/>
      <c r="AM99" s="49"/>
      <c r="AN99" s="49"/>
      <c r="AO99" s="49"/>
      <c r="AP99" s="49"/>
    </row>
    <row r="100" spans="1:42" ht="22.5" customHeight="1" x14ac:dyDescent="0.2">
      <c r="B100" s="1975" t="s">
        <v>417</v>
      </c>
      <c r="C100" s="1975"/>
      <c r="D100" s="1975"/>
      <c r="E100" s="1975"/>
      <c r="F100" s="1975"/>
      <c r="G100" s="1975"/>
      <c r="H100" s="1975"/>
      <c r="I100" s="1975"/>
      <c r="J100" s="1975"/>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x14ac:dyDescent="0.15">
      <c r="A101" s="2"/>
      <c r="B101" s="2"/>
      <c r="C101" s="1872" t="s">
        <v>413</v>
      </c>
      <c r="D101" s="1872"/>
      <c r="E101" s="1872"/>
      <c r="F101" s="1872"/>
      <c r="G101" s="1872"/>
      <c r="H101" s="1872"/>
      <c r="I101" s="1872"/>
      <c r="J101" s="1872"/>
      <c r="K101" s="1872"/>
      <c r="L101" s="1872"/>
      <c r="M101" s="1872"/>
      <c r="N101" s="1872"/>
      <c r="O101" s="1872"/>
      <c r="P101" s="1872"/>
      <c r="Q101" s="1872"/>
      <c r="R101" s="1872"/>
      <c r="S101" s="1872"/>
      <c r="T101" s="1872"/>
      <c r="U101" s="1872"/>
      <c r="V101" s="1872"/>
      <c r="W101" s="510"/>
      <c r="AB101" s="332"/>
      <c r="AC101" s="332"/>
      <c r="AD101" s="332"/>
      <c r="AE101" s="332"/>
      <c r="AF101" s="332"/>
      <c r="AG101" s="270"/>
      <c r="AH101" s="270"/>
      <c r="AI101" s="270"/>
      <c r="AK101" s="2"/>
    </row>
    <row r="102" spans="1:42" ht="7.5" customHeight="1" thickBot="1" x14ac:dyDescent="0.2">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2"/>
      <c r="AK102" s="2"/>
    </row>
    <row r="103" spans="1:42" ht="30" customHeight="1" thickBot="1" x14ac:dyDescent="0.2">
      <c r="A103" s="2"/>
      <c r="B103" s="1680" t="str">
        <f>IF(OR(F97="なし",AND(T104="○",T105="○",T106="○",T103="○",OR(I104&lt;&gt;"",D105&lt;&gt;"",D106&lt;&gt;""))),"○","×")</f>
        <v>×</v>
      </c>
      <c r="C103" s="275"/>
      <c r="D103" s="1770" t="s">
        <v>10</v>
      </c>
      <c r="E103" s="1771"/>
      <c r="F103" s="1771"/>
      <c r="G103" s="1771"/>
      <c r="H103" s="1771"/>
      <c r="I103" s="1771"/>
      <c r="J103" s="1771"/>
      <c r="K103" s="1771"/>
      <c r="L103" s="1772"/>
      <c r="M103" s="1770" t="s">
        <v>11</v>
      </c>
      <c r="N103" s="1771"/>
      <c r="O103" s="1772"/>
      <c r="P103" s="1770" t="s">
        <v>12</v>
      </c>
      <c r="Q103" s="1771"/>
      <c r="R103" s="1771"/>
      <c r="S103" s="1826"/>
      <c r="T103" s="763" t="str">
        <f>IF(U103=V103,"○","×")</f>
        <v>×</v>
      </c>
      <c r="U103" s="764">
        <f>COUNTA(I104,D105,D106)</f>
        <v>0</v>
      </c>
      <c r="V103" s="764">
        <f>COUNTA(M104:M106)</f>
        <v>1</v>
      </c>
      <c r="W103" s="152"/>
      <c r="Z103" s="264"/>
      <c r="AA103" s="263"/>
    </row>
    <row r="104" spans="1:42" ht="30" customHeight="1" x14ac:dyDescent="0.15">
      <c r="B104" s="1680"/>
      <c r="C104" s="1114">
        <v>1</v>
      </c>
      <c r="E104" s="1763" t="s">
        <v>207</v>
      </c>
      <c r="F104" s="1763"/>
      <c r="G104" s="1763"/>
      <c r="H104" s="1763"/>
      <c r="I104" s="1816"/>
      <c r="J104" s="1816"/>
      <c r="K104" s="317" t="s">
        <v>197</v>
      </c>
      <c r="L104" s="318"/>
      <c r="M104" s="1817" t="s">
        <v>696</v>
      </c>
      <c r="N104" s="1818"/>
      <c r="O104" s="1819"/>
      <c r="P104" s="1764"/>
      <c r="Q104" s="1765"/>
      <c r="R104" s="1765"/>
      <c r="S104" s="1766"/>
      <c r="T104" s="765" t="str">
        <f>IF((OR(AND(I104&lt;&gt;"",M104&lt;&gt;""),AND(I104="",M104=""))),"○","×")</f>
        <v>×</v>
      </c>
      <c r="U104" s="791"/>
      <c r="V104" s="765"/>
    </row>
    <row r="105" spans="1:42" ht="30" customHeight="1" x14ac:dyDescent="0.15">
      <c r="B105" s="1680"/>
      <c r="C105" s="1115">
        <v>2</v>
      </c>
      <c r="D105" s="1767"/>
      <c r="E105" s="1768"/>
      <c r="F105" s="1768"/>
      <c r="G105" s="1768"/>
      <c r="H105" s="1768"/>
      <c r="I105" s="1768"/>
      <c r="J105" s="1768"/>
      <c r="K105" s="1768"/>
      <c r="L105" s="1769"/>
      <c r="M105" s="1820"/>
      <c r="N105" s="1821"/>
      <c r="O105" s="1822"/>
      <c r="P105" s="1773"/>
      <c r="Q105" s="1774"/>
      <c r="R105" s="1774"/>
      <c r="S105" s="1775"/>
      <c r="T105" s="765" t="str">
        <f>IF((OR(AND(D105&lt;&gt;"",M105&lt;&gt;""),AND(D105="",M105=""))),"○","×")</f>
        <v>○</v>
      </c>
      <c r="U105" s="792"/>
      <c r="V105" s="792"/>
      <c r="W105" s="790"/>
      <c r="X105" s="790"/>
      <c r="Y105" s="790"/>
      <c r="Z105" s="790"/>
      <c r="AA105" s="790"/>
      <c r="AB105" s="790"/>
      <c r="AC105" s="790"/>
      <c r="AD105" s="790"/>
      <c r="AE105" s="790"/>
      <c r="AF105" s="790"/>
    </row>
    <row r="106" spans="1:42" ht="30" customHeight="1" thickBot="1" x14ac:dyDescent="0.2">
      <c r="B106" s="1680"/>
      <c r="C106" s="1116">
        <v>3</v>
      </c>
      <c r="D106" s="1776"/>
      <c r="E106" s="1777"/>
      <c r="F106" s="1777"/>
      <c r="G106" s="1777"/>
      <c r="H106" s="1777"/>
      <c r="I106" s="1777"/>
      <c r="J106" s="1777"/>
      <c r="K106" s="1777"/>
      <c r="L106" s="1778"/>
      <c r="M106" s="1823"/>
      <c r="N106" s="1824"/>
      <c r="O106" s="1825"/>
      <c r="P106" s="1779"/>
      <c r="Q106" s="1780"/>
      <c r="R106" s="1780"/>
      <c r="S106" s="1781"/>
      <c r="T106" s="765" t="str">
        <f>IF((OR(AND(D106&lt;&gt;"",M106&lt;&gt;""),AND(D106="",M106=""))),"○","×")</f>
        <v>○</v>
      </c>
      <c r="U106" s="791"/>
      <c r="V106" s="765"/>
    </row>
    <row r="107" spans="1:42" ht="26.25" customHeight="1" x14ac:dyDescent="0.25">
      <c r="A107" s="352" t="e">
        <f>IF(AND(#REF!="",#REF!=""),"○","×")</f>
        <v>#REF!</v>
      </c>
      <c r="B107" s="352"/>
      <c r="C107" s="1793" t="s">
        <v>444</v>
      </c>
      <c r="D107" s="1793"/>
      <c r="E107" s="1793"/>
      <c r="F107" s="1793"/>
      <c r="G107" s="1793"/>
      <c r="H107" s="1793"/>
      <c r="I107" s="1793"/>
      <c r="J107" s="1793"/>
      <c r="K107" s="1793"/>
      <c r="L107" s="1793"/>
      <c r="M107" s="1793"/>
      <c r="N107" s="1793"/>
      <c r="O107" s="1793"/>
      <c r="P107" s="1793"/>
      <c r="Q107" s="1793"/>
      <c r="R107" s="1793"/>
      <c r="S107" s="1793"/>
      <c r="T107" s="1793"/>
      <c r="U107" s="1793"/>
      <c r="V107" s="1793"/>
      <c r="W107" s="1793"/>
      <c r="X107" s="1793"/>
      <c r="Y107" s="1793"/>
      <c r="Z107" s="1793"/>
      <c r="AA107" s="1793"/>
      <c r="AB107" s="322"/>
      <c r="AC107" s="322"/>
      <c r="AD107" s="322"/>
      <c r="AE107" s="322"/>
      <c r="AF107" s="322"/>
      <c r="AG107" s="351"/>
      <c r="AH107" s="351"/>
      <c r="AI107" s="351"/>
      <c r="AJ107" s="322"/>
      <c r="AK107" s="2"/>
    </row>
    <row r="108" spans="1:42" ht="3.75" customHeight="1" thickBot="1" x14ac:dyDescent="0.2">
      <c r="A108" s="352"/>
      <c r="B108" s="352"/>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322"/>
      <c r="AC108" s="322"/>
      <c r="AD108" s="322"/>
      <c r="AE108" s="322"/>
      <c r="AF108" s="322"/>
      <c r="AG108" s="351"/>
      <c r="AH108" s="351"/>
      <c r="AI108" s="351"/>
      <c r="AJ108" s="322"/>
      <c r="AK108" s="2"/>
    </row>
    <row r="109" spans="1:42" ht="22.5" customHeight="1" thickBot="1" x14ac:dyDescent="0.2">
      <c r="A109" s="352"/>
      <c r="B109" s="1680" t="str">
        <f>IF(OR(F97="なし",AND(AE110="○",AE111="○",AE112="○",AE113="○",AA109="○",AA110="○",OR(L110&lt;&gt;"",L111&lt;&gt;"",L112&lt;&gt;"",L113&lt;&gt;""))),"○","×")</f>
        <v>×</v>
      </c>
      <c r="C109" s="1729">
        <v>1</v>
      </c>
      <c r="D109" s="1759" t="s">
        <v>20</v>
      </c>
      <c r="E109" s="1760"/>
      <c r="F109" s="1760"/>
      <c r="G109" s="1761"/>
      <c r="H109" s="1759" t="s">
        <v>403</v>
      </c>
      <c r="I109" s="1760"/>
      <c r="J109" s="1760"/>
      <c r="K109" s="1761"/>
      <c r="L109" s="1759" t="s">
        <v>53</v>
      </c>
      <c r="M109" s="1760"/>
      <c r="N109" s="1760"/>
      <c r="O109" s="1760"/>
      <c r="P109" s="1760"/>
      <c r="Q109" s="1760"/>
      <c r="R109" s="1760"/>
      <c r="S109" s="1762"/>
      <c r="T109" s="1993" t="s">
        <v>24</v>
      </c>
      <c r="U109" s="1762"/>
      <c r="V109" s="1993" t="s">
        <v>25</v>
      </c>
      <c r="W109" s="1762"/>
      <c r="X109" s="1993" t="s">
        <v>23</v>
      </c>
      <c r="Y109" s="1760"/>
      <c r="Z109" s="1761"/>
      <c r="AA109" s="763" t="str">
        <f>IF(AND(AB109=AC109,AC109=AD109,AB109=AD109),"○","×")</f>
        <v>○</v>
      </c>
      <c r="AB109" s="764">
        <f>COUNTA(L110,L111,L112,L113)</f>
        <v>0</v>
      </c>
      <c r="AC109" s="764">
        <f>COUNTA(T110,T111,T112,T113)</f>
        <v>0</v>
      </c>
      <c r="AD109" s="764">
        <f>COUNTA(V110,V111,V112,V113)</f>
        <v>0</v>
      </c>
      <c r="AE109" s="784"/>
      <c r="AK109" s="351"/>
      <c r="AL109" s="322"/>
      <c r="AM109" s="2"/>
    </row>
    <row r="110" spans="1:42" ht="21" customHeight="1" x14ac:dyDescent="0.15">
      <c r="A110" s="352"/>
      <c r="B110" s="1680"/>
      <c r="C110" s="1730"/>
      <c r="D110" s="1732"/>
      <c r="E110" s="1732"/>
      <c r="F110" s="1732"/>
      <c r="G110" s="1733"/>
      <c r="H110" s="1736"/>
      <c r="I110" s="1737"/>
      <c r="J110" s="1737"/>
      <c r="K110" s="1738"/>
      <c r="L110" s="1753"/>
      <c r="M110" s="1754"/>
      <c r="N110" s="1754"/>
      <c r="O110" s="1754"/>
      <c r="P110" s="1754"/>
      <c r="Q110" s="1754"/>
      <c r="R110" s="1754"/>
      <c r="S110" s="1755"/>
      <c r="T110" s="1834"/>
      <c r="U110" s="1835"/>
      <c r="V110" s="1832"/>
      <c r="W110" s="1833"/>
      <c r="X110" s="1723">
        <f>T110*V110</f>
        <v>0</v>
      </c>
      <c r="Y110" s="1724"/>
      <c r="Z110" s="1725"/>
      <c r="AA110" s="793" t="str">
        <f>IF(OR(D110="",H110="",H112="",J112=""),"×","○")</f>
        <v>×</v>
      </c>
      <c r="AB110" s="794"/>
      <c r="AC110" s="794"/>
      <c r="AD110" s="795"/>
      <c r="AE110" s="765" t="str">
        <f>IF((OR(AND(L110&lt;&gt;"",T110&lt;&gt;"",V110&lt;&gt;""),AND(L110="",T110="",V110=""))),"○","×")</f>
        <v>○</v>
      </c>
    </row>
    <row r="111" spans="1:42" ht="21" customHeight="1" thickBot="1" x14ac:dyDescent="0.2">
      <c r="A111" s="352"/>
      <c r="B111" s="1680"/>
      <c r="C111" s="1730"/>
      <c r="D111" s="1732"/>
      <c r="E111" s="1732"/>
      <c r="F111" s="1732"/>
      <c r="G111" s="1733"/>
      <c r="H111" s="1739"/>
      <c r="I111" s="1740"/>
      <c r="J111" s="1740"/>
      <c r="K111" s="1741"/>
      <c r="L111" s="1756"/>
      <c r="M111" s="1757"/>
      <c r="N111" s="1757"/>
      <c r="O111" s="1757"/>
      <c r="P111" s="1757"/>
      <c r="Q111" s="1757"/>
      <c r="R111" s="1757"/>
      <c r="S111" s="1758"/>
      <c r="T111" s="1783"/>
      <c r="U111" s="1784"/>
      <c r="V111" s="1785"/>
      <c r="W111" s="1786"/>
      <c r="X111" s="1726">
        <f>T111*V111</f>
        <v>0</v>
      </c>
      <c r="Y111" s="1727"/>
      <c r="Z111" s="1728"/>
      <c r="AA111" s="794"/>
      <c r="AB111" s="794"/>
      <c r="AC111" s="794"/>
      <c r="AD111" s="795"/>
      <c r="AE111" s="765" t="str">
        <f>IF((OR(AND(L111&lt;&gt;"",T111&lt;&gt;"",V111&lt;&gt;""),AND(L111="",T111="",V111=""))),"○","×")</f>
        <v>○</v>
      </c>
    </row>
    <row r="112" spans="1:42" ht="21" customHeight="1" thickBot="1" x14ac:dyDescent="0.2">
      <c r="A112" s="352"/>
      <c r="B112" s="1680"/>
      <c r="C112" s="1730"/>
      <c r="D112" s="1732"/>
      <c r="E112" s="1732"/>
      <c r="F112" s="1732"/>
      <c r="G112" s="1733"/>
      <c r="H112" s="1742"/>
      <c r="I112" s="1744" t="s">
        <v>52</v>
      </c>
      <c r="J112" s="1746"/>
      <c r="K112" s="1748" t="s">
        <v>45</v>
      </c>
      <c r="L112" s="1756"/>
      <c r="M112" s="1757"/>
      <c r="N112" s="1757"/>
      <c r="O112" s="1757"/>
      <c r="P112" s="1757"/>
      <c r="Q112" s="1757"/>
      <c r="R112" s="1757"/>
      <c r="S112" s="1758"/>
      <c r="T112" s="1783"/>
      <c r="U112" s="1784"/>
      <c r="V112" s="1785"/>
      <c r="W112" s="1786"/>
      <c r="X112" s="1726">
        <f t="shared" ref="X112:X113" si="0">T112*V112</f>
        <v>0</v>
      </c>
      <c r="Y112" s="1727"/>
      <c r="Z112" s="1728"/>
      <c r="AA112" s="1829" t="s">
        <v>311</v>
      </c>
      <c r="AB112" s="1830"/>
      <c r="AC112" s="1830"/>
      <c r="AD112" s="1831"/>
      <c r="AE112" s="765" t="str">
        <f>IF((OR(AND(L112&lt;&gt;"",T112&lt;&gt;"",V112&lt;&gt;""),AND(L112="",T112="",V112=""))),"○","×")</f>
        <v>○</v>
      </c>
    </row>
    <row r="113" spans="1:39" ht="21" customHeight="1" thickBot="1" x14ac:dyDescent="0.2">
      <c r="A113" s="352"/>
      <c r="B113" s="1680"/>
      <c r="C113" s="1731"/>
      <c r="D113" s="1734"/>
      <c r="E113" s="1734"/>
      <c r="F113" s="1734"/>
      <c r="G113" s="1735"/>
      <c r="H113" s="1743"/>
      <c r="I113" s="1745"/>
      <c r="J113" s="1747"/>
      <c r="K113" s="1749"/>
      <c r="L113" s="1750"/>
      <c r="M113" s="1751"/>
      <c r="N113" s="1751"/>
      <c r="O113" s="1751"/>
      <c r="P113" s="1751"/>
      <c r="Q113" s="1751"/>
      <c r="R113" s="1751"/>
      <c r="S113" s="1752"/>
      <c r="T113" s="1787"/>
      <c r="U113" s="1788"/>
      <c r="V113" s="1789"/>
      <c r="W113" s="1790"/>
      <c r="X113" s="1726">
        <f t="shared" si="0"/>
        <v>0</v>
      </c>
      <c r="Y113" s="1727"/>
      <c r="Z113" s="1728"/>
      <c r="AA113" s="1827">
        <f>SUM(X110:Z113)</f>
        <v>0</v>
      </c>
      <c r="AB113" s="1828"/>
      <c r="AC113" s="1828"/>
      <c r="AD113" s="46" t="s">
        <v>58</v>
      </c>
      <c r="AE113" s="765" t="str">
        <f>IF((OR(AND(L113&lt;&gt;"",T113&lt;&gt;"",V113&lt;&gt;""),AND(L113="",T113="",V113=""))),"○","×")</f>
        <v>○</v>
      </c>
      <c r="AK113" s="2"/>
    </row>
    <row r="114" spans="1:39" ht="32.25" customHeight="1" thickBot="1" x14ac:dyDescent="0.2">
      <c r="A114" s="2"/>
      <c r="B114" s="527"/>
      <c r="C114" s="1934" t="s">
        <v>423</v>
      </c>
      <c r="D114" s="1934"/>
      <c r="E114" s="1934"/>
      <c r="F114" s="1934"/>
      <c r="G114" s="1934"/>
      <c r="H114" s="1934"/>
      <c r="I114" s="1934"/>
      <c r="J114" s="1934"/>
      <c r="K114" s="1934"/>
      <c r="L114" s="1934"/>
      <c r="M114" s="1934"/>
      <c r="N114" s="1934"/>
      <c r="O114" s="1934"/>
      <c r="P114" s="1934"/>
      <c r="Q114" s="1934"/>
      <c r="R114" s="1934"/>
      <c r="S114" s="1934"/>
      <c r="T114" s="1934"/>
      <c r="U114" s="1934"/>
      <c r="V114" s="1934"/>
      <c r="W114" s="1934"/>
      <c r="X114" s="1934"/>
      <c r="Y114" s="1934"/>
      <c r="Z114" s="1934"/>
      <c r="AA114" s="201"/>
      <c r="AB114" s="201"/>
      <c r="AC114" s="201"/>
      <c r="AD114" s="201"/>
      <c r="AE114" s="201"/>
      <c r="AF114" s="201"/>
      <c r="AG114" s="201"/>
      <c r="AH114" s="201"/>
      <c r="AI114" s="201"/>
      <c r="AJ114" s="201"/>
      <c r="AK114" s="362"/>
    </row>
    <row r="115" spans="1:39" ht="22.5" customHeight="1" thickBot="1" x14ac:dyDescent="0.2">
      <c r="A115" s="352"/>
      <c r="B115" s="1782" t="str">
        <f>IF(AND(AE116="○",AE117="○",AE118="○",AE119="○",AA115="○",AA116="○"),"○","×")</f>
        <v>○</v>
      </c>
      <c r="C115" s="1729">
        <v>2</v>
      </c>
      <c r="D115" s="1759" t="s">
        <v>20</v>
      </c>
      <c r="E115" s="1760"/>
      <c r="F115" s="1760"/>
      <c r="G115" s="1761"/>
      <c r="H115" s="1759" t="s">
        <v>403</v>
      </c>
      <c r="I115" s="1760"/>
      <c r="J115" s="1760"/>
      <c r="K115" s="1761"/>
      <c r="L115" s="1759" t="s">
        <v>53</v>
      </c>
      <c r="M115" s="1760"/>
      <c r="N115" s="1760"/>
      <c r="O115" s="1760"/>
      <c r="P115" s="1760"/>
      <c r="Q115" s="1760"/>
      <c r="R115" s="1760"/>
      <c r="S115" s="1762"/>
      <c r="T115" s="1993" t="s">
        <v>24</v>
      </c>
      <c r="U115" s="1762"/>
      <c r="V115" s="1993" t="s">
        <v>25</v>
      </c>
      <c r="W115" s="1762"/>
      <c r="X115" s="1993" t="s">
        <v>23</v>
      </c>
      <c r="Y115" s="1760"/>
      <c r="Z115" s="1761"/>
      <c r="AA115" s="763" t="str">
        <f>IF(AND(AB115=AC115,AC115=AD115,AB115=AD115),"○","×")</f>
        <v>○</v>
      </c>
      <c r="AB115" s="764">
        <f>COUNTA(L116,L117,L118,L119)</f>
        <v>0</v>
      </c>
      <c r="AC115" s="764">
        <f>COUNTA(T116,T117,T118,T119)</f>
        <v>0</v>
      </c>
      <c r="AD115" s="764">
        <f>COUNTA(V116,V117,V118,V119)</f>
        <v>0</v>
      </c>
      <c r="AE115" s="784"/>
      <c r="AK115" s="351"/>
      <c r="AL115" s="322"/>
      <c r="AM115" s="2"/>
    </row>
    <row r="116" spans="1:39" ht="21" customHeight="1" x14ac:dyDescent="0.15">
      <c r="A116" s="352"/>
      <c r="B116" s="1782"/>
      <c r="C116" s="1730"/>
      <c r="D116" s="1732"/>
      <c r="E116" s="1732"/>
      <c r="F116" s="1732"/>
      <c r="G116" s="1733"/>
      <c r="H116" s="1736"/>
      <c r="I116" s="1737"/>
      <c r="J116" s="1737"/>
      <c r="K116" s="1738"/>
      <c r="L116" s="1753"/>
      <c r="M116" s="1754"/>
      <c r="N116" s="1754"/>
      <c r="O116" s="1754"/>
      <c r="P116" s="1754"/>
      <c r="Q116" s="1754"/>
      <c r="R116" s="1754"/>
      <c r="S116" s="1755"/>
      <c r="T116" s="1834"/>
      <c r="U116" s="1835"/>
      <c r="V116" s="1832"/>
      <c r="W116" s="1833"/>
      <c r="X116" s="1723">
        <f>T116*V116</f>
        <v>0</v>
      </c>
      <c r="Y116" s="1724"/>
      <c r="Z116" s="1725"/>
      <c r="AA116" s="793" t="str">
        <f>IF(OR(AND(D116="",H116="",H118="",J118="",L116=""),AND(D116&lt;&gt;"",H116&lt;&gt;"",H118&lt;&gt;"",J118&lt;&gt;"",L116&lt;&gt;"")),"○","×")</f>
        <v>○</v>
      </c>
      <c r="AB116" s="796"/>
      <c r="AC116" s="794"/>
      <c r="AD116" s="795"/>
      <c r="AE116" s="765" t="str">
        <f>IF((OR(AND(L116&lt;&gt;"",T116&lt;&gt;"",V116&lt;&gt;""),AND(L116="",T116="",V116=""))),"○","×")</f>
        <v>○</v>
      </c>
    </row>
    <row r="117" spans="1:39" ht="21" customHeight="1" thickBot="1" x14ac:dyDescent="0.2">
      <c r="A117" s="352"/>
      <c r="B117" s="1782"/>
      <c r="C117" s="1730"/>
      <c r="D117" s="1732"/>
      <c r="E117" s="1732"/>
      <c r="F117" s="1732"/>
      <c r="G117" s="1733"/>
      <c r="H117" s="1739"/>
      <c r="I117" s="1740"/>
      <c r="J117" s="1740"/>
      <c r="K117" s="1741"/>
      <c r="L117" s="1756"/>
      <c r="M117" s="1757"/>
      <c r="N117" s="1757"/>
      <c r="O117" s="1757"/>
      <c r="P117" s="1757"/>
      <c r="Q117" s="1757"/>
      <c r="R117" s="1757"/>
      <c r="S117" s="1758"/>
      <c r="T117" s="1783"/>
      <c r="U117" s="1784"/>
      <c r="V117" s="1785"/>
      <c r="W117" s="1786"/>
      <c r="X117" s="1726">
        <f>T117*V117</f>
        <v>0</v>
      </c>
      <c r="Y117" s="1727"/>
      <c r="Z117" s="1728"/>
      <c r="AA117" s="794"/>
      <c r="AB117" s="794"/>
      <c r="AC117" s="794"/>
      <c r="AD117" s="795"/>
      <c r="AE117" s="765" t="str">
        <f>IF((OR(AND(L117&lt;&gt;"",T117&lt;&gt;"",V117&lt;&gt;""),AND(L117="",T117="",V117=""))),"○","×")</f>
        <v>○</v>
      </c>
    </row>
    <row r="118" spans="1:39" ht="21" customHeight="1" thickBot="1" x14ac:dyDescent="0.2">
      <c r="A118" s="352"/>
      <c r="B118" s="1782"/>
      <c r="C118" s="1730"/>
      <c r="D118" s="1732"/>
      <c r="E118" s="1732"/>
      <c r="F118" s="1732"/>
      <c r="G118" s="1733"/>
      <c r="H118" s="1742"/>
      <c r="I118" s="1744" t="s">
        <v>52</v>
      </c>
      <c r="J118" s="1746"/>
      <c r="K118" s="1748" t="s">
        <v>45</v>
      </c>
      <c r="L118" s="1756"/>
      <c r="M118" s="1757"/>
      <c r="N118" s="1757"/>
      <c r="O118" s="1757"/>
      <c r="P118" s="1757"/>
      <c r="Q118" s="1757"/>
      <c r="R118" s="1757"/>
      <c r="S118" s="1758"/>
      <c r="T118" s="1783"/>
      <c r="U118" s="1784"/>
      <c r="V118" s="1785"/>
      <c r="W118" s="1786"/>
      <c r="X118" s="1726">
        <f t="shared" ref="X118:X119" si="1">T118*V118</f>
        <v>0</v>
      </c>
      <c r="Y118" s="1727"/>
      <c r="Z118" s="1728"/>
      <c r="AA118" s="1829" t="s">
        <v>311</v>
      </c>
      <c r="AB118" s="1830"/>
      <c r="AC118" s="1830"/>
      <c r="AD118" s="1831"/>
      <c r="AE118" s="765" t="str">
        <f>IF((OR(AND(L118&lt;&gt;"",T118&lt;&gt;"",V118&lt;&gt;""),AND(L118="",T118="",V118=""))),"○","×")</f>
        <v>○</v>
      </c>
    </row>
    <row r="119" spans="1:39" ht="21" customHeight="1" thickBot="1" x14ac:dyDescent="0.2">
      <c r="A119" s="352"/>
      <c r="B119" s="1782"/>
      <c r="C119" s="1731"/>
      <c r="D119" s="1734"/>
      <c r="E119" s="1734"/>
      <c r="F119" s="1734"/>
      <c r="G119" s="1735"/>
      <c r="H119" s="1743"/>
      <c r="I119" s="1745"/>
      <c r="J119" s="1747"/>
      <c r="K119" s="1749"/>
      <c r="L119" s="1750"/>
      <c r="M119" s="1751"/>
      <c r="N119" s="1751"/>
      <c r="O119" s="1751"/>
      <c r="P119" s="1751"/>
      <c r="Q119" s="1751"/>
      <c r="R119" s="1751"/>
      <c r="S119" s="1752"/>
      <c r="T119" s="1787"/>
      <c r="U119" s="1788"/>
      <c r="V119" s="1789"/>
      <c r="W119" s="1790"/>
      <c r="X119" s="1720">
        <f t="shared" si="1"/>
        <v>0</v>
      </c>
      <c r="Y119" s="1721"/>
      <c r="Z119" s="1722"/>
      <c r="AA119" s="1827">
        <f>SUM(X116:Z119)</f>
        <v>0</v>
      </c>
      <c r="AB119" s="1828"/>
      <c r="AC119" s="1828"/>
      <c r="AD119" s="46" t="s">
        <v>58</v>
      </c>
      <c r="AE119" s="765" t="str">
        <f>IF((OR(AND(L119&lt;&gt;"",T119&lt;&gt;"",V119&lt;&gt;""),AND(L119="",T119="",V119=""))),"○","×")</f>
        <v>○</v>
      </c>
    </row>
    <row r="120" spans="1:39" ht="5.25" customHeight="1" thickBot="1" x14ac:dyDescent="0.2">
      <c r="A120" s="352"/>
      <c r="B120" s="352"/>
      <c r="C120" s="535"/>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5"/>
      <c r="AB120" s="322"/>
      <c r="AC120" s="322"/>
      <c r="AD120" s="322"/>
      <c r="AE120" s="322"/>
      <c r="AF120" s="322"/>
      <c r="AG120" s="351"/>
      <c r="AH120" s="351"/>
      <c r="AI120" s="351"/>
      <c r="AJ120" s="322"/>
      <c r="AK120" s="2"/>
    </row>
    <row r="121" spans="1:39" ht="22.5" customHeight="1" thickBot="1" x14ac:dyDescent="0.2">
      <c r="A121" s="352"/>
      <c r="B121" s="1782" t="str">
        <f>IF(AND(AE122="○",AE123="○",AE124="○",AE125="○",AA121="○",AA122="○"),"○","×")</f>
        <v>○</v>
      </c>
      <c r="C121" s="1729">
        <v>3</v>
      </c>
      <c r="D121" s="1759" t="s">
        <v>20</v>
      </c>
      <c r="E121" s="1760"/>
      <c r="F121" s="1760"/>
      <c r="G121" s="1761"/>
      <c r="H121" s="1759" t="s">
        <v>403</v>
      </c>
      <c r="I121" s="1760"/>
      <c r="J121" s="1760"/>
      <c r="K121" s="1761"/>
      <c r="L121" s="1759" t="s">
        <v>53</v>
      </c>
      <c r="M121" s="1760"/>
      <c r="N121" s="1760"/>
      <c r="O121" s="1760"/>
      <c r="P121" s="1760"/>
      <c r="Q121" s="1760"/>
      <c r="R121" s="1760"/>
      <c r="S121" s="1762"/>
      <c r="T121" s="1993" t="s">
        <v>24</v>
      </c>
      <c r="U121" s="1762"/>
      <c r="V121" s="1993" t="s">
        <v>25</v>
      </c>
      <c r="W121" s="1762"/>
      <c r="X121" s="1993" t="s">
        <v>23</v>
      </c>
      <c r="Y121" s="1760"/>
      <c r="Z121" s="1761"/>
      <c r="AA121" s="763" t="str">
        <f>IF(AND(AB121=AC121,AC121=AD121,AB121=AD121),"○","×")</f>
        <v>○</v>
      </c>
      <c r="AB121" s="764">
        <f>COUNTA(L122,L123,L124,L125)</f>
        <v>0</v>
      </c>
      <c r="AC121" s="764">
        <f>COUNTA(T122,T123,T124,T125)</f>
        <v>0</v>
      </c>
      <c r="AD121" s="764">
        <f>COUNTA(V122,V123,V124,V125)</f>
        <v>0</v>
      </c>
      <c r="AE121" s="784"/>
      <c r="AF121" s="765"/>
      <c r="AK121" s="351"/>
      <c r="AL121" s="322"/>
      <c r="AM121" s="2"/>
    </row>
    <row r="122" spans="1:39" ht="21" customHeight="1" x14ac:dyDescent="0.15">
      <c r="A122" s="352"/>
      <c r="B122" s="1782"/>
      <c r="C122" s="1730"/>
      <c r="D122" s="1732"/>
      <c r="E122" s="1732"/>
      <c r="F122" s="1732"/>
      <c r="G122" s="1733"/>
      <c r="H122" s="1736"/>
      <c r="I122" s="1737"/>
      <c r="J122" s="1737"/>
      <c r="K122" s="1738"/>
      <c r="L122" s="1753"/>
      <c r="M122" s="1754"/>
      <c r="N122" s="1754"/>
      <c r="O122" s="1754"/>
      <c r="P122" s="1754"/>
      <c r="Q122" s="1754"/>
      <c r="R122" s="1754"/>
      <c r="S122" s="1755"/>
      <c r="T122" s="1834"/>
      <c r="U122" s="1835"/>
      <c r="V122" s="1832"/>
      <c r="W122" s="1833"/>
      <c r="X122" s="1723">
        <f>T122*V122</f>
        <v>0</v>
      </c>
      <c r="Y122" s="1724"/>
      <c r="Z122" s="1725"/>
      <c r="AA122" s="793" t="str">
        <f>IF(OR(AND(D122="",H122="",H124="",J124="",L122=""),AND(D122&lt;&gt;"",H122&lt;&gt;"",H124&lt;&gt;"",J124&lt;&gt;"",L122&lt;&gt;"")),"○","×")</f>
        <v>○</v>
      </c>
      <c r="AB122" s="796"/>
      <c r="AC122" s="794"/>
      <c r="AD122" s="795"/>
      <c r="AE122" s="765" t="str">
        <f>IF((OR(AND(L122&lt;&gt;"",T122&lt;&gt;"",V122&lt;&gt;""),AND(L122="",T122="",V122=""))),"○","×")</f>
        <v>○</v>
      </c>
      <c r="AF122" s="765"/>
    </row>
    <row r="123" spans="1:39" ht="21" customHeight="1" thickBot="1" x14ac:dyDescent="0.2">
      <c r="A123" s="352"/>
      <c r="B123" s="1782"/>
      <c r="C123" s="1730"/>
      <c r="D123" s="1732"/>
      <c r="E123" s="1732"/>
      <c r="F123" s="1732"/>
      <c r="G123" s="1733"/>
      <c r="H123" s="1739"/>
      <c r="I123" s="1740"/>
      <c r="J123" s="1740"/>
      <c r="K123" s="1741"/>
      <c r="L123" s="1756"/>
      <c r="M123" s="1757"/>
      <c r="N123" s="1757"/>
      <c r="O123" s="1757"/>
      <c r="P123" s="1757"/>
      <c r="Q123" s="1757"/>
      <c r="R123" s="1757"/>
      <c r="S123" s="1758"/>
      <c r="T123" s="1783"/>
      <c r="U123" s="1784"/>
      <c r="V123" s="1785"/>
      <c r="W123" s="1786"/>
      <c r="X123" s="1726">
        <f>T123*V123</f>
        <v>0</v>
      </c>
      <c r="Y123" s="1727"/>
      <c r="Z123" s="1728"/>
      <c r="AA123" s="794"/>
      <c r="AB123" s="794"/>
      <c r="AC123" s="794"/>
      <c r="AD123" s="795"/>
      <c r="AE123" s="765" t="str">
        <f>IF((OR(AND(L123&lt;&gt;"",T123&lt;&gt;"",V123&lt;&gt;""),AND(L123="",T123="",V123=""))),"○","×")</f>
        <v>○</v>
      </c>
      <c r="AF123" s="765"/>
    </row>
    <row r="124" spans="1:39" ht="21" customHeight="1" thickBot="1" x14ac:dyDescent="0.2">
      <c r="A124" s="352"/>
      <c r="B124" s="1782"/>
      <c r="C124" s="1730"/>
      <c r="D124" s="1732"/>
      <c r="E124" s="1732"/>
      <c r="F124" s="1732"/>
      <c r="G124" s="1733"/>
      <c r="H124" s="1742"/>
      <c r="I124" s="1744" t="s">
        <v>52</v>
      </c>
      <c r="J124" s="1746"/>
      <c r="K124" s="1748" t="s">
        <v>45</v>
      </c>
      <c r="L124" s="1756"/>
      <c r="M124" s="1757"/>
      <c r="N124" s="1757"/>
      <c r="O124" s="1757"/>
      <c r="P124" s="1757"/>
      <c r="Q124" s="1757"/>
      <c r="R124" s="1757"/>
      <c r="S124" s="1758"/>
      <c r="T124" s="1783"/>
      <c r="U124" s="1784"/>
      <c r="V124" s="1785"/>
      <c r="W124" s="1786"/>
      <c r="X124" s="1726">
        <f t="shared" ref="X124:X125" si="2">T124*V124</f>
        <v>0</v>
      </c>
      <c r="Y124" s="1727"/>
      <c r="Z124" s="1728"/>
      <c r="AA124" s="1829" t="s">
        <v>311</v>
      </c>
      <c r="AB124" s="1830"/>
      <c r="AC124" s="1830"/>
      <c r="AD124" s="1831"/>
      <c r="AE124" s="765" t="str">
        <f>IF((OR(AND(L124&lt;&gt;"",T124&lt;&gt;"",V124&lt;&gt;""),AND(L124="",T124="",V124=""))),"○","×")</f>
        <v>○</v>
      </c>
    </row>
    <row r="125" spans="1:39" ht="21" customHeight="1" thickBot="1" x14ac:dyDescent="0.2">
      <c r="A125" s="352"/>
      <c r="B125" s="1782"/>
      <c r="C125" s="1731"/>
      <c r="D125" s="1734"/>
      <c r="E125" s="1734"/>
      <c r="F125" s="1734"/>
      <c r="G125" s="1735"/>
      <c r="H125" s="1743"/>
      <c r="I125" s="1745"/>
      <c r="J125" s="1747"/>
      <c r="K125" s="1749"/>
      <c r="L125" s="1750"/>
      <c r="M125" s="1751"/>
      <c r="N125" s="1751"/>
      <c r="O125" s="1751"/>
      <c r="P125" s="1751"/>
      <c r="Q125" s="1751"/>
      <c r="R125" s="1751"/>
      <c r="S125" s="1752"/>
      <c r="T125" s="1787"/>
      <c r="U125" s="1788"/>
      <c r="V125" s="1789"/>
      <c r="W125" s="1790"/>
      <c r="X125" s="1720">
        <f t="shared" si="2"/>
        <v>0</v>
      </c>
      <c r="Y125" s="1721"/>
      <c r="Z125" s="1722"/>
      <c r="AA125" s="1827">
        <f>SUM(X122:Z125)</f>
        <v>0</v>
      </c>
      <c r="AB125" s="1828"/>
      <c r="AC125" s="1828"/>
      <c r="AD125" s="46" t="s">
        <v>58</v>
      </c>
      <c r="AE125" s="765" t="str">
        <f>IF((OR(AND(L125&lt;&gt;"",T125&lt;&gt;"",V125&lt;&gt;""),AND(L125="",T125="",V125=""))),"○","×")</f>
        <v>○</v>
      </c>
    </row>
    <row r="126" spans="1:39" ht="3.75" customHeight="1" thickBot="1" x14ac:dyDescent="0.2">
      <c r="A126" s="352"/>
      <c r="B126" s="352"/>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322"/>
      <c r="AC126" s="322"/>
      <c r="AD126" s="322"/>
      <c r="AE126" s="322"/>
      <c r="AF126" s="322"/>
      <c r="AG126" s="351"/>
      <c r="AH126" s="351"/>
      <c r="AI126" s="351"/>
      <c r="AJ126" s="322"/>
      <c r="AK126" s="2"/>
    </row>
    <row r="127" spans="1:39" ht="22.5" customHeight="1" thickBot="1" x14ac:dyDescent="0.2">
      <c r="A127" s="352"/>
      <c r="B127" s="1782" t="str">
        <f>IF(AND(AE128="○",AE129="○",AE130="○",AE131="○",AA127="○",AA128="○"),"○","×")</f>
        <v>○</v>
      </c>
      <c r="C127" s="1729">
        <v>4</v>
      </c>
      <c r="D127" s="1759" t="s">
        <v>20</v>
      </c>
      <c r="E127" s="1760"/>
      <c r="F127" s="1760"/>
      <c r="G127" s="1761"/>
      <c r="H127" s="1759" t="s">
        <v>403</v>
      </c>
      <c r="I127" s="1760"/>
      <c r="J127" s="1760"/>
      <c r="K127" s="1761"/>
      <c r="L127" s="1759" t="s">
        <v>53</v>
      </c>
      <c r="M127" s="1760"/>
      <c r="N127" s="1760"/>
      <c r="O127" s="1760"/>
      <c r="P127" s="1760"/>
      <c r="Q127" s="1760"/>
      <c r="R127" s="1760"/>
      <c r="S127" s="1762"/>
      <c r="T127" s="1993" t="s">
        <v>24</v>
      </c>
      <c r="U127" s="1762"/>
      <c r="V127" s="1993" t="s">
        <v>25</v>
      </c>
      <c r="W127" s="1762"/>
      <c r="X127" s="1993" t="s">
        <v>23</v>
      </c>
      <c r="Y127" s="1760"/>
      <c r="Z127" s="1761"/>
      <c r="AA127" s="763" t="str">
        <f>IF(AND(AB127=AC127,AC127=AD127,AB127=AD127),"○","×")</f>
        <v>○</v>
      </c>
      <c r="AB127" s="764">
        <f>COUNTA(L128,L129,L130,L131)</f>
        <v>0</v>
      </c>
      <c r="AC127" s="764">
        <f>COUNTA(T128,T129,T130,T131)</f>
        <v>0</v>
      </c>
      <c r="AD127" s="764">
        <f>COUNTA(V128,V129,V130,V131)</f>
        <v>0</v>
      </c>
      <c r="AE127" s="784"/>
      <c r="AK127" s="351"/>
      <c r="AL127" s="322"/>
      <c r="AM127" s="2"/>
    </row>
    <row r="128" spans="1:39" ht="21" customHeight="1" x14ac:dyDescent="0.15">
      <c r="A128" s="352"/>
      <c r="B128" s="1782"/>
      <c r="C128" s="1730"/>
      <c r="D128" s="1732"/>
      <c r="E128" s="1732"/>
      <c r="F128" s="1732"/>
      <c r="G128" s="1733"/>
      <c r="H128" s="1736"/>
      <c r="I128" s="1737"/>
      <c r="J128" s="1737"/>
      <c r="K128" s="1738"/>
      <c r="L128" s="1753"/>
      <c r="M128" s="1754"/>
      <c r="N128" s="1754"/>
      <c r="O128" s="1754"/>
      <c r="P128" s="1754"/>
      <c r="Q128" s="1754"/>
      <c r="R128" s="1754"/>
      <c r="S128" s="1755"/>
      <c r="T128" s="1834"/>
      <c r="U128" s="1835"/>
      <c r="V128" s="1832"/>
      <c r="W128" s="1833"/>
      <c r="X128" s="1723">
        <f>T128*V128</f>
        <v>0</v>
      </c>
      <c r="Y128" s="1724"/>
      <c r="Z128" s="1725"/>
      <c r="AA128" s="793" t="str">
        <f>IF(OR(AND(D128="",H128="",H130="",J130="",L128=""),AND(D128&lt;&gt;"",H128&lt;&gt;"",H130&lt;&gt;"",J130&lt;&gt;"",L128&lt;&gt;"")),"○","×")</f>
        <v>○</v>
      </c>
      <c r="AB128" s="796"/>
      <c r="AC128" s="794"/>
      <c r="AD128" s="795"/>
      <c r="AE128" s="765" t="str">
        <f>IF((OR(AND(L128&lt;&gt;"",T128&lt;&gt;"",V128&lt;&gt;""),AND(L128="",T128="",V128=""))),"○","×")</f>
        <v>○</v>
      </c>
    </row>
    <row r="129" spans="1:39" ht="21" customHeight="1" thickBot="1" x14ac:dyDescent="0.2">
      <c r="A129" s="352"/>
      <c r="B129" s="1782"/>
      <c r="C129" s="1730"/>
      <c r="D129" s="1732"/>
      <c r="E129" s="1732"/>
      <c r="F129" s="1732"/>
      <c r="G129" s="1733"/>
      <c r="H129" s="1739"/>
      <c r="I129" s="1740"/>
      <c r="J129" s="1740"/>
      <c r="K129" s="1741"/>
      <c r="L129" s="1756"/>
      <c r="M129" s="1757"/>
      <c r="N129" s="1757"/>
      <c r="O129" s="1757"/>
      <c r="P129" s="1757"/>
      <c r="Q129" s="1757"/>
      <c r="R129" s="1757"/>
      <c r="S129" s="1758"/>
      <c r="T129" s="1783"/>
      <c r="U129" s="1784"/>
      <c r="V129" s="1785"/>
      <c r="W129" s="1786"/>
      <c r="X129" s="1726">
        <f>T129*V129</f>
        <v>0</v>
      </c>
      <c r="Y129" s="1727"/>
      <c r="Z129" s="1728"/>
      <c r="AA129" s="794"/>
      <c r="AB129" s="794"/>
      <c r="AC129" s="794"/>
      <c r="AD129" s="795"/>
      <c r="AE129" s="765" t="str">
        <f>IF((OR(AND(L129&lt;&gt;"",T129&lt;&gt;"",V129&lt;&gt;""),AND(L129="",T129="",V129=""))),"○","×")</f>
        <v>○</v>
      </c>
    </row>
    <row r="130" spans="1:39" ht="21" customHeight="1" thickBot="1" x14ac:dyDescent="0.2">
      <c r="A130" s="352"/>
      <c r="B130" s="1782"/>
      <c r="C130" s="1730"/>
      <c r="D130" s="1732"/>
      <c r="E130" s="1732"/>
      <c r="F130" s="1732"/>
      <c r="G130" s="1733"/>
      <c r="H130" s="1742"/>
      <c r="I130" s="1744" t="s">
        <v>52</v>
      </c>
      <c r="J130" s="1746"/>
      <c r="K130" s="1748" t="s">
        <v>45</v>
      </c>
      <c r="L130" s="1756"/>
      <c r="M130" s="1757"/>
      <c r="N130" s="1757"/>
      <c r="O130" s="1757"/>
      <c r="P130" s="1757"/>
      <c r="Q130" s="1757"/>
      <c r="R130" s="1757"/>
      <c r="S130" s="1758"/>
      <c r="T130" s="1783"/>
      <c r="U130" s="1784"/>
      <c r="V130" s="1785"/>
      <c r="W130" s="1786"/>
      <c r="X130" s="1726">
        <f t="shared" ref="X130:X131" si="3">T130*V130</f>
        <v>0</v>
      </c>
      <c r="Y130" s="1727"/>
      <c r="Z130" s="1728"/>
      <c r="AA130" s="1829" t="s">
        <v>311</v>
      </c>
      <c r="AB130" s="1830"/>
      <c r="AC130" s="1830"/>
      <c r="AD130" s="1831"/>
      <c r="AE130" s="765" t="str">
        <f>IF((OR(AND(L130&lt;&gt;"",T130&lt;&gt;"",V130&lt;&gt;""),AND(L130="",T130="",V130=""))),"○","×")</f>
        <v>○</v>
      </c>
    </row>
    <row r="131" spans="1:39" ht="21" customHeight="1" thickBot="1" x14ac:dyDescent="0.2">
      <c r="A131" s="352"/>
      <c r="B131" s="1782"/>
      <c r="C131" s="1731"/>
      <c r="D131" s="1734"/>
      <c r="E131" s="1734"/>
      <c r="F131" s="1734"/>
      <c r="G131" s="1735"/>
      <c r="H131" s="1743"/>
      <c r="I131" s="1745"/>
      <c r="J131" s="1747"/>
      <c r="K131" s="1749"/>
      <c r="L131" s="1750"/>
      <c r="M131" s="1751"/>
      <c r="N131" s="1751"/>
      <c r="O131" s="1751"/>
      <c r="P131" s="1751"/>
      <c r="Q131" s="1751"/>
      <c r="R131" s="1751"/>
      <c r="S131" s="1752"/>
      <c r="T131" s="1787"/>
      <c r="U131" s="1788"/>
      <c r="V131" s="1789"/>
      <c r="W131" s="1790"/>
      <c r="X131" s="1720">
        <f t="shared" si="3"/>
        <v>0</v>
      </c>
      <c r="Y131" s="1721"/>
      <c r="Z131" s="1722"/>
      <c r="AA131" s="1827">
        <f>SUM(X128:Z131)</f>
        <v>0</v>
      </c>
      <c r="AB131" s="1828"/>
      <c r="AC131" s="1828"/>
      <c r="AD131" s="46" t="s">
        <v>58</v>
      </c>
      <c r="AE131" s="765" t="str">
        <f>IF((OR(AND(L131&lt;&gt;"",T131&lt;&gt;"",V131&lt;&gt;""),AND(L131="",T131="",V131=""))),"○","×")</f>
        <v>○</v>
      </c>
    </row>
    <row r="132" spans="1:39" ht="3.75" customHeight="1" thickBot="1" x14ac:dyDescent="0.2">
      <c r="A132" s="352"/>
      <c r="B132" s="352"/>
      <c r="C132" s="535"/>
      <c r="D132" s="535"/>
      <c r="E132" s="535"/>
      <c r="F132" s="535"/>
      <c r="G132" s="535"/>
      <c r="H132" s="535"/>
      <c r="I132" s="535"/>
      <c r="J132" s="535"/>
      <c r="K132" s="535"/>
      <c r="L132" s="535"/>
      <c r="M132" s="535"/>
      <c r="N132" s="535"/>
      <c r="O132" s="535"/>
      <c r="P132" s="535"/>
      <c r="Q132" s="535"/>
      <c r="R132" s="535"/>
      <c r="S132" s="535"/>
      <c r="T132" s="535"/>
      <c r="U132" s="535"/>
      <c r="V132" s="535"/>
      <c r="W132" s="535"/>
      <c r="X132" s="535"/>
      <c r="Y132" s="535"/>
      <c r="Z132" s="535"/>
      <c r="AA132" s="535"/>
      <c r="AB132" s="322"/>
      <c r="AC132" s="322"/>
      <c r="AD132" s="322"/>
      <c r="AE132" s="322"/>
      <c r="AF132" s="322"/>
      <c r="AG132" s="351"/>
      <c r="AH132" s="351"/>
      <c r="AI132" s="351"/>
      <c r="AJ132" s="322"/>
      <c r="AK132" s="2"/>
    </row>
    <row r="133" spans="1:39" ht="22.5" customHeight="1" thickBot="1" x14ac:dyDescent="0.2">
      <c r="A133" s="352"/>
      <c r="B133" s="1782" t="str">
        <f>IF(AND(AE134="○",AE135="○",AE136="○",AE137="○",AA133="○",AA134="○"),"○","×")</f>
        <v>○</v>
      </c>
      <c r="C133" s="1729">
        <v>5</v>
      </c>
      <c r="D133" s="1759" t="s">
        <v>20</v>
      </c>
      <c r="E133" s="1760"/>
      <c r="F133" s="1760"/>
      <c r="G133" s="1761"/>
      <c r="H133" s="1759" t="s">
        <v>403</v>
      </c>
      <c r="I133" s="1760"/>
      <c r="J133" s="1760"/>
      <c r="K133" s="1761"/>
      <c r="L133" s="1759" t="s">
        <v>53</v>
      </c>
      <c r="M133" s="1760"/>
      <c r="N133" s="1760"/>
      <c r="O133" s="1760"/>
      <c r="P133" s="1760"/>
      <c r="Q133" s="1760"/>
      <c r="R133" s="1760"/>
      <c r="S133" s="1762"/>
      <c r="T133" s="1993" t="s">
        <v>24</v>
      </c>
      <c r="U133" s="1762"/>
      <c r="V133" s="1993" t="s">
        <v>25</v>
      </c>
      <c r="W133" s="1762"/>
      <c r="X133" s="1993" t="s">
        <v>23</v>
      </c>
      <c r="Y133" s="1760"/>
      <c r="Z133" s="1761"/>
      <c r="AA133" s="763" t="str">
        <f>IF(AND(AB133=AC133,AC133=AD133,AB133=AD133),"○","×")</f>
        <v>○</v>
      </c>
      <c r="AB133" s="764">
        <f>COUNTA(L134,L135,L136,L137)</f>
        <v>0</v>
      </c>
      <c r="AC133" s="764">
        <f>COUNTA(T134,T135,T136,T137)</f>
        <v>0</v>
      </c>
      <c r="AD133" s="764">
        <f>COUNTA(V134,V135,V136,V137)</f>
        <v>0</v>
      </c>
      <c r="AE133" s="784"/>
      <c r="AK133" s="351"/>
      <c r="AL133" s="322"/>
      <c r="AM133" s="2"/>
    </row>
    <row r="134" spans="1:39" ht="21" customHeight="1" x14ac:dyDescent="0.15">
      <c r="A134" s="352"/>
      <c r="B134" s="1782"/>
      <c r="C134" s="1730"/>
      <c r="D134" s="1732"/>
      <c r="E134" s="1732"/>
      <c r="F134" s="1732"/>
      <c r="G134" s="1733"/>
      <c r="H134" s="1736"/>
      <c r="I134" s="1737"/>
      <c r="J134" s="1737"/>
      <c r="K134" s="1738"/>
      <c r="L134" s="1753"/>
      <c r="M134" s="1754"/>
      <c r="N134" s="1754"/>
      <c r="O134" s="1754"/>
      <c r="P134" s="1754"/>
      <c r="Q134" s="1754"/>
      <c r="R134" s="1754"/>
      <c r="S134" s="1755"/>
      <c r="T134" s="1834"/>
      <c r="U134" s="1835"/>
      <c r="V134" s="1832"/>
      <c r="W134" s="1833"/>
      <c r="X134" s="1723">
        <f>T134*V134</f>
        <v>0</v>
      </c>
      <c r="Y134" s="1724"/>
      <c r="Z134" s="1725"/>
      <c r="AA134" s="793" t="str">
        <f>IF(OR(AND(D134="",H134="",H136="",J136="",L134=""),AND(D134&lt;&gt;"",H134&lt;&gt;"",H136&lt;&gt;"",J136&lt;&gt;"",L134&lt;&gt;"")),"○","×")</f>
        <v>○</v>
      </c>
      <c r="AB134" s="796"/>
      <c r="AC134" s="794"/>
      <c r="AD134" s="795"/>
      <c r="AE134" s="765" t="str">
        <f>IF((OR(AND(L134&lt;&gt;"",T134&lt;&gt;"",V134&lt;&gt;""),AND(L134="",T134="",V134=""))),"○","×")</f>
        <v>○</v>
      </c>
    </row>
    <row r="135" spans="1:39" ht="21" customHeight="1" thickBot="1" x14ac:dyDescent="0.2">
      <c r="A135" s="352"/>
      <c r="B135" s="1782"/>
      <c r="C135" s="1730"/>
      <c r="D135" s="1732"/>
      <c r="E135" s="1732"/>
      <c r="F135" s="1732"/>
      <c r="G135" s="1733"/>
      <c r="H135" s="1739"/>
      <c r="I135" s="1740"/>
      <c r="J135" s="1740"/>
      <c r="K135" s="1741"/>
      <c r="L135" s="1756"/>
      <c r="M135" s="1757"/>
      <c r="N135" s="1757"/>
      <c r="O135" s="1757"/>
      <c r="P135" s="1757"/>
      <c r="Q135" s="1757"/>
      <c r="R135" s="1757"/>
      <c r="S135" s="1758"/>
      <c r="T135" s="1783"/>
      <c r="U135" s="1784"/>
      <c r="V135" s="1785"/>
      <c r="W135" s="1786"/>
      <c r="X135" s="1726">
        <f>T135*V135</f>
        <v>0</v>
      </c>
      <c r="Y135" s="1727"/>
      <c r="Z135" s="1728"/>
      <c r="AA135" s="794"/>
      <c r="AB135" s="794"/>
      <c r="AC135" s="794"/>
      <c r="AD135" s="795"/>
      <c r="AE135" s="765" t="str">
        <f>IF((OR(AND(L135&lt;&gt;"",T135&lt;&gt;"",V135&lt;&gt;""),AND(L135="",T135="",V135=""))),"○","×")</f>
        <v>○</v>
      </c>
    </row>
    <row r="136" spans="1:39" ht="21" customHeight="1" thickBot="1" x14ac:dyDescent="0.2">
      <c r="A136" s="352"/>
      <c r="B136" s="1782"/>
      <c r="C136" s="1730"/>
      <c r="D136" s="1732"/>
      <c r="E136" s="1732"/>
      <c r="F136" s="1732"/>
      <c r="G136" s="1733"/>
      <c r="H136" s="1742"/>
      <c r="I136" s="1744" t="s">
        <v>52</v>
      </c>
      <c r="J136" s="1746"/>
      <c r="K136" s="1748" t="s">
        <v>45</v>
      </c>
      <c r="L136" s="1756"/>
      <c r="M136" s="1757"/>
      <c r="N136" s="1757"/>
      <c r="O136" s="1757"/>
      <c r="P136" s="1757"/>
      <c r="Q136" s="1757"/>
      <c r="R136" s="1757"/>
      <c r="S136" s="1758"/>
      <c r="T136" s="1783"/>
      <c r="U136" s="1784"/>
      <c r="V136" s="1785"/>
      <c r="W136" s="1786"/>
      <c r="X136" s="1726">
        <f t="shared" ref="X136:X137" si="4">T136*V136</f>
        <v>0</v>
      </c>
      <c r="Y136" s="1727"/>
      <c r="Z136" s="1728"/>
      <c r="AA136" s="1829" t="s">
        <v>311</v>
      </c>
      <c r="AB136" s="1830"/>
      <c r="AC136" s="1830"/>
      <c r="AD136" s="1831"/>
      <c r="AE136" s="765" t="str">
        <f>IF((OR(AND(L136&lt;&gt;"",T136&lt;&gt;"",V136&lt;&gt;""),AND(L136="",T136="",V136=""))),"○","×")</f>
        <v>○</v>
      </c>
    </row>
    <row r="137" spans="1:39" ht="21" customHeight="1" thickBot="1" x14ac:dyDescent="0.2">
      <c r="A137" s="352"/>
      <c r="B137" s="1782"/>
      <c r="C137" s="1731"/>
      <c r="D137" s="1734"/>
      <c r="E137" s="1734"/>
      <c r="F137" s="1734"/>
      <c r="G137" s="1735"/>
      <c r="H137" s="1743"/>
      <c r="I137" s="1745"/>
      <c r="J137" s="1747"/>
      <c r="K137" s="1749"/>
      <c r="L137" s="1750"/>
      <c r="M137" s="1751"/>
      <c r="N137" s="1751"/>
      <c r="O137" s="1751"/>
      <c r="P137" s="1751"/>
      <c r="Q137" s="1751"/>
      <c r="R137" s="1751"/>
      <c r="S137" s="1752"/>
      <c r="T137" s="1787"/>
      <c r="U137" s="1788"/>
      <c r="V137" s="1789"/>
      <c r="W137" s="1790"/>
      <c r="X137" s="1720">
        <f t="shared" si="4"/>
        <v>0</v>
      </c>
      <c r="Y137" s="1721"/>
      <c r="Z137" s="1722"/>
      <c r="AA137" s="1827">
        <f>SUM(X134:Z137)</f>
        <v>0</v>
      </c>
      <c r="AB137" s="1828"/>
      <c r="AC137" s="1828"/>
      <c r="AD137" s="46" t="s">
        <v>58</v>
      </c>
      <c r="AE137" s="765" t="str">
        <f>IF((OR(AND(L137&lt;&gt;"",T137&lt;&gt;"",V137&lt;&gt;""),AND(L137="",T137="",V137=""))),"○","×")</f>
        <v>○</v>
      </c>
    </row>
    <row r="138" spans="1:39" ht="3.75" customHeight="1" thickBot="1" x14ac:dyDescent="0.2">
      <c r="A138" s="352"/>
      <c r="B138" s="352"/>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322"/>
      <c r="AC138" s="322"/>
      <c r="AD138" s="322"/>
      <c r="AE138" s="322"/>
      <c r="AF138" s="322"/>
      <c r="AG138" s="351"/>
      <c r="AH138" s="351"/>
      <c r="AI138" s="351"/>
      <c r="AJ138" s="322"/>
      <c r="AK138" s="2"/>
    </row>
    <row r="139" spans="1:39" ht="22.5" customHeight="1" thickBot="1" x14ac:dyDescent="0.2">
      <c r="A139" s="352"/>
      <c r="B139" s="1782" t="str">
        <f>IF(AND(AE140="○",AE141="○",AE142="○",AE143="○",AA139="○",AA140="○"),"○","×")</f>
        <v>○</v>
      </c>
      <c r="C139" s="1729">
        <v>6</v>
      </c>
      <c r="D139" s="1759" t="s">
        <v>20</v>
      </c>
      <c r="E139" s="1760"/>
      <c r="F139" s="1760"/>
      <c r="G139" s="1761"/>
      <c r="H139" s="1759" t="s">
        <v>403</v>
      </c>
      <c r="I139" s="1760"/>
      <c r="J139" s="1760"/>
      <c r="K139" s="1761"/>
      <c r="L139" s="1759" t="s">
        <v>53</v>
      </c>
      <c r="M139" s="1760"/>
      <c r="N139" s="1760"/>
      <c r="O139" s="1760"/>
      <c r="P139" s="1760"/>
      <c r="Q139" s="1760"/>
      <c r="R139" s="1760"/>
      <c r="S139" s="1762"/>
      <c r="T139" s="1993" t="s">
        <v>24</v>
      </c>
      <c r="U139" s="1762"/>
      <c r="V139" s="1993" t="s">
        <v>25</v>
      </c>
      <c r="W139" s="1762"/>
      <c r="X139" s="1993" t="s">
        <v>23</v>
      </c>
      <c r="Y139" s="1760"/>
      <c r="Z139" s="1761"/>
      <c r="AA139" s="763" t="str">
        <f>IF(AND(AB139=AC139,AC139=AD139,AB139=AD139),"○","×")</f>
        <v>○</v>
      </c>
      <c r="AB139" s="764">
        <f>COUNTA(L140,L141,L142,L143)</f>
        <v>0</v>
      </c>
      <c r="AC139" s="764">
        <f>COUNTA(T140,T141,T142,T143)</f>
        <v>0</v>
      </c>
      <c r="AD139" s="764">
        <f>COUNTA(V140,V141,V142,V143)</f>
        <v>0</v>
      </c>
      <c r="AE139" s="784"/>
      <c r="AK139" s="351"/>
      <c r="AL139" s="322"/>
      <c r="AM139" s="2"/>
    </row>
    <row r="140" spans="1:39" ht="21" customHeight="1" x14ac:dyDescent="0.15">
      <c r="A140" s="352"/>
      <c r="B140" s="1782"/>
      <c r="C140" s="1730"/>
      <c r="D140" s="1732"/>
      <c r="E140" s="1732"/>
      <c r="F140" s="1732"/>
      <c r="G140" s="1733"/>
      <c r="H140" s="1736"/>
      <c r="I140" s="1737"/>
      <c r="J140" s="1737"/>
      <c r="K140" s="1738"/>
      <c r="L140" s="1753"/>
      <c r="M140" s="1754"/>
      <c r="N140" s="1754"/>
      <c r="O140" s="1754"/>
      <c r="P140" s="1754"/>
      <c r="Q140" s="1754"/>
      <c r="R140" s="1754"/>
      <c r="S140" s="1755"/>
      <c r="T140" s="1834"/>
      <c r="U140" s="1835"/>
      <c r="V140" s="1832"/>
      <c r="W140" s="1833"/>
      <c r="X140" s="1723">
        <f>T140*V140</f>
        <v>0</v>
      </c>
      <c r="Y140" s="1724"/>
      <c r="Z140" s="1725"/>
      <c r="AA140" s="793" t="str">
        <f>IF(OR(AND(D140="",H140="",H142="",J142="",L140=""),AND(D140&lt;&gt;"",H140&lt;&gt;"",H142&lt;&gt;"",J142&lt;&gt;"",L140&lt;&gt;"")),"○","×")</f>
        <v>○</v>
      </c>
      <c r="AB140" s="796"/>
      <c r="AC140" s="794"/>
      <c r="AD140" s="795"/>
      <c r="AE140" s="765" t="str">
        <f>IF((OR(AND(L140&lt;&gt;"",T140&lt;&gt;"",V140&lt;&gt;""),AND(L140="",T140="",V140=""))),"○","×")</f>
        <v>○</v>
      </c>
    </row>
    <row r="141" spans="1:39" ht="21" customHeight="1" thickBot="1" x14ac:dyDescent="0.2">
      <c r="A141" s="352"/>
      <c r="B141" s="1782"/>
      <c r="C141" s="1730"/>
      <c r="D141" s="1732"/>
      <c r="E141" s="1732"/>
      <c r="F141" s="1732"/>
      <c r="G141" s="1733"/>
      <c r="H141" s="1739"/>
      <c r="I141" s="1740"/>
      <c r="J141" s="1740"/>
      <c r="K141" s="1741"/>
      <c r="L141" s="1756"/>
      <c r="M141" s="1757"/>
      <c r="N141" s="1757"/>
      <c r="O141" s="1757"/>
      <c r="P141" s="1757"/>
      <c r="Q141" s="1757"/>
      <c r="R141" s="1757"/>
      <c r="S141" s="1758"/>
      <c r="T141" s="1783"/>
      <c r="U141" s="1784"/>
      <c r="V141" s="1785"/>
      <c r="W141" s="1786"/>
      <c r="X141" s="1726">
        <f>T141*V141</f>
        <v>0</v>
      </c>
      <c r="Y141" s="1727"/>
      <c r="Z141" s="1728"/>
      <c r="AA141" s="794"/>
      <c r="AB141" s="794"/>
      <c r="AC141" s="794"/>
      <c r="AD141" s="795"/>
      <c r="AE141" s="765" t="str">
        <f>IF((OR(AND(L141&lt;&gt;"",T141&lt;&gt;"",V141&lt;&gt;""),AND(L141="",T141="",V141=""))),"○","×")</f>
        <v>○</v>
      </c>
    </row>
    <row r="142" spans="1:39" ht="21" customHeight="1" thickBot="1" x14ac:dyDescent="0.2">
      <c r="A142" s="352"/>
      <c r="B142" s="1782"/>
      <c r="C142" s="1730"/>
      <c r="D142" s="1732"/>
      <c r="E142" s="1732"/>
      <c r="F142" s="1732"/>
      <c r="G142" s="1733"/>
      <c r="H142" s="1742"/>
      <c r="I142" s="1744" t="s">
        <v>52</v>
      </c>
      <c r="J142" s="1746"/>
      <c r="K142" s="1748" t="s">
        <v>45</v>
      </c>
      <c r="L142" s="1756"/>
      <c r="M142" s="1757"/>
      <c r="N142" s="1757"/>
      <c r="O142" s="1757"/>
      <c r="P142" s="1757"/>
      <c r="Q142" s="1757"/>
      <c r="R142" s="1757"/>
      <c r="S142" s="1758"/>
      <c r="T142" s="1783"/>
      <c r="U142" s="1784"/>
      <c r="V142" s="1785"/>
      <c r="W142" s="1786"/>
      <c r="X142" s="1726">
        <f t="shared" ref="X142:X143" si="5">T142*V142</f>
        <v>0</v>
      </c>
      <c r="Y142" s="1727"/>
      <c r="Z142" s="1728"/>
      <c r="AA142" s="1829" t="s">
        <v>311</v>
      </c>
      <c r="AB142" s="1830"/>
      <c r="AC142" s="1830"/>
      <c r="AD142" s="1831"/>
      <c r="AE142" s="765" t="str">
        <f>IF((OR(AND(L142&lt;&gt;"",T142&lt;&gt;"",V142&lt;&gt;""),AND(L142="",T142="",V142=""))),"○","×")</f>
        <v>○</v>
      </c>
    </row>
    <row r="143" spans="1:39" ht="21" customHeight="1" thickBot="1" x14ac:dyDescent="0.2">
      <c r="A143" s="352"/>
      <c r="B143" s="1782"/>
      <c r="C143" s="1731"/>
      <c r="D143" s="1734"/>
      <c r="E143" s="1734"/>
      <c r="F143" s="1734"/>
      <c r="G143" s="1735"/>
      <c r="H143" s="1743"/>
      <c r="I143" s="1745"/>
      <c r="J143" s="1747"/>
      <c r="K143" s="1749"/>
      <c r="L143" s="1750"/>
      <c r="M143" s="1751"/>
      <c r="N143" s="1751"/>
      <c r="O143" s="1751"/>
      <c r="P143" s="1751"/>
      <c r="Q143" s="1751"/>
      <c r="R143" s="1751"/>
      <c r="S143" s="1752"/>
      <c r="T143" s="1787"/>
      <c r="U143" s="1788"/>
      <c r="V143" s="1789"/>
      <c r="W143" s="1790"/>
      <c r="X143" s="1720">
        <f t="shared" si="5"/>
        <v>0</v>
      </c>
      <c r="Y143" s="1721"/>
      <c r="Z143" s="1722"/>
      <c r="AA143" s="1827">
        <f>SUM(X140:Z143)</f>
        <v>0</v>
      </c>
      <c r="AB143" s="1828"/>
      <c r="AC143" s="1828"/>
      <c r="AD143" s="46" t="s">
        <v>58</v>
      </c>
      <c r="AE143" s="765" t="str">
        <f>IF((OR(AND(L143&lt;&gt;"",T143&lt;&gt;"",V143&lt;&gt;""),AND(L143="",T143="",V143=""))),"○","×")</f>
        <v>○</v>
      </c>
    </row>
    <row r="144" spans="1:39" ht="3.75" customHeight="1" thickBot="1" x14ac:dyDescent="0.2">
      <c r="A144" s="352"/>
      <c r="B144" s="352"/>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322"/>
      <c r="AC144" s="322"/>
      <c r="AD144" s="322"/>
      <c r="AE144" s="795"/>
      <c r="AF144" s="322"/>
      <c r="AG144" s="351"/>
      <c r="AH144" s="351"/>
      <c r="AI144" s="351"/>
      <c r="AJ144" s="322"/>
      <c r="AK144" s="2"/>
    </row>
    <row r="145" spans="1:39" ht="22.5" customHeight="1" thickBot="1" x14ac:dyDescent="0.2">
      <c r="A145" s="352"/>
      <c r="B145" s="1782" t="str">
        <f>IF(AND(AE146="○",AE147="○",AE148="○",AE149="○",AA145="○",AA146="○"),"○","×")</f>
        <v>○</v>
      </c>
      <c r="C145" s="1729">
        <v>7</v>
      </c>
      <c r="D145" s="1759" t="s">
        <v>20</v>
      </c>
      <c r="E145" s="1760"/>
      <c r="F145" s="1760"/>
      <c r="G145" s="1761"/>
      <c r="H145" s="1759" t="s">
        <v>403</v>
      </c>
      <c r="I145" s="1760"/>
      <c r="J145" s="1760"/>
      <c r="K145" s="1761"/>
      <c r="L145" s="1759" t="s">
        <v>53</v>
      </c>
      <c r="M145" s="1760"/>
      <c r="N145" s="1760"/>
      <c r="O145" s="1760"/>
      <c r="P145" s="1760"/>
      <c r="Q145" s="1760"/>
      <c r="R145" s="1760"/>
      <c r="S145" s="1762"/>
      <c r="T145" s="1993" t="s">
        <v>24</v>
      </c>
      <c r="U145" s="1762"/>
      <c r="V145" s="1993" t="s">
        <v>25</v>
      </c>
      <c r="W145" s="1762"/>
      <c r="X145" s="1993" t="s">
        <v>23</v>
      </c>
      <c r="Y145" s="1760"/>
      <c r="Z145" s="1761"/>
      <c r="AA145" s="763" t="str">
        <f>IF(AND(AB145=AC145,AC145=AD145,AB145=AD145),"○","×")</f>
        <v>○</v>
      </c>
      <c r="AB145" s="764">
        <f>COUNTA(L146,L147,L148,L149)</f>
        <v>0</v>
      </c>
      <c r="AC145" s="764">
        <f>COUNTA(T146,T147,T148,T149)</f>
        <v>0</v>
      </c>
      <c r="AD145" s="764">
        <f>COUNTA(V146,V147,V148,V149)</f>
        <v>0</v>
      </c>
      <c r="AE145" s="784"/>
      <c r="AK145" s="351"/>
      <c r="AL145" s="322"/>
      <c r="AM145" s="2"/>
    </row>
    <row r="146" spans="1:39" ht="21" customHeight="1" x14ac:dyDescent="0.15">
      <c r="A146" s="352"/>
      <c r="B146" s="1782"/>
      <c r="C146" s="1730"/>
      <c r="D146" s="1732"/>
      <c r="E146" s="1732"/>
      <c r="F146" s="1732"/>
      <c r="G146" s="1733"/>
      <c r="H146" s="1736"/>
      <c r="I146" s="1737"/>
      <c r="J146" s="1737"/>
      <c r="K146" s="1738"/>
      <c r="L146" s="1753"/>
      <c r="M146" s="1754"/>
      <c r="N146" s="1754"/>
      <c r="O146" s="1754"/>
      <c r="P146" s="1754"/>
      <c r="Q146" s="1754"/>
      <c r="R146" s="1754"/>
      <c r="S146" s="1755"/>
      <c r="T146" s="1834"/>
      <c r="U146" s="1835"/>
      <c r="V146" s="1832"/>
      <c r="W146" s="1833"/>
      <c r="X146" s="1723">
        <f>T146*V146</f>
        <v>0</v>
      </c>
      <c r="Y146" s="1724"/>
      <c r="Z146" s="1725"/>
      <c r="AA146" s="793" t="str">
        <f>IF(OR(AND(D146="",H146="",H148="",J148="",L146=""),AND(D146&lt;&gt;"",H146&lt;&gt;"",H148&lt;&gt;"",J148&lt;&gt;"",L146&lt;&gt;"")),"○","×")</f>
        <v>○</v>
      </c>
      <c r="AB146" s="796"/>
      <c r="AC146" s="794"/>
      <c r="AD146" s="795"/>
      <c r="AE146" s="765" t="str">
        <f>IF((OR(AND(L146&lt;&gt;"",T146&lt;&gt;"",V146&lt;&gt;""),AND(L146="",T146="",V146=""))),"○","×")</f>
        <v>○</v>
      </c>
    </row>
    <row r="147" spans="1:39" ht="21" customHeight="1" thickBot="1" x14ac:dyDescent="0.2">
      <c r="A147" s="352"/>
      <c r="B147" s="1782"/>
      <c r="C147" s="1730"/>
      <c r="D147" s="1732"/>
      <c r="E147" s="1732"/>
      <c r="F147" s="1732"/>
      <c r="G147" s="1733"/>
      <c r="H147" s="1739"/>
      <c r="I147" s="1740"/>
      <c r="J147" s="1740"/>
      <c r="K147" s="1741"/>
      <c r="L147" s="1756"/>
      <c r="M147" s="1757"/>
      <c r="N147" s="1757"/>
      <c r="O147" s="1757"/>
      <c r="P147" s="1757"/>
      <c r="Q147" s="1757"/>
      <c r="R147" s="1757"/>
      <c r="S147" s="1758"/>
      <c r="T147" s="1783"/>
      <c r="U147" s="1784"/>
      <c r="V147" s="1785"/>
      <c r="W147" s="1786"/>
      <c r="X147" s="1726">
        <f>T147*V147</f>
        <v>0</v>
      </c>
      <c r="Y147" s="1727"/>
      <c r="Z147" s="1728"/>
      <c r="AA147" s="794"/>
      <c r="AB147" s="794"/>
      <c r="AC147" s="794"/>
      <c r="AD147" s="795"/>
      <c r="AE147" s="765" t="str">
        <f>IF((OR(AND(L147&lt;&gt;"",T147&lt;&gt;"",V147&lt;&gt;""),AND(L147="",T147="",V147=""))),"○","×")</f>
        <v>○</v>
      </c>
    </row>
    <row r="148" spans="1:39" ht="21" customHeight="1" thickBot="1" x14ac:dyDescent="0.2">
      <c r="A148" s="352"/>
      <c r="B148" s="1782"/>
      <c r="C148" s="1730"/>
      <c r="D148" s="1732"/>
      <c r="E148" s="1732"/>
      <c r="F148" s="1732"/>
      <c r="G148" s="1733"/>
      <c r="H148" s="1742"/>
      <c r="I148" s="1744" t="s">
        <v>52</v>
      </c>
      <c r="J148" s="1746"/>
      <c r="K148" s="1748" t="s">
        <v>45</v>
      </c>
      <c r="L148" s="1756"/>
      <c r="M148" s="1757"/>
      <c r="N148" s="1757"/>
      <c r="O148" s="1757"/>
      <c r="P148" s="1757"/>
      <c r="Q148" s="1757"/>
      <c r="R148" s="1757"/>
      <c r="S148" s="1758"/>
      <c r="T148" s="1783"/>
      <c r="U148" s="1784"/>
      <c r="V148" s="1785"/>
      <c r="W148" s="1786"/>
      <c r="X148" s="1726">
        <f t="shared" ref="X148:X149" si="6">T148*V148</f>
        <v>0</v>
      </c>
      <c r="Y148" s="1727"/>
      <c r="Z148" s="1728"/>
      <c r="AA148" s="1829" t="s">
        <v>311</v>
      </c>
      <c r="AB148" s="1830"/>
      <c r="AC148" s="1830"/>
      <c r="AD148" s="1831"/>
      <c r="AE148" s="765" t="str">
        <f>IF((OR(AND(L148&lt;&gt;"",T148&lt;&gt;"",V148&lt;&gt;""),AND(L148="",T148="",V148=""))),"○","×")</f>
        <v>○</v>
      </c>
    </row>
    <row r="149" spans="1:39" ht="21" customHeight="1" thickBot="1" x14ac:dyDescent="0.2">
      <c r="A149" s="352"/>
      <c r="B149" s="1782"/>
      <c r="C149" s="1731"/>
      <c r="D149" s="1734"/>
      <c r="E149" s="1734"/>
      <c r="F149" s="1734"/>
      <c r="G149" s="1735"/>
      <c r="H149" s="1743"/>
      <c r="I149" s="1745"/>
      <c r="J149" s="1747"/>
      <c r="K149" s="1749"/>
      <c r="L149" s="1750"/>
      <c r="M149" s="1751"/>
      <c r="N149" s="1751"/>
      <c r="O149" s="1751"/>
      <c r="P149" s="1751"/>
      <c r="Q149" s="1751"/>
      <c r="R149" s="1751"/>
      <c r="S149" s="1752"/>
      <c r="T149" s="1787"/>
      <c r="U149" s="1788"/>
      <c r="V149" s="1789"/>
      <c r="W149" s="1790"/>
      <c r="X149" s="1720">
        <f t="shared" si="6"/>
        <v>0</v>
      </c>
      <c r="Y149" s="1721"/>
      <c r="Z149" s="1722"/>
      <c r="AA149" s="1827">
        <f>SUM(X146:Z149)</f>
        <v>0</v>
      </c>
      <c r="AB149" s="1828"/>
      <c r="AC149" s="1828"/>
      <c r="AD149" s="46" t="s">
        <v>58</v>
      </c>
      <c r="AE149" s="765" t="str">
        <f>IF((OR(AND(L149&lt;&gt;"",T149&lt;&gt;"",V149&lt;&gt;""),AND(L149="",T149="",V149=""))),"○","×")</f>
        <v>○</v>
      </c>
    </row>
    <row r="150" spans="1:39" ht="3.75" customHeight="1" thickBot="1" x14ac:dyDescent="0.2">
      <c r="A150" s="352"/>
      <c r="B150" s="352"/>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322"/>
      <c r="AC150" s="322"/>
      <c r="AD150" s="322"/>
      <c r="AE150" s="795"/>
      <c r="AF150" s="322"/>
      <c r="AG150" s="351"/>
      <c r="AH150" s="351"/>
      <c r="AI150" s="351"/>
      <c r="AJ150" s="322"/>
      <c r="AK150" s="2"/>
    </row>
    <row r="151" spans="1:39" ht="22.5" customHeight="1" thickBot="1" x14ac:dyDescent="0.2">
      <c r="A151" s="352"/>
      <c r="B151" s="1782" t="str">
        <f>IF(AND(AE152="○",AE153="○",AE154="○",AE155="○",AA151="○",AA152="○"),"○","×")</f>
        <v>○</v>
      </c>
      <c r="C151" s="1729">
        <v>8</v>
      </c>
      <c r="D151" s="1759" t="s">
        <v>20</v>
      </c>
      <c r="E151" s="1760"/>
      <c r="F151" s="1760"/>
      <c r="G151" s="1761"/>
      <c r="H151" s="1759" t="s">
        <v>403</v>
      </c>
      <c r="I151" s="1760"/>
      <c r="J151" s="1760"/>
      <c r="K151" s="1761"/>
      <c r="L151" s="1759" t="s">
        <v>53</v>
      </c>
      <c r="M151" s="1760"/>
      <c r="N151" s="1760"/>
      <c r="O151" s="1760"/>
      <c r="P151" s="1760"/>
      <c r="Q151" s="1760"/>
      <c r="R151" s="1760"/>
      <c r="S151" s="1762"/>
      <c r="T151" s="1993" t="s">
        <v>24</v>
      </c>
      <c r="U151" s="1762"/>
      <c r="V151" s="1993" t="s">
        <v>25</v>
      </c>
      <c r="W151" s="1762"/>
      <c r="X151" s="1993" t="s">
        <v>23</v>
      </c>
      <c r="Y151" s="1760"/>
      <c r="Z151" s="1761"/>
      <c r="AA151" s="763" t="str">
        <f>IF(AND(AB151=AC151,AC151=AD151,AB151=AD151),"○","×")</f>
        <v>○</v>
      </c>
      <c r="AB151" s="764">
        <f>COUNTA(L152,L153,L154,L155)</f>
        <v>0</v>
      </c>
      <c r="AC151" s="764">
        <f>COUNTA(T152,T153,T154,T155)</f>
        <v>0</v>
      </c>
      <c r="AD151" s="764">
        <f>COUNTA(V152,V153,V154,V155)</f>
        <v>0</v>
      </c>
      <c r="AE151" s="784"/>
      <c r="AK151" s="351"/>
      <c r="AL151" s="322"/>
      <c r="AM151" s="2"/>
    </row>
    <row r="152" spans="1:39" ht="21" customHeight="1" x14ac:dyDescent="0.15">
      <c r="A152" s="352"/>
      <c r="B152" s="1782"/>
      <c r="C152" s="1730"/>
      <c r="D152" s="1732"/>
      <c r="E152" s="1732"/>
      <c r="F152" s="1732"/>
      <c r="G152" s="1733"/>
      <c r="H152" s="1736"/>
      <c r="I152" s="1737"/>
      <c r="J152" s="1737"/>
      <c r="K152" s="1738"/>
      <c r="L152" s="1753"/>
      <c r="M152" s="1754"/>
      <c r="N152" s="1754"/>
      <c r="O152" s="1754"/>
      <c r="P152" s="1754"/>
      <c r="Q152" s="1754"/>
      <c r="R152" s="1754"/>
      <c r="S152" s="1755"/>
      <c r="T152" s="1834"/>
      <c r="U152" s="1835"/>
      <c r="V152" s="1832"/>
      <c r="W152" s="1833"/>
      <c r="X152" s="1723"/>
      <c r="Y152" s="1724"/>
      <c r="Z152" s="1725"/>
      <c r="AA152" s="793" t="str">
        <f>IF(OR(AND(D152="",H152="",H154="",J154="",L152=""),AND(D152&lt;&gt;"",H152&lt;&gt;"",H154&lt;&gt;"",J154&lt;&gt;"",L152&lt;&gt;"")),"○","×")</f>
        <v>○</v>
      </c>
      <c r="AB152" s="796"/>
      <c r="AC152" s="794"/>
      <c r="AD152" s="795"/>
      <c r="AE152" s="765" t="str">
        <f>IF((OR(AND(L152&lt;&gt;"",T152&lt;&gt;"",V152&lt;&gt;""),AND(L152="",T152="",V152=""))),"○","×")</f>
        <v>○</v>
      </c>
    </row>
    <row r="153" spans="1:39" ht="21" customHeight="1" thickBot="1" x14ac:dyDescent="0.2">
      <c r="A153" s="352"/>
      <c r="B153" s="1782"/>
      <c r="C153" s="1730"/>
      <c r="D153" s="1732"/>
      <c r="E153" s="1732"/>
      <c r="F153" s="1732"/>
      <c r="G153" s="1733"/>
      <c r="H153" s="1739"/>
      <c r="I153" s="1740"/>
      <c r="J153" s="1740"/>
      <c r="K153" s="1741"/>
      <c r="L153" s="1756"/>
      <c r="M153" s="1757"/>
      <c r="N153" s="1757"/>
      <c r="O153" s="1757"/>
      <c r="P153" s="1757"/>
      <c r="Q153" s="1757"/>
      <c r="R153" s="1757"/>
      <c r="S153" s="1758"/>
      <c r="T153" s="1783"/>
      <c r="U153" s="1784"/>
      <c r="V153" s="1785"/>
      <c r="W153" s="1786"/>
      <c r="X153" s="1726"/>
      <c r="Y153" s="1727"/>
      <c r="Z153" s="1728"/>
      <c r="AA153" s="794"/>
      <c r="AB153" s="794"/>
      <c r="AC153" s="794"/>
      <c r="AD153" s="795"/>
      <c r="AE153" s="765" t="str">
        <f>IF((OR(AND(L153&lt;&gt;"",T153&lt;&gt;"",V153&lt;&gt;""),AND(L153="",T153="",V153=""))),"○","×")</f>
        <v>○</v>
      </c>
    </row>
    <row r="154" spans="1:39" ht="21" customHeight="1" thickBot="1" x14ac:dyDescent="0.2">
      <c r="A154" s="352"/>
      <c r="B154" s="1782"/>
      <c r="C154" s="1730"/>
      <c r="D154" s="1732"/>
      <c r="E154" s="1732"/>
      <c r="F154" s="1732"/>
      <c r="G154" s="1733"/>
      <c r="H154" s="1742"/>
      <c r="I154" s="1744" t="s">
        <v>52</v>
      </c>
      <c r="J154" s="1746"/>
      <c r="K154" s="1748" t="s">
        <v>45</v>
      </c>
      <c r="L154" s="1756"/>
      <c r="M154" s="1757"/>
      <c r="N154" s="1757"/>
      <c r="O154" s="1757"/>
      <c r="P154" s="1757"/>
      <c r="Q154" s="1757"/>
      <c r="R154" s="1757"/>
      <c r="S154" s="1758"/>
      <c r="T154" s="1783"/>
      <c r="U154" s="1784"/>
      <c r="V154" s="1785"/>
      <c r="W154" s="1786"/>
      <c r="X154" s="1726">
        <f t="shared" ref="X154:X155" si="7">T154*V154</f>
        <v>0</v>
      </c>
      <c r="Y154" s="1727"/>
      <c r="Z154" s="1728"/>
      <c r="AA154" s="1829" t="s">
        <v>311</v>
      </c>
      <c r="AB154" s="1830"/>
      <c r="AC154" s="1830"/>
      <c r="AD154" s="1831"/>
      <c r="AE154" s="765" t="str">
        <f>IF((OR(AND(L154&lt;&gt;"",T154&lt;&gt;"",V154&lt;&gt;""),AND(L154="",T154="",V154=""))),"○","×")</f>
        <v>○</v>
      </c>
    </row>
    <row r="155" spans="1:39" ht="21" customHeight="1" thickBot="1" x14ac:dyDescent="0.2">
      <c r="A155" s="352"/>
      <c r="B155" s="1782"/>
      <c r="C155" s="1731"/>
      <c r="D155" s="1734"/>
      <c r="E155" s="1734"/>
      <c r="F155" s="1734"/>
      <c r="G155" s="1735"/>
      <c r="H155" s="1743"/>
      <c r="I155" s="1745"/>
      <c r="J155" s="1747"/>
      <c r="K155" s="1749"/>
      <c r="L155" s="1750"/>
      <c r="M155" s="1751"/>
      <c r="N155" s="1751"/>
      <c r="O155" s="1751"/>
      <c r="P155" s="1751"/>
      <c r="Q155" s="1751"/>
      <c r="R155" s="1751"/>
      <c r="S155" s="1752"/>
      <c r="T155" s="1787"/>
      <c r="U155" s="1788"/>
      <c r="V155" s="1789"/>
      <c r="W155" s="1790"/>
      <c r="X155" s="1720">
        <f t="shared" si="7"/>
        <v>0</v>
      </c>
      <c r="Y155" s="1721"/>
      <c r="Z155" s="1722"/>
      <c r="AA155" s="1827"/>
      <c r="AB155" s="1828"/>
      <c r="AC155" s="1828"/>
      <c r="AD155" s="46" t="s">
        <v>58</v>
      </c>
      <c r="AE155" s="765" t="str">
        <f>IF((OR(AND(L155&lt;&gt;"",T155&lt;&gt;"",V155&lt;&gt;""),AND(L155="",T155="",V155=""))),"○","×")</f>
        <v>○</v>
      </c>
    </row>
    <row r="156" spans="1:39" x14ac:dyDescent="0.15">
      <c r="AI156" s="39"/>
      <c r="AK156" s="2"/>
    </row>
    <row r="157" spans="1:39" x14ac:dyDescent="0.15">
      <c r="AK157" s="39"/>
    </row>
    <row r="158" spans="1:39" x14ac:dyDescent="0.15">
      <c r="AK158" s="2"/>
    </row>
  </sheetData>
  <sheetProtection algorithmName="SHA-512" hashValue="SiP82GaLYcpd2+v4n0dKl2FihWQAuTm0nUJ2KCMylPElmha821wkwE71mWfwQ5ihozM5aXQbxIIuq2cLazcB8w==" saltValue="UuxGXssntrLtzQWb8qCLOQ==" spinCount="100000" sheet="1" selectLockedCells="1"/>
  <mergeCells count="627">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U37:V37"/>
    <mergeCell ref="W37:X37"/>
    <mergeCell ref="I19:J19"/>
    <mergeCell ref="J33:L34"/>
    <mergeCell ref="O22:Q22"/>
    <mergeCell ref="F26:I26"/>
    <mergeCell ref="M39:N39"/>
    <mergeCell ref="O39:P39"/>
    <mergeCell ref="N28:Y28"/>
    <mergeCell ref="W39:X39"/>
    <mergeCell ref="S39:T39"/>
    <mergeCell ref="U39:V39"/>
    <mergeCell ref="M27:N27"/>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AA113:AC113"/>
    <mergeCell ref="AA112:AD112"/>
    <mergeCell ref="V110:W110"/>
    <mergeCell ref="T112:U112"/>
    <mergeCell ref="V112:W112"/>
    <mergeCell ref="T110:U110"/>
    <mergeCell ref="T113:U113"/>
    <mergeCell ref="V113:W113"/>
    <mergeCell ref="T111:U111"/>
    <mergeCell ref="V111:W111"/>
    <mergeCell ref="X110:Z110"/>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AF2:AG2"/>
    <mergeCell ref="N4:AG6"/>
    <mergeCell ref="K5:L5"/>
    <mergeCell ref="I5:J5"/>
    <mergeCell ref="B2:E3"/>
    <mergeCell ref="I6:J6"/>
    <mergeCell ref="K6:L6"/>
    <mergeCell ref="D5:G6"/>
    <mergeCell ref="B5:C6"/>
  </mergeCells>
  <phoneticPr fontId="1"/>
  <conditionalFormatting sqref="H72:J76">
    <cfRule type="expression" dxfId="19" priority="7">
      <formula>$Z$28&lt;&gt;""</formula>
    </cfRule>
  </conditionalFormatting>
  <conditionalFormatting sqref="H77:J81">
    <cfRule type="expression" dxfId="18" priority="6">
      <formula>$Z$29&lt;&gt;""</formula>
    </cfRule>
  </conditionalFormatting>
  <conditionalFormatting sqref="L68:N71">
    <cfRule type="expression" dxfId="17" priority="5">
      <formula>$AA$27&lt;&gt;""</formula>
    </cfRule>
  </conditionalFormatting>
  <conditionalFormatting sqref="L72:N76">
    <cfRule type="expression" dxfId="16" priority="4">
      <formula>$AA$28&lt;&gt;""</formula>
    </cfRule>
  </conditionalFormatting>
  <conditionalFormatting sqref="L77:N81">
    <cfRule type="expression" dxfId="15" priority="3">
      <formula>$AA$29&lt;&gt;""</formula>
    </cfRule>
  </conditionalFormatting>
  <conditionalFormatting sqref="P68:R71">
    <cfRule type="expression" dxfId="14" priority="2">
      <formula>$AB$27&lt;&gt;""</formula>
    </cfRule>
  </conditionalFormatting>
  <conditionalFormatting sqref="P72:R76">
    <cfRule type="expression" dxfId="13" priority="1">
      <formula>$AB$28&lt;&gt;""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L68:L81 P68:P81 R75 U130:U131 T24 G18:G19 H23 T110:T113 J68:J75 H72:H81 I72:I75 I77:J80 V140:V143 U136:U137 Q68:R74 Q77:R79 R80 U118:U119 V128:V131 V146:V149 U124:U125 U142:U143 W154:W155 P48:R50 O51:Q51 U146 O82:Q82 AA38:AB39 V152:V155 O10:Q10 Z68:Z75 O25:Q25 N77:N80 M77:M79 N68:N75 M68:M74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Y68:Y74 V24" xr:uid="{00000000-0002-0000-0400-000005000000}"/>
    <dataValidation type="list" imeMode="disabled" allowBlank="1" showInputMessage="1" showErrorMessage="1" sqref="AA24" xr:uid="{00000000-0002-0000-0400-000006000000}">
      <formula1>"9,10,12,13,14,17"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M105:M106 L25:N25 M90:M91 L10:N10 M49:M50" xr:uid="{00000000-0002-0000-0400-00000E000000}">
      <formula1>"現金"</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121"/>
  <sheetViews>
    <sheetView showGridLines="0" zoomScaleNormal="100" zoomScaleSheetLayoutView="100" workbookViewId="0">
      <pane ySplit="14" topLeftCell="A21" activePane="bottomLeft" state="frozen"/>
      <selection activeCell="X81" sqref="X81:Z81"/>
      <selection pane="bottomLeft" activeCell="D15" sqref="D15:D16"/>
    </sheetView>
  </sheetViews>
  <sheetFormatPr defaultRowHeight="13.5" x14ac:dyDescent="0.1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x14ac:dyDescent="0.2">
      <c r="C1" s="112"/>
      <c r="D1" s="112"/>
    </row>
    <row r="2" spans="1:95" ht="14.25" customHeight="1" thickTop="1" thickBot="1" x14ac:dyDescent="0.2">
      <c r="B2" s="1676" t="s">
        <v>434</v>
      </c>
      <c r="C2" s="1677"/>
      <c r="D2" s="1672" t="str">
        <f>IF(AND(H2="○",H3="○",N2="○",N3="○",U2="○"),"ＯＫ","未完成")</f>
        <v>未完成</v>
      </c>
      <c r="E2" s="2452"/>
      <c r="F2" s="2434" t="s">
        <v>429</v>
      </c>
      <c r="G2" s="2435"/>
      <c r="H2" s="2438" t="str">
        <f>IF(AND(K76="○",L76="○",O76="○",P76="○",Q76="○",T76="○",U76="○",V76="○",Y76="○",Z76="○",AA76="○",AD76="○",AE76="○",AF76="○",AI76="○",AJ76="○"),"○","×")</f>
        <v>○</v>
      </c>
      <c r="I2" s="2439"/>
      <c r="J2" s="2446" t="s">
        <v>432</v>
      </c>
      <c r="K2" s="2447"/>
      <c r="L2" s="2447"/>
      <c r="M2" s="2448"/>
      <c r="N2" s="2438" t="str">
        <f>IF(F75&gt;=1,"○","×")</f>
        <v>×</v>
      </c>
      <c r="O2" s="2439"/>
      <c r="P2" s="468"/>
      <c r="Q2" s="468"/>
      <c r="R2" s="468"/>
      <c r="S2" s="468"/>
      <c r="T2" s="468"/>
      <c r="U2" s="2222" t="str">
        <f>IF(OR(AF2="",AL2=""),"×","○")</f>
        <v>×</v>
      </c>
      <c r="V2" s="1680"/>
      <c r="W2" s="1941" t="s">
        <v>370</v>
      </c>
      <c r="X2" s="1942"/>
      <c r="Y2" s="1942"/>
      <c r="Z2" s="1942"/>
      <c r="AA2" s="1942"/>
      <c r="AB2" s="1943"/>
      <c r="AC2" s="2454" t="s">
        <v>371</v>
      </c>
      <c r="AD2" s="2455"/>
      <c r="AE2" s="2455"/>
      <c r="AF2" s="2223"/>
      <c r="AG2" s="2223"/>
      <c r="AH2" s="2458" t="s">
        <v>174</v>
      </c>
      <c r="AI2" s="2460" t="s">
        <v>372</v>
      </c>
      <c r="AJ2" s="2461"/>
      <c r="AK2" s="2461"/>
      <c r="AL2" s="2464"/>
      <c r="AM2" s="2464"/>
      <c r="AN2" s="2466" t="s">
        <v>174</v>
      </c>
      <c r="AO2" s="2470" t="s">
        <v>436</v>
      </c>
      <c r="AP2" s="2471"/>
      <c r="AQ2" s="2471"/>
      <c r="AR2" s="2471"/>
      <c r="AS2" s="565"/>
      <c r="AT2" s="550"/>
      <c r="BN2" s="586" t="s">
        <v>448</v>
      </c>
      <c r="BQ2" s="113"/>
      <c r="BR2" s="113"/>
    </row>
    <row r="3" spans="1:95" ht="14.25" customHeight="1" thickBot="1" x14ac:dyDescent="0.2">
      <c r="B3" s="1678"/>
      <c r="C3" s="1679"/>
      <c r="D3" s="1675"/>
      <c r="E3" s="2453"/>
      <c r="F3" s="2436" t="s">
        <v>430</v>
      </c>
      <c r="G3" s="2437"/>
      <c r="H3" s="2440" t="str">
        <f>IF(B75=0,"○","×")</f>
        <v>×</v>
      </c>
      <c r="I3" s="2441"/>
      <c r="J3" s="2449" t="s">
        <v>433</v>
      </c>
      <c r="K3" s="2450"/>
      <c r="L3" s="2450"/>
      <c r="M3" s="2451"/>
      <c r="N3" s="2440" t="str">
        <f>IF(AND(B15="○",B17="○"),"○","×")</f>
        <v>×</v>
      </c>
      <c r="O3" s="2441"/>
      <c r="P3" s="544"/>
      <c r="Q3" s="544"/>
      <c r="R3" s="468"/>
      <c r="S3" s="468"/>
      <c r="T3" s="468"/>
      <c r="U3" s="2222"/>
      <c r="V3" s="1680"/>
      <c r="W3" s="1944"/>
      <c r="X3" s="1945"/>
      <c r="Y3" s="1945"/>
      <c r="Z3" s="1945"/>
      <c r="AA3" s="1945"/>
      <c r="AB3" s="1946"/>
      <c r="AC3" s="2456"/>
      <c r="AD3" s="2457"/>
      <c r="AE3" s="2457"/>
      <c r="AF3" s="2224"/>
      <c r="AG3" s="2224"/>
      <c r="AH3" s="2459"/>
      <c r="AI3" s="2462"/>
      <c r="AJ3" s="2463"/>
      <c r="AK3" s="2463"/>
      <c r="AL3" s="2465"/>
      <c r="AM3" s="2465"/>
      <c r="AN3" s="2467"/>
      <c r="AO3" s="2214" t="s">
        <v>437</v>
      </c>
      <c r="AP3" s="2215"/>
      <c r="AQ3" s="2215"/>
      <c r="AR3" s="2215"/>
      <c r="AS3" s="566"/>
      <c r="AT3" s="552"/>
      <c r="BN3" s="2130" t="s">
        <v>317</v>
      </c>
      <c r="BO3" s="2130"/>
      <c r="BP3" s="2130"/>
      <c r="BQ3" s="2119" t="s">
        <v>77</v>
      </c>
      <c r="BR3" s="2120"/>
      <c r="BS3" s="2127">
        <f>SUM(BS5:BV11)</f>
        <v>0</v>
      </c>
      <c r="BT3" s="2128"/>
      <c r="BU3" s="2128"/>
      <c r="BV3" s="2129"/>
      <c r="BW3" s="2125" t="s">
        <v>78</v>
      </c>
      <c r="BX3" s="2126"/>
      <c r="BY3" s="2127">
        <f>SUM(BY5:CB11)</f>
        <v>0</v>
      </c>
      <c r="BZ3" s="2128"/>
      <c r="CA3" s="2128"/>
      <c r="CB3" s="2129"/>
    </row>
    <row r="4" spans="1:95" ht="17.25" customHeight="1" thickTop="1" x14ac:dyDescent="0.15">
      <c r="D4" s="2201" t="s">
        <v>428</v>
      </c>
      <c r="E4" s="2201"/>
      <c r="F4" s="2166" t="s">
        <v>447</v>
      </c>
      <c r="G4" s="2166"/>
      <c r="H4" s="2166"/>
      <c r="I4" s="2166"/>
      <c r="J4" s="2166"/>
      <c r="K4" s="2166"/>
      <c r="L4" s="2166"/>
      <c r="M4" s="2166"/>
      <c r="N4" s="2166"/>
      <c r="O4" s="2166"/>
      <c r="P4" s="2166"/>
      <c r="Q4" s="2166"/>
      <c r="R4" s="2166"/>
      <c r="S4" s="2166"/>
      <c r="T4" s="2166"/>
      <c r="U4" s="2468" t="str">
        <f>IF(AL2&gt;=1,"　 ※ 出入りする全ての自家用車についてお知らせください","")</f>
        <v/>
      </c>
      <c r="V4" s="2468"/>
      <c r="W4" s="2468"/>
      <c r="X4" s="2468"/>
      <c r="Y4" s="2468"/>
      <c r="Z4" s="2468"/>
      <c r="AA4" s="2468"/>
      <c r="AB4" s="2468"/>
      <c r="AC4" s="2468"/>
      <c r="AD4" s="2468"/>
      <c r="AE4" s="2468"/>
      <c r="AF4" s="2468"/>
      <c r="AG4" s="2468"/>
      <c r="AH4" s="2468"/>
      <c r="AI4" s="2468"/>
      <c r="AJ4" s="2468"/>
      <c r="AK4" s="2468"/>
      <c r="AL4" s="2468"/>
      <c r="AN4" s="548"/>
      <c r="AO4" s="2203" t="str">
        <f>IF(入力1!H61="あり","希望あり","希望なし")</f>
        <v>希望なし</v>
      </c>
      <c r="AP4" s="2203"/>
      <c r="AQ4" s="2203"/>
      <c r="AR4" s="2203"/>
      <c r="AS4" s="567"/>
      <c r="AT4" s="553"/>
      <c r="AU4" s="208"/>
      <c r="BN4" s="2089" t="s">
        <v>288</v>
      </c>
      <c r="BO4" s="2090"/>
      <c r="BP4" s="627">
        <f>SUM(BP5:BP11)</f>
        <v>0</v>
      </c>
      <c r="BQ4" s="2121">
        <f>SUM(BQ5:BQ11)</f>
        <v>0</v>
      </c>
      <c r="BR4" s="2122"/>
      <c r="BS4" s="2098" t="s">
        <v>152</v>
      </c>
      <c r="BT4" s="2099"/>
      <c r="BU4" s="2131" t="s">
        <v>282</v>
      </c>
      <c r="BV4" s="2132"/>
      <c r="BW4" s="2121">
        <f>SUM(BW5:BX11)</f>
        <v>0</v>
      </c>
      <c r="BX4" s="2122"/>
      <c r="BY4" s="2098" t="s">
        <v>152</v>
      </c>
      <c r="BZ4" s="2099"/>
      <c r="CA4" s="2131" t="s">
        <v>282</v>
      </c>
      <c r="CB4" s="2132"/>
    </row>
    <row r="5" spans="1:95" ht="17.25" customHeight="1" thickBot="1" x14ac:dyDescent="0.2">
      <c r="A5" s="113"/>
      <c r="B5" s="467"/>
      <c r="C5" s="467"/>
      <c r="D5" s="2202"/>
      <c r="E5" s="2202"/>
      <c r="F5" s="2167"/>
      <c r="G5" s="2167"/>
      <c r="H5" s="2167"/>
      <c r="I5" s="2167"/>
      <c r="J5" s="2167"/>
      <c r="K5" s="2167"/>
      <c r="L5" s="2167"/>
      <c r="M5" s="2167"/>
      <c r="N5" s="2167"/>
      <c r="O5" s="2167"/>
      <c r="P5" s="2167"/>
      <c r="Q5" s="2167"/>
      <c r="R5" s="2167"/>
      <c r="S5" s="2167"/>
      <c r="T5" s="2167"/>
      <c r="U5" s="2469"/>
      <c r="V5" s="2469"/>
      <c r="W5" s="2469"/>
      <c r="X5" s="2469"/>
      <c r="Y5" s="2469"/>
      <c r="Z5" s="2469"/>
      <c r="AA5" s="2469"/>
      <c r="AB5" s="2469"/>
      <c r="AC5" s="2469"/>
      <c r="AD5" s="2469"/>
      <c r="AE5" s="2469"/>
      <c r="AF5" s="2469"/>
      <c r="AG5" s="2469"/>
      <c r="AH5" s="2469"/>
      <c r="AI5" s="2469"/>
      <c r="AJ5" s="2469"/>
      <c r="AK5" s="2469"/>
      <c r="AL5" s="2469"/>
      <c r="AN5" s="549"/>
      <c r="AO5" s="2225"/>
      <c r="AP5" s="2225"/>
      <c r="AQ5" s="2225"/>
      <c r="AR5" s="2225"/>
      <c r="AS5" s="2225"/>
      <c r="AT5" s="2225"/>
      <c r="BN5" s="2133" t="s">
        <v>283</v>
      </c>
      <c r="BO5" s="2134"/>
      <c r="BP5" s="628">
        <f>BP17</f>
        <v>0</v>
      </c>
      <c r="BQ5" s="2100">
        <f>BQ17</f>
        <v>0</v>
      </c>
      <c r="BR5" s="2101"/>
      <c r="BS5" s="2102">
        <f>COUNTIFS($G$15:$G$74,"○",$F$15:$F$74,"2歳児以下",$BJ$15:$BJ$74,"&gt;0",$BL$15:$BL$74,"&gt;=0")</f>
        <v>0</v>
      </c>
      <c r="BT5" s="2103"/>
      <c r="BU5" s="2104">
        <f>COUNTIFS($G$15:$G$74,"○",$F$15:$F$74,"2歳児以下",$BK$15:$BK$74,"&gt;0",$BL$15:$BL$74,"&lt;0")</f>
        <v>0</v>
      </c>
      <c r="BV5" s="2105"/>
      <c r="BW5" s="2100">
        <f>BR17</f>
        <v>0</v>
      </c>
      <c r="BX5" s="2101"/>
      <c r="BY5" s="2102">
        <f>COUNTIFS($H$15:$H$74,"○",$F$15:$F$74,"2歳児以下",$BJ$15:$BJ$74,"&gt;0",$BL$15:$BL$74,"&gt;=0")</f>
        <v>0</v>
      </c>
      <c r="BZ5" s="2103"/>
      <c r="CA5" s="2104">
        <f>COUNTIFS($H$15:$H$74,"○",$F$15:$F$74,"2歳児以下",$BK$15:$BK$74,"&gt;0",$BL$15:$BL$74,"&lt;0")</f>
        <v>0</v>
      </c>
      <c r="CB5" s="2105"/>
    </row>
    <row r="6" spans="1:95" ht="15" customHeight="1" x14ac:dyDescent="0.15">
      <c r="B6" s="2423" t="s">
        <v>247</v>
      </c>
      <c r="C6" s="2424"/>
      <c r="D6" s="2174" t="s">
        <v>164</v>
      </c>
      <c r="E6" s="2177" t="s">
        <v>301</v>
      </c>
      <c r="F6" s="2180" t="s">
        <v>424</v>
      </c>
      <c r="G6" s="2333" t="s">
        <v>163</v>
      </c>
      <c r="H6" s="2334"/>
      <c r="I6" s="2243" t="s">
        <v>162</v>
      </c>
      <c r="J6" s="2244"/>
      <c r="K6" s="2244"/>
      <c r="L6" s="2245"/>
      <c r="M6" s="2243" t="s">
        <v>161</v>
      </c>
      <c r="N6" s="2244"/>
      <c r="O6" s="2244"/>
      <c r="P6" s="2244"/>
      <c r="Q6" s="2245"/>
      <c r="R6" s="2243" t="s">
        <v>160</v>
      </c>
      <c r="S6" s="2244"/>
      <c r="T6" s="2244"/>
      <c r="U6" s="2244"/>
      <c r="V6" s="2245"/>
      <c r="W6" s="2296" t="s">
        <v>213</v>
      </c>
      <c r="X6" s="2297"/>
      <c r="Y6" s="2297"/>
      <c r="Z6" s="2297"/>
      <c r="AA6" s="2298"/>
      <c r="AB6" s="2296" t="s">
        <v>214</v>
      </c>
      <c r="AC6" s="2297"/>
      <c r="AD6" s="2297"/>
      <c r="AE6" s="2297"/>
      <c r="AF6" s="2298"/>
      <c r="AG6" s="2296" t="s">
        <v>215</v>
      </c>
      <c r="AH6" s="2297"/>
      <c r="AI6" s="2297"/>
      <c r="AJ6" s="2298"/>
      <c r="AK6" s="2243" t="s">
        <v>391</v>
      </c>
      <c r="AL6" s="2244"/>
      <c r="AM6" s="2244"/>
      <c r="AN6" s="2245"/>
      <c r="AO6" s="2243" t="s">
        <v>159</v>
      </c>
      <c r="AP6" s="2244"/>
      <c r="AQ6" s="2244"/>
      <c r="AR6" s="2245"/>
      <c r="AS6" s="568"/>
      <c r="BN6" s="2093" t="s">
        <v>284</v>
      </c>
      <c r="BO6" s="2094"/>
      <c r="BP6" s="628">
        <f t="shared" ref="BP6:BQ11" si="0">BP18</f>
        <v>0</v>
      </c>
      <c r="BQ6" s="2091">
        <f t="shared" si="0"/>
        <v>0</v>
      </c>
      <c r="BR6" s="2092"/>
      <c r="BS6" s="2077">
        <f>COUNTIFS($G$15:$G$74,"○",$F$15:$F$74,"3歳-学齢前",$BJ$15:$BJ$74,"&gt;0",$BL$15:$BL$74,"&gt;=0")</f>
        <v>0</v>
      </c>
      <c r="BT6" s="2078"/>
      <c r="BU6" s="2079">
        <f>COUNTIFS($G$15:$G$74,"○",$F$15:$F$74,"3歳-学齢前",$BK$15:$BK$74,"&gt;0",$BL$15:$BL$74,"&lt;0")</f>
        <v>0</v>
      </c>
      <c r="BV6" s="2080"/>
      <c r="BW6" s="2091">
        <f t="shared" ref="BW6:BW11" si="1">BR18</f>
        <v>0</v>
      </c>
      <c r="BX6" s="2092"/>
      <c r="BY6" s="2077">
        <f>COUNTIFS($H$15:$H$74,"○",$F$15:$F$74,"3歳-学齢前",$BJ$15:$BJ$74,"&gt;0",$BL$15:$BL$74,"&gt;=0")</f>
        <v>0</v>
      </c>
      <c r="BZ6" s="2078"/>
      <c r="CA6" s="2079">
        <f>COUNTIFS($H$15:$H$74,"○",$F$15:$F$74,"3歳-学齢前",$BK$15:$BK$74,"&gt;0",$BL$15:$BL$74,"&lt;0")</f>
        <v>0</v>
      </c>
      <c r="CB6" s="2080"/>
    </row>
    <row r="7" spans="1:95" ht="15" customHeight="1" x14ac:dyDescent="0.15">
      <c r="B7" s="2425"/>
      <c r="C7" s="2426"/>
      <c r="D7" s="2175"/>
      <c r="E7" s="2178"/>
      <c r="F7" s="2181"/>
      <c r="G7" s="2335"/>
      <c r="H7" s="2187"/>
      <c r="I7" s="2352" t="str">
        <f>入力1!I66</f>
        <v/>
      </c>
      <c r="J7" s="2353"/>
      <c r="K7" s="2353"/>
      <c r="L7" s="2354"/>
      <c r="M7" s="2355" t="str">
        <f>入力1!M66</f>
        <v/>
      </c>
      <c r="N7" s="2356"/>
      <c r="O7" s="2356"/>
      <c r="P7" s="2356"/>
      <c r="Q7" s="2357"/>
      <c r="R7" s="2355" t="str">
        <f>入力1!Q66</f>
        <v/>
      </c>
      <c r="S7" s="2356"/>
      <c r="T7" s="2356"/>
      <c r="U7" s="2356"/>
      <c r="V7" s="2357"/>
      <c r="W7" s="2474" t="str">
        <f>入力1!U66</f>
        <v/>
      </c>
      <c r="X7" s="2475"/>
      <c r="Y7" s="2475"/>
      <c r="Z7" s="2475"/>
      <c r="AA7" s="2476"/>
      <c r="AB7" s="2474" t="str">
        <f>入力1!Y66</f>
        <v/>
      </c>
      <c r="AC7" s="2475"/>
      <c r="AD7" s="2475"/>
      <c r="AE7" s="2475"/>
      <c r="AF7" s="2476"/>
      <c r="AG7" s="2474" t="str">
        <f>入力1!AC66</f>
        <v/>
      </c>
      <c r="AH7" s="2475"/>
      <c r="AI7" s="2475"/>
      <c r="AJ7" s="2476"/>
      <c r="AK7" s="2211" t="s">
        <v>291</v>
      </c>
      <c r="AL7" s="2212"/>
      <c r="AM7" s="2212"/>
      <c r="AN7" s="2213"/>
      <c r="AO7" s="2169" t="s">
        <v>303</v>
      </c>
      <c r="AP7" s="2169"/>
      <c r="AQ7" s="2169"/>
      <c r="AR7" s="2170"/>
      <c r="AS7" s="569"/>
      <c r="BN7" s="2093" t="s">
        <v>83</v>
      </c>
      <c r="BO7" s="2094"/>
      <c r="BP7" s="629">
        <f t="shared" si="0"/>
        <v>0</v>
      </c>
      <c r="BQ7" s="2091">
        <f t="shared" si="0"/>
        <v>0</v>
      </c>
      <c r="BR7" s="2092"/>
      <c r="BS7" s="2095">
        <f>COUNTIFS($G$15:$G$74,"○",$F$15:$F$74,"小学生",$BJ$15:$BJ$74,"&gt;0",$BL$15:$BL$74,"&gt;=0")</f>
        <v>0</v>
      </c>
      <c r="BT7" s="2096"/>
      <c r="BU7" s="2079">
        <f>COUNTIFS($G$15:$G$74,"○",$F$15:$F$74,"小学生",$BK$15:$BK$74,"&gt;0",$BL$15:$BL$74,"&lt;0")</f>
        <v>0</v>
      </c>
      <c r="BV7" s="2080"/>
      <c r="BW7" s="2091">
        <f t="shared" si="1"/>
        <v>0</v>
      </c>
      <c r="BX7" s="2092"/>
      <c r="BY7" s="2095">
        <f>COUNTIFS($H$15:$H$74,"○",$F$15:$F$74,"小学生",$BJ$15:$BJ$74,"&gt;0",$BL$15:$BL$74,"&gt;=0")</f>
        <v>0</v>
      </c>
      <c r="BZ7" s="2096"/>
      <c r="CA7" s="2079">
        <f>COUNTIFS($H$15:$H$74,"○",$F$15:$F$74,"小学生",$BK$15:$BK$74,"&gt;0",$BL$15:$BL$74,"&lt;0")</f>
        <v>0</v>
      </c>
      <c r="CB7" s="2080"/>
    </row>
    <row r="8" spans="1:95" ht="15" customHeight="1" x14ac:dyDescent="0.15">
      <c r="B8" s="2425"/>
      <c r="C8" s="2426"/>
      <c r="D8" s="2175"/>
      <c r="E8" s="2178"/>
      <c r="F8" s="2181"/>
      <c r="G8" s="2183" t="s">
        <v>77</v>
      </c>
      <c r="H8" s="2186" t="s">
        <v>78</v>
      </c>
      <c r="I8" s="2189" t="s">
        <v>173</v>
      </c>
      <c r="J8" s="2190"/>
      <c r="K8" s="2331" t="s">
        <v>158</v>
      </c>
      <c r="L8" s="2332"/>
      <c r="M8" s="2189" t="s">
        <v>173</v>
      </c>
      <c r="N8" s="2190"/>
      <c r="O8" s="2216" t="s">
        <v>157</v>
      </c>
      <c r="P8" s="2217"/>
      <c r="Q8" s="2218"/>
      <c r="R8" s="2189" t="s">
        <v>173</v>
      </c>
      <c r="S8" s="2190"/>
      <c r="T8" s="2216" t="s">
        <v>157</v>
      </c>
      <c r="U8" s="2217"/>
      <c r="V8" s="2218"/>
      <c r="W8" s="2195" t="s">
        <v>173</v>
      </c>
      <c r="X8" s="2196"/>
      <c r="Y8" s="2219" t="s">
        <v>157</v>
      </c>
      <c r="Z8" s="2220"/>
      <c r="AA8" s="2221"/>
      <c r="AB8" s="2195" t="s">
        <v>173</v>
      </c>
      <c r="AC8" s="2196"/>
      <c r="AD8" s="2219" t="s">
        <v>157</v>
      </c>
      <c r="AE8" s="2220"/>
      <c r="AF8" s="2221"/>
      <c r="AG8" s="2195" t="s">
        <v>173</v>
      </c>
      <c r="AH8" s="2196"/>
      <c r="AI8" s="2219" t="s">
        <v>157</v>
      </c>
      <c r="AJ8" s="2221"/>
      <c r="AK8" s="2168" t="s">
        <v>392</v>
      </c>
      <c r="AL8" s="2169"/>
      <c r="AM8" s="2169"/>
      <c r="AN8" s="2170"/>
      <c r="AO8" s="2169"/>
      <c r="AP8" s="2169"/>
      <c r="AQ8" s="2169"/>
      <c r="AR8" s="2170"/>
      <c r="AS8" s="569"/>
      <c r="BN8" s="2093" t="s">
        <v>84</v>
      </c>
      <c r="BO8" s="2094"/>
      <c r="BP8" s="628">
        <f t="shared" si="0"/>
        <v>0</v>
      </c>
      <c r="BQ8" s="2091">
        <f t="shared" si="0"/>
        <v>0</v>
      </c>
      <c r="BR8" s="2092"/>
      <c r="BS8" s="2077">
        <f>COUNTIFS($G$15:$G$74,"○",$F$15:$F$74,"中学生",$BJ$15:$BJ$74,"&gt;0",$BL$15:$BL$74,"&gt;=0")</f>
        <v>0</v>
      </c>
      <c r="BT8" s="2078"/>
      <c r="BU8" s="2079">
        <f>COUNTIFS($G$15:$G$74,"○",$F$15:$F$74,"中学生",$BK$15:$BK$74,"&gt;0",$BL$15:$BL$74,"&lt;0")</f>
        <v>0</v>
      </c>
      <c r="BV8" s="2080"/>
      <c r="BW8" s="2091">
        <f t="shared" si="1"/>
        <v>0</v>
      </c>
      <c r="BX8" s="2092"/>
      <c r="BY8" s="2077">
        <f>COUNTIFS($H$15:$H$74,"○",$F$15:$F$74,"中学生",$BJ$15:$BJ$74,"&gt;0",$BL$15:$BL$74,"&gt;=0")</f>
        <v>0</v>
      </c>
      <c r="BZ8" s="2078"/>
      <c r="CA8" s="2079">
        <f>COUNTIFS($H$15:$H$74,"○",$F$15:$F$74,"中学生",$BK$15:$BK$74,"&gt;0",$BL$15:$BL$74,"&lt;0")</f>
        <v>0</v>
      </c>
      <c r="CB8" s="2080"/>
    </row>
    <row r="9" spans="1:95" ht="15" customHeight="1" x14ac:dyDescent="0.15">
      <c r="B9" s="2425"/>
      <c r="C9" s="2426"/>
      <c r="D9" s="2175"/>
      <c r="E9" s="2178"/>
      <c r="F9" s="2181"/>
      <c r="G9" s="2184"/>
      <c r="H9" s="2187"/>
      <c r="I9" s="2191"/>
      <c r="J9" s="2192"/>
      <c r="K9" s="537" t="s">
        <v>150</v>
      </c>
      <c r="L9" s="538" t="s">
        <v>243</v>
      </c>
      <c r="M9" s="2191"/>
      <c r="N9" s="2192"/>
      <c r="O9" s="537" t="s">
        <v>151</v>
      </c>
      <c r="P9" s="537" t="s">
        <v>150</v>
      </c>
      <c r="Q9" s="538" t="s">
        <v>244</v>
      </c>
      <c r="R9" s="2191"/>
      <c r="S9" s="2192"/>
      <c r="T9" s="537" t="s">
        <v>151</v>
      </c>
      <c r="U9" s="537" t="s">
        <v>150</v>
      </c>
      <c r="V9" s="538" t="s">
        <v>243</v>
      </c>
      <c r="W9" s="2197"/>
      <c r="X9" s="2198"/>
      <c r="Y9" s="1085" t="s">
        <v>151</v>
      </c>
      <c r="Z9" s="1085" t="s">
        <v>150</v>
      </c>
      <c r="AA9" s="1086" t="s">
        <v>244</v>
      </c>
      <c r="AB9" s="2197"/>
      <c r="AC9" s="2198"/>
      <c r="AD9" s="1085" t="s">
        <v>151</v>
      </c>
      <c r="AE9" s="1085" t="s">
        <v>150</v>
      </c>
      <c r="AF9" s="1086" t="s">
        <v>243</v>
      </c>
      <c r="AG9" s="2197"/>
      <c r="AH9" s="2198"/>
      <c r="AI9" s="1085" t="s">
        <v>151</v>
      </c>
      <c r="AJ9" s="1085" t="s">
        <v>150</v>
      </c>
      <c r="AK9" s="2168"/>
      <c r="AL9" s="2169"/>
      <c r="AM9" s="2169"/>
      <c r="AN9" s="2170"/>
      <c r="AO9" s="2169"/>
      <c r="AP9" s="2169"/>
      <c r="AQ9" s="2169"/>
      <c r="AR9" s="2170"/>
      <c r="AS9" s="569"/>
      <c r="BN9" s="2093" t="s">
        <v>285</v>
      </c>
      <c r="BO9" s="2094"/>
      <c r="BP9" s="628">
        <f t="shared" si="0"/>
        <v>0</v>
      </c>
      <c r="BQ9" s="2123">
        <f t="shared" si="0"/>
        <v>0</v>
      </c>
      <c r="BR9" s="2124"/>
      <c r="BS9" s="2095">
        <f>COUNTIFS($G$15:$G$74,"○",$F$15:$F$74,"高校生(～18歳)",$BJ$15:$BJ$74,"&gt;0",$BL$15:$BL$74,"&gt;=0")</f>
        <v>0</v>
      </c>
      <c r="BT9" s="2096"/>
      <c r="BU9" s="2079">
        <f>COUNTIFS($G$15:$G$74,"○",$F$15:$F$74,"高校生(～18歳)",$BK$15:$BK$74,"&gt;0",$BL$15:$BL$74,"&lt;0")</f>
        <v>0</v>
      </c>
      <c r="BV9" s="2080"/>
      <c r="BW9" s="2091">
        <f t="shared" si="1"/>
        <v>0</v>
      </c>
      <c r="BX9" s="2092"/>
      <c r="BY9" s="2095">
        <f>COUNTIFS($H$15:$H$74,"○",$F$15:$F$74,"高校生(～18歳)",$BJ$15:$BJ$74,"&gt;0",$BL$15:$BL$74,"&gt;=0")</f>
        <v>0</v>
      </c>
      <c r="BZ9" s="2096"/>
      <c r="CA9" s="2079">
        <f>COUNTIFS($H$15:$H$74,"○",$F$15:$F$74,"高校生(～18歳)",$BK$15:$BK$74,"&gt;0",$BL$15:$BL$74,"&lt;0")</f>
        <v>0</v>
      </c>
      <c r="CB9" s="2080"/>
    </row>
    <row r="10" spans="1:95" ht="15" customHeight="1" thickBot="1" x14ac:dyDescent="0.2">
      <c r="B10" s="2427"/>
      <c r="C10" s="2428"/>
      <c r="D10" s="2176"/>
      <c r="E10" s="2179"/>
      <c r="F10" s="2182"/>
      <c r="G10" s="2185"/>
      <c r="H10" s="2188"/>
      <c r="I10" s="2193"/>
      <c r="J10" s="2194"/>
      <c r="K10" s="542" t="str">
        <f>IF(K75="","",SUM(入力1!H72:J75)-COUNTA(K15:K74))</f>
        <v/>
      </c>
      <c r="L10" s="543" t="str">
        <f>IF(L75="","",SUM(入力1!H77:J80)-COUNTA(L15:L74))</f>
        <v/>
      </c>
      <c r="M10" s="2193"/>
      <c r="N10" s="2194"/>
      <c r="O10" s="542" t="str">
        <f>IF(O75="","",SUM(入力1!L68:N71)-COUNTA(O15:O74))</f>
        <v/>
      </c>
      <c r="P10" s="542" t="str">
        <f>IF(P75="","",SUM(入力1!L72:N75)-COUNTA(P15:P74))</f>
        <v/>
      </c>
      <c r="Q10" s="543" t="str">
        <f>IF(Q75="","",SUM(入力1!L77:N80)-COUNTA(Q15:Q74))</f>
        <v/>
      </c>
      <c r="R10" s="2193"/>
      <c r="S10" s="2194"/>
      <c r="T10" s="542" t="str">
        <f>IF(T75="","",SUM(入力1!P68:R71)-COUNTA(T15:T74))</f>
        <v/>
      </c>
      <c r="U10" s="542" t="str">
        <f>IF(U75="","",SUM(入力1!P72:R75)-COUNTA(U15:U74))</f>
        <v/>
      </c>
      <c r="V10" s="543" t="str">
        <f>IF(V75="","",SUM(入力1!P77:R80)-COUNTA(V15:V74))</f>
        <v/>
      </c>
      <c r="W10" s="2199"/>
      <c r="X10" s="2200"/>
      <c r="Y10" s="1117" t="str">
        <f>IF(Y75="","",SUM(入力1!T68:V71)-COUNTA(Y15:Y74))</f>
        <v/>
      </c>
      <c r="Z10" s="1117" t="str">
        <f>IF(Z75="","",SUM(入力1!T72:V75)-COUNTA(Z15:Z74))</f>
        <v/>
      </c>
      <c r="AA10" s="1118" t="str">
        <f>IF(AA75="","",SUM(入力1!T77:V80)-COUNTA(AA15:AA74))</f>
        <v/>
      </c>
      <c r="AB10" s="2199"/>
      <c r="AC10" s="2200"/>
      <c r="AD10" s="1117" t="str">
        <f>IF(AD75="","",SUM(入力1!X68:Z71)-COUNTA(AD15:AD74))</f>
        <v/>
      </c>
      <c r="AE10" s="1117" t="str">
        <f>IF(AE75="","",SUM(入力1!X72:Z75)-COUNTA(AE15:AE74))</f>
        <v/>
      </c>
      <c r="AF10" s="1118" t="str">
        <f>IF(AF75="","",SUM(入力1!X77:Z80)-COUNTA(AF15:AF74))</f>
        <v/>
      </c>
      <c r="AG10" s="2199"/>
      <c r="AH10" s="2200"/>
      <c r="AI10" s="1117" t="str">
        <f>IF(AI75="","",SUM(入力1!AB68:AD71)-COUNTA(AI15:AI74))</f>
        <v/>
      </c>
      <c r="AJ10" s="1118" t="str">
        <f>IF(AJ75="","",SUM(入力1!AB72:AD75)-COUNTA(AJ15:AJ74))</f>
        <v/>
      </c>
      <c r="AK10" s="2171"/>
      <c r="AL10" s="2172"/>
      <c r="AM10" s="2172"/>
      <c r="AN10" s="2173"/>
      <c r="AO10" s="2172"/>
      <c r="AP10" s="2172"/>
      <c r="AQ10" s="2172"/>
      <c r="AR10" s="2173"/>
      <c r="AS10" s="569"/>
      <c r="BN10" s="2093" t="s">
        <v>286</v>
      </c>
      <c r="BO10" s="2094"/>
      <c r="BP10" s="628">
        <f t="shared" si="0"/>
        <v>0</v>
      </c>
      <c r="BQ10" s="2091">
        <f t="shared" si="0"/>
        <v>0</v>
      </c>
      <c r="BR10" s="2092"/>
      <c r="BS10" s="2077">
        <f>COUNTIFS($G$15:$G$74,"○",$F$15:$F$74,"一般(19歳～)",$BJ$15:$BJ$74,"&gt;0",$BL$15:$BL$74,"&gt;=0")</f>
        <v>0</v>
      </c>
      <c r="BT10" s="2078"/>
      <c r="BU10" s="2079">
        <f>COUNTIFS($G$15:$G$74,"○",$F$15:$F$74,"一般(19歳～)",$BK$15:$BK$74,"&gt;0",$BL$15:$BL$74,"&lt;0")</f>
        <v>0</v>
      </c>
      <c r="BV10" s="2080"/>
      <c r="BW10" s="2091">
        <f t="shared" si="1"/>
        <v>0</v>
      </c>
      <c r="BX10" s="2092"/>
      <c r="BY10" s="2077">
        <f>COUNTIFS($H$15:$H$74,"○",$F$15:$F$74,"一般(19歳～)",$BJ$15:$BJ$74,"&gt;0",$BL$15:$BL$74,"&gt;=0")</f>
        <v>0</v>
      </c>
      <c r="BZ10" s="2078"/>
      <c r="CA10" s="2079">
        <f>COUNTIFS($H$15:$H$74,"○",$F$15:$F$74,"一般(19歳～)",$BK$15:$BK$74,"&gt;0",$BL$15:$BL$74,"&lt;0")</f>
        <v>0</v>
      </c>
      <c r="CB10" s="2080"/>
      <c r="CC10" s="579"/>
      <c r="CD10" s="579"/>
      <c r="CE10" s="579"/>
      <c r="CF10" s="579"/>
      <c r="CG10" s="579"/>
      <c r="CH10" s="579"/>
      <c r="CI10" s="579"/>
      <c r="CJ10" s="579"/>
      <c r="CK10" s="579"/>
      <c r="CL10" s="579"/>
      <c r="CM10" s="579"/>
      <c r="CN10" s="579"/>
      <c r="CO10" s="579"/>
      <c r="CP10" s="579"/>
      <c r="CQ10" s="579"/>
    </row>
    <row r="11" spans="1:95" ht="15" customHeight="1" thickBot="1" x14ac:dyDescent="0.2">
      <c r="B11" s="2429" t="s">
        <v>374</v>
      </c>
      <c r="C11" s="2380"/>
      <c r="D11" s="2380" t="s">
        <v>155</v>
      </c>
      <c r="E11" s="2382" t="s">
        <v>154</v>
      </c>
      <c r="F11" s="2350" t="s">
        <v>289</v>
      </c>
      <c r="G11" s="2384" t="s">
        <v>97</v>
      </c>
      <c r="H11" s="2386"/>
      <c r="I11" s="2323" t="s">
        <v>152</v>
      </c>
      <c r="J11" s="2324"/>
      <c r="K11" s="2303" t="s">
        <v>97</v>
      </c>
      <c r="L11" s="2305" t="s">
        <v>97</v>
      </c>
      <c r="M11" s="2323" t="s">
        <v>152</v>
      </c>
      <c r="N11" s="2324"/>
      <c r="O11" s="2303" t="s">
        <v>97</v>
      </c>
      <c r="P11" s="2303" t="s">
        <v>97</v>
      </c>
      <c r="Q11" s="2305" t="s">
        <v>97</v>
      </c>
      <c r="R11" s="2327" t="s">
        <v>369</v>
      </c>
      <c r="S11" s="2328"/>
      <c r="T11" s="2303" t="s">
        <v>97</v>
      </c>
      <c r="U11" s="2292"/>
      <c r="V11" s="2294"/>
      <c r="W11" s="2270"/>
      <c r="X11" s="2271"/>
      <c r="Y11" s="2280"/>
      <c r="Z11" s="2280"/>
      <c r="AA11" s="2274"/>
      <c r="AB11" s="2270"/>
      <c r="AC11" s="2271"/>
      <c r="AD11" s="2280"/>
      <c r="AE11" s="2278"/>
      <c r="AF11" s="2276"/>
      <c r="AG11" s="2270"/>
      <c r="AH11" s="2271"/>
      <c r="AI11" s="2280"/>
      <c r="AJ11" s="2274"/>
      <c r="AK11" s="2261"/>
      <c r="AL11" s="2262"/>
      <c r="AM11" s="2262"/>
      <c r="AN11" s="2263"/>
      <c r="AO11" s="2255" t="s">
        <v>302</v>
      </c>
      <c r="AP11" s="2256"/>
      <c r="AQ11" s="2256"/>
      <c r="AR11" s="2257"/>
      <c r="AS11" s="570"/>
      <c r="BK11" s="579"/>
      <c r="BL11" s="579"/>
      <c r="BM11" s="579"/>
      <c r="BN11" s="2081" t="s">
        <v>456</v>
      </c>
      <c r="BO11" s="2082"/>
      <c r="BP11" s="630">
        <f t="shared" si="0"/>
        <v>0</v>
      </c>
      <c r="BQ11" s="2085">
        <f t="shared" si="0"/>
        <v>0</v>
      </c>
      <c r="BR11" s="2086"/>
      <c r="BS11" s="2087">
        <f>COUNTIFS($G$15:$G$74,"○",$F$15:$F$74,"バス・カメラマン等",$BJ$15:$BJ$74,"&gt;0",$BL$15:$BL$74,"&gt;=0")</f>
        <v>0</v>
      </c>
      <c r="BT11" s="2088"/>
      <c r="BU11" s="2083">
        <f>COUNTIFS($G$15:$G$74,"○",$F$15:$F$74,"バス・カメラマン等",$BK$15:$BK$74,"&gt;0",$BL$15:$BL$74,"&lt;0")</f>
        <v>0</v>
      </c>
      <c r="BV11" s="2084"/>
      <c r="BW11" s="2085">
        <f t="shared" si="1"/>
        <v>0</v>
      </c>
      <c r="BX11" s="2086"/>
      <c r="BY11" s="2087">
        <f>COUNTIFS($H$15:$H$74,"○",$F$15:$F$74,"バス・カメラマン等",$BJ$15:$BJ$74,"&gt;0",$BL$15:$BL$74,"&gt;=0")</f>
        <v>0</v>
      </c>
      <c r="BZ11" s="2088"/>
      <c r="CA11" s="2083">
        <f>COUNTIFS($H$15:$H$74,"○",$F$15:$F$74,"バス・カメラマン等",$BK$15:$BK$74,"&gt;0",$BL$15:$BL$74,"&lt;0")</f>
        <v>0</v>
      </c>
      <c r="CB11" s="2084"/>
      <c r="CC11" s="579"/>
      <c r="CD11" s="579"/>
      <c r="CE11" s="579"/>
      <c r="CF11" s="579"/>
      <c r="CG11" s="579"/>
      <c r="CH11" s="579"/>
      <c r="CI11" s="579"/>
      <c r="CJ11" s="579"/>
      <c r="CK11" s="579"/>
      <c r="CL11" s="579"/>
      <c r="CM11" s="579"/>
      <c r="CN11" s="579"/>
      <c r="CO11" s="579"/>
      <c r="CP11" s="579"/>
      <c r="CQ11" s="579"/>
    </row>
    <row r="12" spans="1:95" ht="9" customHeight="1" thickBot="1" x14ac:dyDescent="0.2">
      <c r="B12" s="2430"/>
      <c r="C12" s="2381"/>
      <c r="D12" s="2381"/>
      <c r="E12" s="2383"/>
      <c r="F12" s="2351"/>
      <c r="G12" s="2385"/>
      <c r="H12" s="2387"/>
      <c r="I12" s="2325"/>
      <c r="J12" s="2326"/>
      <c r="K12" s="2304"/>
      <c r="L12" s="2306"/>
      <c r="M12" s="2325"/>
      <c r="N12" s="2326"/>
      <c r="O12" s="2304"/>
      <c r="P12" s="2304"/>
      <c r="Q12" s="2306"/>
      <c r="R12" s="2329"/>
      <c r="S12" s="2330"/>
      <c r="T12" s="2304"/>
      <c r="U12" s="2293"/>
      <c r="V12" s="2295"/>
      <c r="W12" s="2272"/>
      <c r="X12" s="2273"/>
      <c r="Y12" s="2281"/>
      <c r="Z12" s="2281"/>
      <c r="AA12" s="2275"/>
      <c r="AB12" s="2272"/>
      <c r="AC12" s="2273"/>
      <c r="AD12" s="2281"/>
      <c r="AE12" s="2279"/>
      <c r="AF12" s="2277"/>
      <c r="AG12" s="2272"/>
      <c r="AH12" s="2273"/>
      <c r="AI12" s="2281"/>
      <c r="AJ12" s="2275"/>
      <c r="AK12" s="2264"/>
      <c r="AL12" s="2265"/>
      <c r="AM12" s="2265"/>
      <c r="AN12" s="2266"/>
      <c r="AO12" s="2258"/>
      <c r="AP12" s="2259"/>
      <c r="AQ12" s="2259"/>
      <c r="AR12" s="2260"/>
      <c r="AS12" s="570"/>
      <c r="BK12" s="579"/>
      <c r="BL12" s="579"/>
      <c r="BM12" s="579"/>
      <c r="BN12" s="579"/>
      <c r="BO12" s="579"/>
      <c r="BP12" s="579"/>
      <c r="BQ12" s="579"/>
      <c r="BR12" s="579"/>
      <c r="BS12" s="579"/>
      <c r="BT12" s="579"/>
      <c r="BU12" s="579"/>
      <c r="BV12" s="579"/>
      <c r="BW12" s="579"/>
      <c r="BX12" s="579"/>
      <c r="BY12" s="579"/>
      <c r="BZ12" s="579"/>
      <c r="CA12" s="579"/>
      <c r="CB12" s="579"/>
      <c r="CC12" s="579"/>
      <c r="CD12" s="579"/>
      <c r="CE12" s="579"/>
      <c r="CF12" s="579"/>
      <c r="CG12" s="579"/>
      <c r="CH12" s="579"/>
      <c r="CI12" s="579"/>
      <c r="CJ12" s="579"/>
      <c r="CK12" s="579"/>
      <c r="CL12" s="579"/>
      <c r="CM12" s="579"/>
      <c r="CN12" s="579"/>
      <c r="CO12" s="579"/>
      <c r="CP12" s="579"/>
    </row>
    <row r="13" spans="1:95" ht="12" customHeight="1" x14ac:dyDescent="0.15">
      <c r="B13" s="2431" t="s">
        <v>373</v>
      </c>
      <c r="C13" s="2432"/>
      <c r="D13" s="2336" t="s">
        <v>376</v>
      </c>
      <c r="E13" s="2338">
        <v>30</v>
      </c>
      <c r="F13" s="2368" t="s">
        <v>431</v>
      </c>
      <c r="G13" s="2370"/>
      <c r="H13" s="2372" t="s">
        <v>375</v>
      </c>
      <c r="I13" s="2374" t="s">
        <v>153</v>
      </c>
      <c r="J13" s="2375"/>
      <c r="K13" s="2378" t="s">
        <v>97</v>
      </c>
      <c r="L13" s="2388"/>
      <c r="M13" s="2340"/>
      <c r="N13" s="2341"/>
      <c r="O13" s="2315"/>
      <c r="P13" s="2315"/>
      <c r="Q13" s="2317"/>
      <c r="R13" s="2340"/>
      <c r="S13" s="2341"/>
      <c r="T13" s="2315"/>
      <c r="U13" s="2299"/>
      <c r="V13" s="2301"/>
      <c r="W13" s="2311"/>
      <c r="X13" s="2312"/>
      <c r="Y13" s="2307"/>
      <c r="Z13" s="2307"/>
      <c r="AA13" s="2309"/>
      <c r="AB13" s="2311"/>
      <c r="AC13" s="2312"/>
      <c r="AD13" s="2307"/>
      <c r="AE13" s="2319"/>
      <c r="AF13" s="2321"/>
      <c r="AG13" s="2311"/>
      <c r="AH13" s="2312"/>
      <c r="AI13" s="2307"/>
      <c r="AJ13" s="2309"/>
      <c r="AK13" s="2205" t="s">
        <v>386</v>
      </c>
      <c r="AL13" s="2206"/>
      <c r="AM13" s="2206"/>
      <c r="AN13" s="2207"/>
      <c r="AO13" s="2208"/>
      <c r="AP13" s="2209"/>
      <c r="AQ13" s="2209"/>
      <c r="AR13" s="2210"/>
      <c r="AS13" s="570"/>
      <c r="BM13" s="579"/>
      <c r="BN13" s="579"/>
      <c r="BO13" s="579"/>
      <c r="BP13" s="579"/>
      <c r="BQ13" s="579"/>
      <c r="BR13" s="579"/>
      <c r="BS13" s="2150" t="s">
        <v>248</v>
      </c>
      <c r="BT13" s="2151"/>
      <c r="BU13" s="2151"/>
      <c r="BV13" s="2152"/>
      <c r="BW13" s="2151" t="s">
        <v>249</v>
      </c>
      <c r="BX13" s="2151"/>
      <c r="BY13" s="2151"/>
      <c r="BZ13" s="2152"/>
      <c r="CA13" s="2151" t="s">
        <v>250</v>
      </c>
      <c r="CB13" s="2151"/>
      <c r="CC13" s="2151"/>
      <c r="CD13" s="2152"/>
      <c r="CE13" s="2151" t="s">
        <v>457</v>
      </c>
      <c r="CF13" s="2151"/>
      <c r="CG13" s="2151"/>
      <c r="CH13" s="2152"/>
      <c r="CI13" s="2151" t="s">
        <v>449</v>
      </c>
      <c r="CJ13" s="2151"/>
      <c r="CK13" s="2151"/>
      <c r="CL13" s="2152"/>
      <c r="CM13" s="2151" t="s">
        <v>450</v>
      </c>
      <c r="CN13" s="2151"/>
      <c r="CO13" s="2151"/>
      <c r="CP13" s="2152"/>
    </row>
    <row r="14" spans="1:95" ht="12" customHeight="1" thickBot="1" x14ac:dyDescent="0.2">
      <c r="B14" s="2433"/>
      <c r="C14" s="2337"/>
      <c r="D14" s="2337"/>
      <c r="E14" s="2339"/>
      <c r="F14" s="2369"/>
      <c r="G14" s="2371"/>
      <c r="H14" s="2373"/>
      <c r="I14" s="2376"/>
      <c r="J14" s="2377"/>
      <c r="K14" s="2379"/>
      <c r="L14" s="2389"/>
      <c r="M14" s="2342"/>
      <c r="N14" s="2343"/>
      <c r="O14" s="2316"/>
      <c r="P14" s="2316"/>
      <c r="Q14" s="2318"/>
      <c r="R14" s="2342"/>
      <c r="S14" s="2343"/>
      <c r="T14" s="2316"/>
      <c r="U14" s="2300"/>
      <c r="V14" s="2302"/>
      <c r="W14" s="2313"/>
      <c r="X14" s="2314"/>
      <c r="Y14" s="2308"/>
      <c r="Z14" s="2308"/>
      <c r="AA14" s="2310"/>
      <c r="AB14" s="2313"/>
      <c r="AC14" s="2314"/>
      <c r="AD14" s="2308"/>
      <c r="AE14" s="2320"/>
      <c r="AF14" s="2322"/>
      <c r="AG14" s="2313"/>
      <c r="AH14" s="2314"/>
      <c r="AI14" s="2308"/>
      <c r="AJ14" s="2310"/>
      <c r="AK14" s="2246" t="s">
        <v>427</v>
      </c>
      <c r="AL14" s="2247"/>
      <c r="AM14" s="2247"/>
      <c r="AN14" s="2248"/>
      <c r="AO14" s="2249"/>
      <c r="AP14" s="2250"/>
      <c r="AQ14" s="2250"/>
      <c r="AR14" s="2251"/>
      <c r="AS14" s="570"/>
      <c r="AU14" s="208"/>
      <c r="AV14" s="208"/>
      <c r="AW14" s="208"/>
      <c r="AX14" s="208"/>
      <c r="AY14" s="208"/>
      <c r="AZ14" s="208"/>
      <c r="BJ14" s="598" t="s">
        <v>459</v>
      </c>
      <c r="BK14" s="598" t="s">
        <v>460</v>
      </c>
      <c r="BL14" s="598" t="s">
        <v>461</v>
      </c>
      <c r="BM14" s="598"/>
      <c r="BN14" s="580"/>
      <c r="BO14" s="580"/>
      <c r="BP14" s="580"/>
      <c r="BQ14" s="580"/>
      <c r="BR14" s="580"/>
      <c r="BS14" s="2153"/>
      <c r="BT14" s="2154"/>
      <c r="BU14" s="2154"/>
      <c r="BV14" s="2155"/>
      <c r="BW14" s="2154"/>
      <c r="BX14" s="2154"/>
      <c r="BY14" s="2154"/>
      <c r="BZ14" s="2155"/>
      <c r="CA14" s="2154"/>
      <c r="CB14" s="2154"/>
      <c r="CC14" s="2154"/>
      <c r="CD14" s="2155"/>
      <c r="CE14" s="2154"/>
      <c r="CF14" s="2154"/>
      <c r="CG14" s="2154"/>
      <c r="CH14" s="2155"/>
      <c r="CI14" s="2154"/>
      <c r="CJ14" s="2154"/>
      <c r="CK14" s="2154"/>
      <c r="CL14" s="2155"/>
      <c r="CM14" s="2154"/>
      <c r="CN14" s="2154"/>
      <c r="CO14" s="2154"/>
      <c r="CP14" s="2155"/>
    </row>
    <row r="15" spans="1:95" ht="13.5" customHeight="1" thickBot="1" x14ac:dyDescent="0.2">
      <c r="B15" s="2226" t="str">
        <f>IF(AND(D15&lt;&gt;"",AT15="○",BB15="○",BC15="○"),"○","×")</f>
        <v>×</v>
      </c>
      <c r="C15" s="2358">
        <v>1</v>
      </c>
      <c r="D15" s="2360"/>
      <c r="E15" s="2361"/>
      <c r="F15" s="2241"/>
      <c r="G15" s="2362"/>
      <c r="H15" s="2364"/>
      <c r="I15" s="2348"/>
      <c r="J15" s="2349"/>
      <c r="K15" s="2365"/>
      <c r="L15" s="2366"/>
      <c r="M15" s="2346"/>
      <c r="N15" s="2347"/>
      <c r="O15" s="2344"/>
      <c r="P15" s="2344"/>
      <c r="Q15" s="2345"/>
      <c r="R15" s="2346"/>
      <c r="S15" s="2347"/>
      <c r="T15" s="2344"/>
      <c r="U15" s="2344"/>
      <c r="V15" s="2345"/>
      <c r="W15" s="2404"/>
      <c r="X15" s="2405"/>
      <c r="Y15" s="2403"/>
      <c r="Z15" s="2403"/>
      <c r="AA15" s="2406"/>
      <c r="AB15" s="2404"/>
      <c r="AC15" s="2405"/>
      <c r="AD15" s="2403"/>
      <c r="AE15" s="2403"/>
      <c r="AF15" s="2406"/>
      <c r="AG15" s="2404"/>
      <c r="AH15" s="2405"/>
      <c r="AI15" s="2403"/>
      <c r="AJ15" s="2406"/>
      <c r="AK15" s="2267"/>
      <c r="AL15" s="2268"/>
      <c r="AM15" s="2268"/>
      <c r="AN15" s="2269"/>
      <c r="AO15" s="2252"/>
      <c r="AP15" s="2253"/>
      <c r="AQ15" s="2253"/>
      <c r="AR15" s="2254"/>
      <c r="AS15" s="571"/>
      <c r="AT15" s="572" t="str">
        <f>IF(OR(AND(D15&lt;&gt;"",OR(AND(E15&lt;&gt;"",F15&lt;&gt;"",OR(G15&lt;&gt;"",H15&lt;&gt;"")),AND(E15="",F15="バス・カメラマン等"))),AND(D15="",E15="",F15="",OR(G15="",H15=""))),"○","×")</f>
        <v>○</v>
      </c>
      <c r="AU15" s="2204" t="str">
        <f>IF(AND(E15&lt;&gt;"",E15&lt;=2),"2歳児以下","")</f>
        <v/>
      </c>
      <c r="AV15" s="2204" t="str">
        <f>IF(OR(AND(3&lt;=E15,E15&lt;=6),COUNTIF(E15, "幼*"),COUNTIF(E15, "年少"),COUNTIF(E15, "年中"),COUNTIF(E15, "年長")),"3歳-学齢前","")</f>
        <v/>
      </c>
      <c r="AW15" s="2204" t="str">
        <f>IF(OR(AND(6&lt;=E15,E15&lt;=12),COUNTIF(E15, "小*")),"小学生","")</f>
        <v/>
      </c>
      <c r="AX15" s="2204" t="str">
        <f>IF(OR(AND(12&lt;=E15,E15&lt;=15),COUNTIF(E15, "中*")),"中学生","")</f>
        <v/>
      </c>
      <c r="AY15" s="2204" t="str">
        <f>IF(OR(AND(15&lt;=E15,E15&lt;=18),COUNTIF(E15, "高*")),"高校生(～18歳)","")</f>
        <v/>
      </c>
      <c r="AZ15" s="2204" t="str">
        <f>IF(OR(19&lt;=E15,COUNTIF(E15, "大*"),COUNTIF(E15, "*院*"),COUNTIF(E15, "*専*")),"一般(19歳～)","")</f>
        <v/>
      </c>
      <c r="BA15" s="2204" t="s">
        <v>425</v>
      </c>
      <c r="BB15" s="572" t="str">
        <f>IF(OR(AND(D15="",I15="",M15="",R15="",W15="",AB15="",AG15=""),AND(D15&lt;&gt;"",OR(I15&lt;&gt;"",M15&lt;&gt;"",R15&lt;&gt;"",W15&lt;&gt;"",AB15&lt;&gt;"",AG15&lt;&gt;""))),"○","×")</f>
        <v>○</v>
      </c>
      <c r="BC15" s="572" t="str">
        <f>IF(AND(BD15="○",BE15="○",BF15="○",BG15="○",BH15="○",BI15="○"),"○","×")</f>
        <v>○</v>
      </c>
      <c r="BD15" s="573" t="str">
        <f>IF(AND($I$7=" ",OR(I15&lt;&gt;"",K15&lt;&gt;"",L15&lt;&gt;"")),"×","○")</f>
        <v>○</v>
      </c>
      <c r="BE15" s="573" t="str">
        <f>IF(AND($M$7=" ",OR(M15&lt;&gt;"",O15&lt;&gt;"",P15&lt;&gt;"",Q15&lt;&gt;"")),"×","○")</f>
        <v>○</v>
      </c>
      <c r="BF15" s="573" t="str">
        <f>IF(AND($R$7=" ",OR(R15&lt;&gt;"",T15&lt;&gt;"",U15&lt;&gt;"",V15&lt;&gt;"")),"×","○")</f>
        <v>○</v>
      </c>
      <c r="BG15" s="573" t="str">
        <f>IF(AND($W$7=" ",OR(W15&lt;&gt;"",Y15&lt;&gt;"",Z15&lt;&gt;"",AA15&lt;&gt;"")),"×","○")</f>
        <v>○</v>
      </c>
      <c r="BH15" s="573" t="str">
        <f>IF(AND($AB$7=" ",OR(AB15&lt;&gt;"",AD15&lt;&gt;"",AE15&lt;&gt;"",AF15&lt;&gt;"")),"×","○")</f>
        <v>○</v>
      </c>
      <c r="BI15" s="573" t="str">
        <f>IF(AND($AG$7=" ",OR(AG15&lt;&gt;"",AI15&lt;&gt;"",AJ15&lt;&gt;"")),"×","○")</f>
        <v>○</v>
      </c>
      <c r="BJ15" s="2472" t="e">
        <f>SUMPRODUCT(1/COUNTIF(I15:AH15,"宿泊"))</f>
        <v>#DIV/0!</v>
      </c>
      <c r="BK15" s="2473" t="e">
        <f>SUMPRODUCT(1/COUNTIF(I15:AH15,"日帰り"))</f>
        <v>#DIV/0!</v>
      </c>
      <c r="BL15" s="1584">
        <f>COUNT(BJ15)-COUNT(BK15)</f>
        <v>0</v>
      </c>
      <c r="BM15" s="599"/>
      <c r="BN15" s="2097" t="s">
        <v>451</v>
      </c>
      <c r="BO15" s="2097"/>
      <c r="BP15" s="2097"/>
      <c r="BQ15" s="2097"/>
      <c r="BR15" s="2097"/>
      <c r="BS15" s="2162" t="s">
        <v>282</v>
      </c>
      <c r="BT15" s="2163"/>
      <c r="BU15" s="2164">
        <f>COUNTIFS($I$15:$I$74,"日帰り")</f>
        <v>0</v>
      </c>
      <c r="BV15" s="2159"/>
      <c r="BW15" s="2165" t="s">
        <v>282</v>
      </c>
      <c r="BX15" s="2163"/>
      <c r="BY15" s="2164">
        <f>COUNTIFS($M$15:$M$74,"日帰り")</f>
        <v>0</v>
      </c>
      <c r="BZ15" s="2159"/>
      <c r="CA15" s="2165" t="s">
        <v>282</v>
      </c>
      <c r="CB15" s="2163"/>
      <c r="CC15" s="2164">
        <f>COUNTIFS($R$15:$R$74,"日帰り")</f>
        <v>0</v>
      </c>
      <c r="CD15" s="2159"/>
      <c r="CE15" s="2165" t="s">
        <v>282</v>
      </c>
      <c r="CF15" s="2163"/>
      <c r="CG15" s="2164">
        <f>COUNTIFS($W$15:$W$74,"日帰り")</f>
        <v>0</v>
      </c>
      <c r="CH15" s="2159"/>
      <c r="CI15" s="2165" t="s">
        <v>282</v>
      </c>
      <c r="CJ15" s="2163"/>
      <c r="CK15" s="2164">
        <f>COUNTIFS($AB$15:$AB$74,"日帰り")</f>
        <v>0</v>
      </c>
      <c r="CL15" s="2159"/>
      <c r="CM15" s="2165" t="s">
        <v>282</v>
      </c>
      <c r="CN15" s="2163"/>
      <c r="CO15" s="2164">
        <f>COUNTIFS($AG$15:$AG$74,"日帰り")</f>
        <v>0</v>
      </c>
      <c r="CP15" s="2159"/>
    </row>
    <row r="16" spans="1:95" ht="14.1" customHeight="1" x14ac:dyDescent="0.15">
      <c r="B16" s="2227"/>
      <c r="C16" s="2359"/>
      <c r="D16" s="2231"/>
      <c r="E16" s="2229"/>
      <c r="F16" s="2242"/>
      <c r="G16" s="2363"/>
      <c r="H16" s="2291"/>
      <c r="I16" s="2286"/>
      <c r="J16" s="2287"/>
      <c r="K16" s="2289"/>
      <c r="L16" s="2367"/>
      <c r="M16" s="2286"/>
      <c r="N16" s="2287"/>
      <c r="O16" s="2289"/>
      <c r="P16" s="2289"/>
      <c r="Q16" s="2291"/>
      <c r="R16" s="2286"/>
      <c r="S16" s="2287"/>
      <c r="T16" s="2289"/>
      <c r="U16" s="2289"/>
      <c r="V16" s="2291"/>
      <c r="W16" s="2401"/>
      <c r="X16" s="2402"/>
      <c r="Y16" s="2396"/>
      <c r="Z16" s="2396"/>
      <c r="AA16" s="2398"/>
      <c r="AB16" s="2401"/>
      <c r="AC16" s="2402"/>
      <c r="AD16" s="2396"/>
      <c r="AE16" s="2396"/>
      <c r="AF16" s="2398"/>
      <c r="AG16" s="2401"/>
      <c r="AH16" s="2402"/>
      <c r="AI16" s="2396"/>
      <c r="AJ16" s="2398"/>
      <c r="AK16" s="2235"/>
      <c r="AL16" s="2236"/>
      <c r="AM16" s="2236"/>
      <c r="AN16" s="2237"/>
      <c r="AO16" s="2235"/>
      <c r="AP16" s="2236"/>
      <c r="AQ16" s="2236"/>
      <c r="AR16" s="2237"/>
      <c r="AS16" s="571"/>
      <c r="AT16" s="572"/>
      <c r="AU16" s="2204"/>
      <c r="AV16" s="2204"/>
      <c r="AW16" s="2204"/>
      <c r="AX16" s="2204"/>
      <c r="AY16" s="2204"/>
      <c r="AZ16" s="2204"/>
      <c r="BA16" s="2204"/>
      <c r="BB16" s="574"/>
      <c r="BC16" s="574"/>
      <c r="BD16" s="572"/>
      <c r="BE16" s="572"/>
      <c r="BF16" s="572"/>
      <c r="BG16" s="572"/>
      <c r="BH16" s="572"/>
      <c r="BI16" s="572"/>
      <c r="BJ16" s="2472"/>
      <c r="BK16" s="2473"/>
      <c r="BL16" s="1584"/>
      <c r="BM16" s="599"/>
      <c r="BN16" s="2113" t="s">
        <v>288</v>
      </c>
      <c r="BO16" s="2114"/>
      <c r="BP16" s="621">
        <f>COUNTA(D15:D74)</f>
        <v>0</v>
      </c>
      <c r="BQ16" s="658" t="s">
        <v>77</v>
      </c>
      <c r="BR16" s="665" t="s">
        <v>78</v>
      </c>
      <c r="BS16" s="656" t="s">
        <v>452</v>
      </c>
      <c r="BT16" s="654">
        <f>SUM(BS17:BT23)</f>
        <v>0</v>
      </c>
      <c r="BU16" s="657" t="s">
        <v>453</v>
      </c>
      <c r="BV16" s="601">
        <f>SUM(BU17:BV23)</f>
        <v>0</v>
      </c>
      <c r="BW16" s="659" t="s">
        <v>452</v>
      </c>
      <c r="BX16" s="655">
        <f>SUM(BW17:BX23)</f>
        <v>0</v>
      </c>
      <c r="BY16" s="664" t="s">
        <v>453</v>
      </c>
      <c r="BZ16" s="601">
        <f>SUM(BY17:BZ23)</f>
        <v>0</v>
      </c>
      <c r="CA16" s="659" t="s">
        <v>452</v>
      </c>
      <c r="CB16" s="654">
        <f>SUM(CA17:CB23)</f>
        <v>0</v>
      </c>
      <c r="CC16" s="657" t="s">
        <v>453</v>
      </c>
      <c r="CD16" s="601">
        <f>SUM(CC17:CD23)</f>
        <v>0</v>
      </c>
      <c r="CE16" s="659" t="s">
        <v>452</v>
      </c>
      <c r="CF16" s="655">
        <f>SUM(CE17:CF23)</f>
        <v>0</v>
      </c>
      <c r="CG16" s="664" t="s">
        <v>453</v>
      </c>
      <c r="CH16" s="601">
        <f>SUM(CG17:CH23)</f>
        <v>0</v>
      </c>
      <c r="CI16" s="659" t="s">
        <v>452</v>
      </c>
      <c r="CJ16" s="654">
        <f>SUM(CI17:CJ23)</f>
        <v>0</v>
      </c>
      <c r="CK16" s="657" t="s">
        <v>453</v>
      </c>
      <c r="CL16" s="601">
        <f>SUM(CK17:CL23)</f>
        <v>0</v>
      </c>
      <c r="CM16" s="659" t="s">
        <v>452</v>
      </c>
      <c r="CN16" s="655">
        <f>SUM(CM17:CN23)</f>
        <v>0</v>
      </c>
      <c r="CO16" s="664" t="s">
        <v>453</v>
      </c>
      <c r="CP16" s="600">
        <f>SUM(CO17:CP23)</f>
        <v>0</v>
      </c>
    </row>
    <row r="17" spans="1:94" ht="14.1" customHeight="1" x14ac:dyDescent="0.15">
      <c r="B17" s="2421" t="str">
        <f>IF(AND(D17&lt;&gt;"",AT17="○",BB17="○",BC17="○",D15&lt;&gt;""),"○","×")</f>
        <v>×</v>
      </c>
      <c r="C17" s="2358">
        <v>2</v>
      </c>
      <c r="D17" s="2230"/>
      <c r="E17" s="2228"/>
      <c r="F17" s="2241"/>
      <c r="G17" s="2391"/>
      <c r="H17" s="2290"/>
      <c r="I17" s="2346"/>
      <c r="J17" s="2347"/>
      <c r="K17" s="2288"/>
      <c r="L17" s="2392"/>
      <c r="M17" s="2346"/>
      <c r="N17" s="2347"/>
      <c r="O17" s="2288"/>
      <c r="P17" s="2288"/>
      <c r="Q17" s="2290"/>
      <c r="R17" s="2346"/>
      <c r="S17" s="2347"/>
      <c r="T17" s="2288"/>
      <c r="U17" s="2288"/>
      <c r="V17" s="2290"/>
      <c r="W17" s="2399"/>
      <c r="X17" s="2400"/>
      <c r="Y17" s="2395"/>
      <c r="Z17" s="2395"/>
      <c r="AA17" s="2397"/>
      <c r="AB17" s="2399"/>
      <c r="AC17" s="2400"/>
      <c r="AD17" s="2395"/>
      <c r="AE17" s="2395"/>
      <c r="AF17" s="2397"/>
      <c r="AG17" s="2399"/>
      <c r="AH17" s="2400"/>
      <c r="AI17" s="2395"/>
      <c r="AJ17" s="2397"/>
      <c r="AK17" s="2267"/>
      <c r="AL17" s="2268"/>
      <c r="AM17" s="2268"/>
      <c r="AN17" s="2269"/>
      <c r="AO17" s="2232"/>
      <c r="AP17" s="2233"/>
      <c r="AQ17" s="2233"/>
      <c r="AR17" s="2234"/>
      <c r="AS17" s="571"/>
      <c r="AT17" s="572" t="str">
        <f>IF(OR(AND(D17&lt;&gt;"",OR(AND(E17&lt;&gt;"",F17&lt;&gt;"",OR(G17&lt;&gt;"",H17&lt;&gt;"")),AND(E17="",F17="バス・カメラマン等"))),AND(D17="",E17="",F17="",OR(G17="",H17=""))),"○","×")</f>
        <v>○</v>
      </c>
      <c r="AU17" s="2204" t="str">
        <f>IF(AND(E17&lt;&gt;"",E17&lt;=2),"2歳児以下","")</f>
        <v/>
      </c>
      <c r="AV17" s="2204" t="str">
        <f>IF(OR(AND(3&lt;=E17,E17&lt;=6),COUNTIF(E17, "幼*"),COUNTIF(E17, "年少"),COUNTIF(E17, "年中"),COUNTIF(E17, "年長")),"3歳-学齢前","")</f>
        <v/>
      </c>
      <c r="AW17" s="2204" t="str">
        <f>IF(OR(AND(6&lt;=E17,E17&lt;=12),COUNTIF(E17, "小*")),"小学生","")</f>
        <v/>
      </c>
      <c r="AX17" s="2204" t="str">
        <f>IF(OR(AND(12&lt;=E17,E17&lt;=15),COUNTIF(E17, "中*")),"中学生","")</f>
        <v/>
      </c>
      <c r="AY17" s="2204" t="str">
        <f>IF(OR(AND(15&lt;=E17,E17&lt;=18),COUNTIF(E17, "高*")),"高校生(～18歳)","")</f>
        <v/>
      </c>
      <c r="AZ17" s="2204" t="str">
        <f>IF(OR(19&lt;=E17,COUNTIF(E17, "大*"),COUNTIF(E17, "*院*"),COUNTIF(E17, "*専*")),"一般(19歳～)","")</f>
        <v/>
      </c>
      <c r="BA17" s="2204" t="s">
        <v>425</v>
      </c>
      <c r="BB17" s="572" t="str">
        <f>IF(OR(AND(D17="",I17="",M17="",R17="",W17="",AB17="",AG17=""),AND(D17&lt;&gt;"",OR(I17&lt;&gt;"",M17&lt;&gt;"",R17&lt;&gt;"",W17&lt;&gt;"",AB17&lt;&gt;"",AG17&lt;&gt;""))),"○","×")</f>
        <v>○</v>
      </c>
      <c r="BC17" s="572" t="str">
        <f>IF(AND(BD17="○",BE17="○",BF17="○",BG17="○",BH17="○",BI17="○"),"○","×")</f>
        <v>○</v>
      </c>
      <c r="BD17" s="573" t="str">
        <f>IF(AND($I$7=" ",OR(I17&lt;&gt;"",K17&lt;&gt;"",L17&lt;&gt;"")),"×","○")</f>
        <v>○</v>
      </c>
      <c r="BE17" s="573" t="str">
        <f>IF(AND($M$7=" ",OR(M17&lt;&gt;"",O17&lt;&gt;"",P17&lt;&gt;"",Q17&lt;&gt;"")),"×","○")</f>
        <v>○</v>
      </c>
      <c r="BF17" s="573" t="str">
        <f>IF(AND($R$7=" ",OR(R17&lt;&gt;"",T17&lt;&gt;"",U17&lt;&gt;"",V17&lt;&gt;"")),"×","○")</f>
        <v>○</v>
      </c>
      <c r="BG17" s="573" t="str">
        <f>IF(AND($W$7=" ",OR(W17&lt;&gt;"",Y17&lt;&gt;"",Z17&lt;&gt;"",AA17&lt;&gt;"")),"×","○")</f>
        <v>○</v>
      </c>
      <c r="BH17" s="573" t="str">
        <f>IF(AND($AB$7=" ",OR(AB17&lt;&gt;"",AD17&lt;&gt;"",AE17&lt;&gt;"",AF17&lt;&gt;"")),"×","○")</f>
        <v>○</v>
      </c>
      <c r="BI17" s="573" t="str">
        <f>IF(AND($AG$7=" ",OR(AG17&lt;&gt;"",AI17&lt;&gt;"",AJ17&lt;&gt;"")),"×","○")</f>
        <v>○</v>
      </c>
      <c r="BJ17" s="2472" t="e">
        <f>SUMPRODUCT(1/COUNTIF(I17:AH17,"宿泊"))</f>
        <v>#DIV/0!</v>
      </c>
      <c r="BK17" s="2473" t="e">
        <f>SUMPRODUCT(1/COUNTIF(I17:AH17,"日帰り"))</f>
        <v>#DIV/0!</v>
      </c>
      <c r="BL17" s="1584">
        <f>COUNT(BJ17)-COUNT(BK17)</f>
        <v>0</v>
      </c>
      <c r="BM17" s="599"/>
      <c r="BN17" s="2115" t="s">
        <v>283</v>
      </c>
      <c r="BO17" s="2116"/>
      <c r="BP17" s="588">
        <f t="shared" ref="BP17:BP23" si="2">BQ17+BR17</f>
        <v>0</v>
      </c>
      <c r="BQ17" s="589">
        <f>COUNTIFS($G$15:$G$74,"○",$F$15:$F$74,"2歳児以下")</f>
        <v>0</v>
      </c>
      <c r="BR17" s="622">
        <f>COUNTIFS($H$15:$H$74,"○",$F$15:$F$74,"2歳児以下")</f>
        <v>0</v>
      </c>
      <c r="BS17" s="2117">
        <f>COUNTIFS($G$15:$G$74,"○",$F$15:$F$74,"2歳児以下",$I$15:$I$74,"日帰り")</f>
        <v>0</v>
      </c>
      <c r="BT17" s="2118"/>
      <c r="BU17" s="2142">
        <f>COUNTIFS($H$15:$H$74,"○",$F$15:$F$74,"2歳児以下",$I$15:$I$74,"日帰り")</f>
        <v>0</v>
      </c>
      <c r="BV17" s="2143"/>
      <c r="BW17" s="2144">
        <f>COUNTIFS($G$15:$G$74,"○",$F$15:$F$74,"2歳児以下",$M$15:$M$74,"日帰り")</f>
        <v>0</v>
      </c>
      <c r="BX17" s="2161"/>
      <c r="BY17" s="2144">
        <f>COUNTIFS($H$15:$H$74,"○",$F$15:$F$74,"2歳児以下",$M$15:$M$74,"日帰り")</f>
        <v>0</v>
      </c>
      <c r="BZ17" s="2143"/>
      <c r="CA17" s="2144">
        <f>COUNTIFS($G$15:$G$74,"○",$F$15:$F$74,"2歳児以下",$R$15:$R$74,"日帰り")</f>
        <v>0</v>
      </c>
      <c r="CB17" s="2118"/>
      <c r="CC17" s="2142">
        <f>COUNTIFS($H$15:$H$74,"○",$F$15:$F$74,"2歳児以下",$R$15:$R$74,"日帰り")</f>
        <v>0</v>
      </c>
      <c r="CD17" s="2143"/>
      <c r="CE17" s="2144">
        <f>COUNTIFS($G$15:$G$74,"○",$F$15:$F$74,"2歳児以下",$W$15:$W$74,"日帰り")</f>
        <v>0</v>
      </c>
      <c r="CF17" s="2118"/>
      <c r="CG17" s="2142">
        <f>COUNTIFS($H$15:$H$74,"○",$F$15:$F$74,"2歳児以下",$W$15:$W$74,"日帰り")</f>
        <v>0</v>
      </c>
      <c r="CH17" s="2143"/>
      <c r="CI17" s="2144">
        <f>COUNTIFS($G$15:$G$74,"○",$F$15:$F$74,"2歳児以下",$AB$15:$AB$74,"日帰り")</f>
        <v>0</v>
      </c>
      <c r="CJ17" s="2118"/>
      <c r="CK17" s="2142">
        <f>COUNTIFS($H$15:$H$74,"○",$F$15:$F$74,"2歳児以下",$AB$15:$AB$74,"日帰り")</f>
        <v>0</v>
      </c>
      <c r="CL17" s="2143"/>
      <c r="CM17" s="2144">
        <f>COUNTIFS($G$15:$G$74,"○",$F$15:$F$74,"2歳児以下",$AG$15:$AG$74,"日帰り")</f>
        <v>0</v>
      </c>
      <c r="CN17" s="2161"/>
      <c r="CO17" s="2144">
        <f>COUNTIFS($H$15:$H$74,"○",$F$15:$F$74,"2歳児以下",$AG$15:$AG$74,"日帰り")</f>
        <v>0</v>
      </c>
      <c r="CP17" s="2143"/>
    </row>
    <row r="18" spans="1:94" ht="13.5" customHeight="1" x14ac:dyDescent="0.15">
      <c r="B18" s="2421"/>
      <c r="C18" s="2359"/>
      <c r="D18" s="2231"/>
      <c r="E18" s="2229"/>
      <c r="F18" s="2242"/>
      <c r="G18" s="2363"/>
      <c r="H18" s="2291"/>
      <c r="I18" s="2286"/>
      <c r="J18" s="2287"/>
      <c r="K18" s="2289"/>
      <c r="L18" s="2367"/>
      <c r="M18" s="2286"/>
      <c r="N18" s="2287"/>
      <c r="O18" s="2289"/>
      <c r="P18" s="2289"/>
      <c r="Q18" s="2291"/>
      <c r="R18" s="2286"/>
      <c r="S18" s="2287"/>
      <c r="T18" s="2289"/>
      <c r="U18" s="2289"/>
      <c r="V18" s="2291"/>
      <c r="W18" s="2401"/>
      <c r="X18" s="2402"/>
      <c r="Y18" s="2396"/>
      <c r="Z18" s="2396"/>
      <c r="AA18" s="2398"/>
      <c r="AB18" s="2401"/>
      <c r="AC18" s="2402"/>
      <c r="AD18" s="2396"/>
      <c r="AE18" s="2396"/>
      <c r="AF18" s="2398"/>
      <c r="AG18" s="2401"/>
      <c r="AH18" s="2402"/>
      <c r="AI18" s="2396"/>
      <c r="AJ18" s="2398"/>
      <c r="AK18" s="2235"/>
      <c r="AL18" s="2236"/>
      <c r="AM18" s="2236"/>
      <c r="AN18" s="2237"/>
      <c r="AO18" s="2235"/>
      <c r="AP18" s="2236"/>
      <c r="AQ18" s="2236"/>
      <c r="AR18" s="2237"/>
      <c r="AS18" s="571"/>
      <c r="AT18" s="572"/>
      <c r="AU18" s="2204"/>
      <c r="AV18" s="2204"/>
      <c r="AW18" s="2204"/>
      <c r="AX18" s="2204"/>
      <c r="AY18" s="2204"/>
      <c r="AZ18" s="2204"/>
      <c r="BA18" s="2204"/>
      <c r="BB18" s="574"/>
      <c r="BC18" s="574"/>
      <c r="BD18" s="572"/>
      <c r="BE18" s="572"/>
      <c r="BF18" s="572"/>
      <c r="BG18" s="572"/>
      <c r="BH18" s="572"/>
      <c r="BI18" s="572"/>
      <c r="BJ18" s="2472"/>
      <c r="BK18" s="2473"/>
      <c r="BL18" s="1584"/>
      <c r="BM18" s="599"/>
      <c r="BN18" s="2106" t="s">
        <v>284</v>
      </c>
      <c r="BO18" s="2107"/>
      <c r="BP18" s="590">
        <f t="shared" si="2"/>
        <v>0</v>
      </c>
      <c r="BQ18" s="589">
        <f>COUNTIFS($G$15:$G$74,"○",$F$15:$F$74,"3歳-学齢前")</f>
        <v>0</v>
      </c>
      <c r="BR18" s="623">
        <f>COUNTIFS($H$15:$H$74,"○",$F$15:$F$74,"3歳-学齢前")</f>
        <v>0</v>
      </c>
      <c r="BS18" s="2108">
        <f>COUNTIFS($G$15:$G$74,"○",$F$15:$F$74,"3歳-学齢前",$I$15:$I$74,"日帰り")</f>
        <v>0</v>
      </c>
      <c r="BT18" s="2109"/>
      <c r="BU18" s="2110">
        <f>COUNTIFS($H$15:$H$74,"○",$F$15:$F$74,"3歳-学齢前",$I$15:$I$74,"日帰り")</f>
        <v>0</v>
      </c>
      <c r="BV18" s="2111"/>
      <c r="BW18" s="2112">
        <f>COUNTIFS($G$15:$G$74,"○",$F$15:$F$74,"3歳-学齢前",$M$15:$M$74,"日帰り")</f>
        <v>0</v>
      </c>
      <c r="BX18" s="2109"/>
      <c r="BY18" s="2110">
        <f>COUNTIFS($H$15:$H$74,"○",$F$15:$F$74,"3歳-学齢前",$M$15:$M$74,"日帰り")</f>
        <v>0</v>
      </c>
      <c r="BZ18" s="2111"/>
      <c r="CA18" s="2112">
        <f>COUNTIFS($G$15:$G$74,"○",$F$15:$F$74,"3歳-学齢前",$R$15:$R$74,"日帰り")</f>
        <v>0</v>
      </c>
      <c r="CB18" s="2109"/>
      <c r="CC18" s="2110">
        <f>COUNTIFS($H$15:$H$74,"○",$F$15:$F$74,"3歳-学齢前",$R$15:$R$74,"日帰り")</f>
        <v>0</v>
      </c>
      <c r="CD18" s="2111"/>
      <c r="CE18" s="2112">
        <f>COUNTIFS($G$15:$G$74,"○",$F$15:$F$74,"3歳-学齢前",$W$15:$W$74,"日帰り")</f>
        <v>0</v>
      </c>
      <c r="CF18" s="2109"/>
      <c r="CG18" s="2110">
        <f>COUNTIFS($H$15:$H$74,"○",$F$15:$F$74,"3歳-学齢前",$W$15:$W$74,"日帰り")</f>
        <v>0</v>
      </c>
      <c r="CH18" s="2111"/>
      <c r="CI18" s="2112">
        <f>COUNTIFS($G$15:$G$74,"○",$F$15:$F$74,"3歳-学齢前",$AB$15:$AB$74,"日帰り")</f>
        <v>0</v>
      </c>
      <c r="CJ18" s="2109"/>
      <c r="CK18" s="2110">
        <f>COUNTIFS($H$15:$H$74,"○",$F$15:$F$74,"3歳-学齢前",$AB$15:$AB$74,"日帰り")</f>
        <v>0</v>
      </c>
      <c r="CL18" s="2111"/>
      <c r="CM18" s="2112">
        <f>COUNTIFS($G$15:$G$74,"○",$F$15:$F$74,"3歳-学齢前",$AG$15:$AG$74,"日帰り")</f>
        <v>0</v>
      </c>
      <c r="CN18" s="2109"/>
      <c r="CO18" s="2110">
        <f>COUNTIFS($H$15:$H$74,"○",$F$15:$F$74,"3歳-学齢前",$AG$15:$AG$74,"日帰り")</f>
        <v>0</v>
      </c>
      <c r="CP18" s="2111"/>
    </row>
    <row r="19" spans="1:94" ht="14.1" customHeight="1" x14ac:dyDescent="0.15">
      <c r="A19" s="572" t="str">
        <f>IF(AND(D19="",D21&lt;&gt;""),"×","○")</f>
        <v>○</v>
      </c>
      <c r="B19" s="2421" t="str">
        <f>IF(AND(AT19="○",BB19="○",BC19="○",A19="○"),"○","×")</f>
        <v>○</v>
      </c>
      <c r="C19" s="2390">
        <v>3</v>
      </c>
      <c r="D19" s="2230"/>
      <c r="E19" s="2228"/>
      <c r="F19" s="2241"/>
      <c r="G19" s="2391"/>
      <c r="H19" s="2290"/>
      <c r="I19" s="2284"/>
      <c r="J19" s="2285"/>
      <c r="K19" s="2288"/>
      <c r="L19" s="2392"/>
      <c r="M19" s="2346"/>
      <c r="N19" s="2347"/>
      <c r="O19" s="2288"/>
      <c r="P19" s="2288"/>
      <c r="Q19" s="2290"/>
      <c r="R19" s="2346"/>
      <c r="S19" s="2347"/>
      <c r="T19" s="2288"/>
      <c r="U19" s="2288"/>
      <c r="V19" s="2290"/>
      <c r="W19" s="2399"/>
      <c r="X19" s="2400"/>
      <c r="Y19" s="2395"/>
      <c r="Z19" s="2395"/>
      <c r="AA19" s="2397"/>
      <c r="AB19" s="2399"/>
      <c r="AC19" s="2400"/>
      <c r="AD19" s="2395"/>
      <c r="AE19" s="2395"/>
      <c r="AF19" s="2397"/>
      <c r="AG19" s="2399"/>
      <c r="AH19" s="2400"/>
      <c r="AI19" s="2395"/>
      <c r="AJ19" s="2397"/>
      <c r="AK19" s="2267"/>
      <c r="AL19" s="2268"/>
      <c r="AM19" s="2268"/>
      <c r="AN19" s="2269"/>
      <c r="AO19" s="2232"/>
      <c r="AP19" s="2233"/>
      <c r="AQ19" s="2233"/>
      <c r="AR19" s="2234"/>
      <c r="AS19" s="571"/>
      <c r="AT19" s="572" t="str">
        <f>IF(OR(AND(D19&lt;&gt;"",OR(AND(E19&lt;&gt;"",F19&lt;&gt;"",OR(G19&lt;&gt;"",H19&lt;&gt;"")),AND(E19="",F19="バス・カメラマン等"))),AND(D19="",E19="",F19="",OR(G19="",H19=""))),"○","×")</f>
        <v>○</v>
      </c>
      <c r="AU19" s="2204" t="str">
        <f>IF(AND(E19&lt;&gt;"",E19&lt;=2),"2歳児以下","")</f>
        <v/>
      </c>
      <c r="AV19" s="2204" t="str">
        <f>IF(OR(AND(3&lt;=E19,E19&lt;=6),COUNTIF(E19, "幼*"),COUNTIF(E19, "年少"),COUNTIF(E19, "年中"),COUNTIF(E19, "年長")),"3歳-学齢前","")</f>
        <v/>
      </c>
      <c r="AW19" s="2204" t="str">
        <f>IF(OR(AND(6&lt;=E19,E19&lt;=12),COUNTIF(E19, "小*")),"小学生","")</f>
        <v/>
      </c>
      <c r="AX19" s="2204" t="str">
        <f>IF(OR(AND(12&lt;=E19,E19&lt;=15),COUNTIF(E19, "中*")),"中学生","")</f>
        <v/>
      </c>
      <c r="AY19" s="2204" t="str">
        <f>IF(OR(AND(15&lt;=E19,E19&lt;=18),COUNTIF(E19, "高*")),"高校生(～18歳)","")</f>
        <v/>
      </c>
      <c r="AZ19" s="2204" t="str">
        <f>IF(OR(19&lt;=E19,COUNTIF(E19, "大*"),COUNTIF(E19, "*院*"),COUNTIF(E19, "*専*")),"一般(19歳～)","")</f>
        <v/>
      </c>
      <c r="BA19" s="2204" t="s">
        <v>425</v>
      </c>
      <c r="BB19" s="572" t="str">
        <f>IF(OR(AND(D19="",I19="",M19="",R19="",W19="",AB19="",AG19=""),AND(D19&lt;&gt;"",OR(I19&lt;&gt;"",M19&lt;&gt;"",R19&lt;&gt;"",W19&lt;&gt;"",AB19&lt;&gt;"",AG19&lt;&gt;""))),"○","×")</f>
        <v>○</v>
      </c>
      <c r="BC19" s="572" t="str">
        <f>IF(AND(BD19="○",BE19="○",BF19="○",BG19="○",BH19="○",BI19="○"),"○","×")</f>
        <v>○</v>
      </c>
      <c r="BD19" s="573" t="str">
        <f>IF(AND($I$7=" ",OR(I19&lt;&gt;"",K19&lt;&gt;"",L19&lt;&gt;"")),"×","○")</f>
        <v>○</v>
      </c>
      <c r="BE19" s="573" t="str">
        <f>IF(AND($M$7=" ",OR(M19&lt;&gt;"",O19&lt;&gt;"",P19&lt;&gt;"",Q19&lt;&gt;"")),"×","○")</f>
        <v>○</v>
      </c>
      <c r="BF19" s="573" t="str">
        <f>IF(AND($R$7=" ",OR(R19&lt;&gt;"",T19&lt;&gt;"",U19&lt;&gt;"",V19&lt;&gt;"")),"×","○")</f>
        <v>○</v>
      </c>
      <c r="BG19" s="573" t="str">
        <f>IF(AND($W$7=" ",OR(W19&lt;&gt;"",Y19&lt;&gt;"",Z19&lt;&gt;"",AA19&lt;&gt;"")),"×","○")</f>
        <v>○</v>
      </c>
      <c r="BH19" s="573" t="str">
        <f>IF(AND($AB$7=" ",OR(AB19&lt;&gt;"",AD19&lt;&gt;"",AE19&lt;&gt;"",AF19&lt;&gt;"")),"×","○")</f>
        <v>○</v>
      </c>
      <c r="BI19" s="573" t="str">
        <f>IF(AND($AG$7=" ",OR(AG19&lt;&gt;"",AI19&lt;&gt;"",AJ19&lt;&gt;"")),"×","○")</f>
        <v>○</v>
      </c>
      <c r="BJ19" s="2472" t="e">
        <f>SUMPRODUCT(1/COUNTIF(I19:AH19,"宿泊"))</f>
        <v>#DIV/0!</v>
      </c>
      <c r="BK19" s="2473" t="e">
        <f>SUMPRODUCT(1/COUNTIF(I19:AH19,"日帰り"))</f>
        <v>#DIV/0!</v>
      </c>
      <c r="BL19" s="1584">
        <f>COUNT(BJ19)-COUNT(BK19)</f>
        <v>0</v>
      </c>
      <c r="BM19" s="599"/>
      <c r="BN19" s="2106" t="s">
        <v>83</v>
      </c>
      <c r="BO19" s="2107"/>
      <c r="BP19" s="590">
        <f t="shared" si="2"/>
        <v>0</v>
      </c>
      <c r="BQ19" s="589">
        <f>COUNTIFS($G$15:$G$74,"○",$F$15:$F$74,"小学生")</f>
        <v>0</v>
      </c>
      <c r="BR19" s="623">
        <f>COUNTIFS($H$15:$H$74,"○",$F$15:$F$74,"小学生")</f>
        <v>0</v>
      </c>
      <c r="BS19" s="2108">
        <f>COUNTIFS($G$15:$G$74,"○",$F$15:$F$74,"小学生",$I$15:$I$74,"日帰り")</f>
        <v>0</v>
      </c>
      <c r="BT19" s="2109"/>
      <c r="BU19" s="2110">
        <f>COUNTIFS($H$15:$H$74,"○",$F$15:$F$74,"小学生",$I$15:$I$74,"日帰り")</f>
        <v>0</v>
      </c>
      <c r="BV19" s="2111"/>
      <c r="BW19" s="2112">
        <f>COUNTIFS($G$15:$G$74,"○",$F$15:$F$74,"小学生",$M$15:$M$74,"日帰り")</f>
        <v>0</v>
      </c>
      <c r="BX19" s="2109"/>
      <c r="BY19" s="2110">
        <f>COUNTIFS($H$15:$H$74,"○",$F$15:$F$74,"小学生",$M$15:$M$74,"日帰り")</f>
        <v>0</v>
      </c>
      <c r="BZ19" s="2111"/>
      <c r="CA19" s="2112">
        <f>COUNTIFS($G$15:$G$74,"○",$F$15:$F$74,"小学生",$R$15:$R$74,"日帰り")</f>
        <v>0</v>
      </c>
      <c r="CB19" s="2109"/>
      <c r="CC19" s="2110">
        <f>COUNTIFS($H$15:$H$74,"○",$F$15:$F$74,"小学生",$R$15:$R$74,"日帰り")</f>
        <v>0</v>
      </c>
      <c r="CD19" s="2111"/>
      <c r="CE19" s="2112">
        <f>COUNTIFS($G$15:$G$74,"○",$F$15:$F$74,"小学生",$W$15:$W$74,"日帰り")</f>
        <v>0</v>
      </c>
      <c r="CF19" s="2109"/>
      <c r="CG19" s="2110">
        <f>COUNTIFS($H$15:$H$74,"○",$F$15:$F$74,"小学生",$W$15:$W$74,"日帰り")</f>
        <v>0</v>
      </c>
      <c r="CH19" s="2111"/>
      <c r="CI19" s="2112">
        <f>COUNTIFS($G$15:$G$74,"○",$F$15:$F$74,"小学生",$AB$15:$AB$74,"日帰り")</f>
        <v>0</v>
      </c>
      <c r="CJ19" s="2109"/>
      <c r="CK19" s="2110">
        <f>COUNTIFS($H$15:$H$74,"○",$F$15:$F$74,"小学生",$AB$15:$AB$74,"日帰り")</f>
        <v>0</v>
      </c>
      <c r="CL19" s="2111"/>
      <c r="CM19" s="2112">
        <f>COUNTIFS($G$15:$G$74,"○",$F$15:$F$74,"小学生",$AG$15:$AG$74,"日帰り")</f>
        <v>0</v>
      </c>
      <c r="CN19" s="2109"/>
      <c r="CO19" s="2110">
        <f>COUNTIFS($H$15:$H$74,"○",$F$15:$F$74,"小学生",$AG$15:$AG$74,"日帰り")</f>
        <v>0</v>
      </c>
      <c r="CP19" s="2111"/>
    </row>
    <row r="20" spans="1:94" ht="14.1" customHeight="1" x14ac:dyDescent="0.15">
      <c r="A20" s="572"/>
      <c r="B20" s="2421"/>
      <c r="C20" s="2359"/>
      <c r="D20" s="2231"/>
      <c r="E20" s="2229"/>
      <c r="F20" s="2242"/>
      <c r="G20" s="2363"/>
      <c r="H20" s="2291"/>
      <c r="I20" s="2286"/>
      <c r="J20" s="2287"/>
      <c r="K20" s="2289"/>
      <c r="L20" s="2367"/>
      <c r="M20" s="2286"/>
      <c r="N20" s="2287"/>
      <c r="O20" s="2289"/>
      <c r="P20" s="2289"/>
      <c r="Q20" s="2291"/>
      <c r="R20" s="2286"/>
      <c r="S20" s="2287"/>
      <c r="T20" s="2289"/>
      <c r="U20" s="2289"/>
      <c r="V20" s="2291"/>
      <c r="W20" s="2401"/>
      <c r="X20" s="2402"/>
      <c r="Y20" s="2396"/>
      <c r="Z20" s="2396"/>
      <c r="AA20" s="2398"/>
      <c r="AB20" s="2401"/>
      <c r="AC20" s="2402"/>
      <c r="AD20" s="2396"/>
      <c r="AE20" s="2396"/>
      <c r="AF20" s="2398"/>
      <c r="AG20" s="2401"/>
      <c r="AH20" s="2402"/>
      <c r="AI20" s="2396"/>
      <c r="AJ20" s="2398"/>
      <c r="AK20" s="2235"/>
      <c r="AL20" s="2236"/>
      <c r="AM20" s="2236"/>
      <c r="AN20" s="2237"/>
      <c r="AO20" s="2235"/>
      <c r="AP20" s="2236"/>
      <c r="AQ20" s="2236"/>
      <c r="AR20" s="2237"/>
      <c r="AS20" s="571"/>
      <c r="AT20" s="572"/>
      <c r="AU20" s="2204"/>
      <c r="AV20" s="2204"/>
      <c r="AW20" s="2204"/>
      <c r="AX20" s="2204"/>
      <c r="AY20" s="2204"/>
      <c r="AZ20" s="2204"/>
      <c r="BA20" s="2204"/>
      <c r="BB20" s="574"/>
      <c r="BC20" s="574"/>
      <c r="BD20" s="572"/>
      <c r="BE20" s="572"/>
      <c r="BF20" s="572"/>
      <c r="BG20" s="572"/>
      <c r="BH20" s="572"/>
      <c r="BI20" s="572"/>
      <c r="BJ20" s="2472"/>
      <c r="BK20" s="2473"/>
      <c r="BL20" s="1584"/>
      <c r="BM20" s="599"/>
      <c r="BN20" s="2106" t="s">
        <v>84</v>
      </c>
      <c r="BO20" s="2107"/>
      <c r="BP20" s="590">
        <f t="shared" si="2"/>
        <v>0</v>
      </c>
      <c r="BQ20" s="589">
        <f>COUNTIFS($G$15:$G$74,"○",$F$15:$F$74,"中学生")</f>
        <v>0</v>
      </c>
      <c r="BR20" s="623">
        <f>COUNTIFS($H$15:$H$74,"○",$F$15:$F$74,"中学生")</f>
        <v>0</v>
      </c>
      <c r="BS20" s="2108">
        <f>COUNTIFS($G$15:$G$74,"○",$F$15:$F$74,"中学生",$I$15:$I$74,"日帰り")</f>
        <v>0</v>
      </c>
      <c r="BT20" s="2109"/>
      <c r="BU20" s="2110">
        <f>COUNTIFS($H$15:$H$74,"○",$F$15:$F$74,"中学生",$I$15:$I$74,"日帰り")</f>
        <v>0</v>
      </c>
      <c r="BV20" s="2111"/>
      <c r="BW20" s="2112">
        <f>COUNTIFS($G$15:$G$74,"○",$F$15:$F$74,"中学生",$M$15:$M$74,"日帰り")</f>
        <v>0</v>
      </c>
      <c r="BX20" s="2109"/>
      <c r="BY20" s="2110">
        <f>COUNTIFS($H$15:$H$74,"○",$F$15:$F$74,"中学生",$M$15:$M$74,"日帰り")</f>
        <v>0</v>
      </c>
      <c r="BZ20" s="2111"/>
      <c r="CA20" s="2112">
        <f>COUNTIFS($G$15:$G$74,"○",$F$15:$F$74,"中学生",$R$15:$R$74,"日帰り")</f>
        <v>0</v>
      </c>
      <c r="CB20" s="2109"/>
      <c r="CC20" s="2110">
        <f>COUNTIFS($H$15:$H$74,"○",$F$15:$F$74,"中学生",$R$15:$R$74,"日帰り")</f>
        <v>0</v>
      </c>
      <c r="CD20" s="2111"/>
      <c r="CE20" s="2112">
        <f>COUNTIFS($G$15:$G$74,"○",$F$15:$F$74,"中学生",$W$15:$W$74,"日帰り")</f>
        <v>0</v>
      </c>
      <c r="CF20" s="2109"/>
      <c r="CG20" s="2110">
        <f>COUNTIFS($H$15:$H$74,"○",$F$15:$F$74,"中学生",$W$15:$W$74,"日帰り")</f>
        <v>0</v>
      </c>
      <c r="CH20" s="2111"/>
      <c r="CI20" s="2112">
        <f>COUNTIFS($G$15:$G$74,"○",$F$15:$F$74,"中学生",$AB$15:$AB$74,"日帰り")</f>
        <v>0</v>
      </c>
      <c r="CJ20" s="2109"/>
      <c r="CK20" s="2110">
        <f>COUNTIFS($H$15:$H$74,"○",$F$15:$F$74,"中学生",$AB$15:$AB$74,"日帰り")</f>
        <v>0</v>
      </c>
      <c r="CL20" s="2111"/>
      <c r="CM20" s="2112">
        <f>COUNTIFS($G$15:$G$74,"○",$F$15:$F$74,"中学生",$AG$15:$AG$74,"日帰り")</f>
        <v>0</v>
      </c>
      <c r="CN20" s="2109"/>
      <c r="CO20" s="2110">
        <f>COUNTIFS($H$15:$H$74,"○",$F$15:$F$74,"中学生",$AG$15:$AG$74,"日帰り")</f>
        <v>0</v>
      </c>
      <c r="CP20" s="2111"/>
    </row>
    <row r="21" spans="1:94" ht="14.1" customHeight="1" x14ac:dyDescent="0.15">
      <c r="A21" s="572" t="str">
        <f>IF(AND(D21="",D23&lt;&gt;""),"×","○")</f>
        <v>○</v>
      </c>
      <c r="B21" s="2421" t="str">
        <f>IF(AND(AT21="○",BB21="○",BC21="○",A21="○"),"○","×")</f>
        <v>○</v>
      </c>
      <c r="C21" s="2390">
        <v>4</v>
      </c>
      <c r="D21" s="2230"/>
      <c r="E21" s="2228"/>
      <c r="F21" s="2241"/>
      <c r="G21" s="2391"/>
      <c r="H21" s="2290"/>
      <c r="I21" s="2284"/>
      <c r="J21" s="2285"/>
      <c r="K21" s="2288"/>
      <c r="L21" s="2392"/>
      <c r="M21" s="2346"/>
      <c r="N21" s="2347"/>
      <c r="O21" s="2288"/>
      <c r="P21" s="2288"/>
      <c r="Q21" s="2290"/>
      <c r="R21" s="2346"/>
      <c r="S21" s="2347"/>
      <c r="T21" s="2288"/>
      <c r="U21" s="2288"/>
      <c r="V21" s="2290"/>
      <c r="W21" s="2399"/>
      <c r="X21" s="2400"/>
      <c r="Y21" s="2395"/>
      <c r="Z21" s="2395"/>
      <c r="AA21" s="2397"/>
      <c r="AB21" s="2399"/>
      <c r="AC21" s="2400"/>
      <c r="AD21" s="2395"/>
      <c r="AE21" s="2395"/>
      <c r="AF21" s="2397"/>
      <c r="AG21" s="2399"/>
      <c r="AH21" s="2400"/>
      <c r="AI21" s="2395"/>
      <c r="AJ21" s="2397"/>
      <c r="AK21" s="2267"/>
      <c r="AL21" s="2268"/>
      <c r="AM21" s="2268"/>
      <c r="AN21" s="2269"/>
      <c r="AO21" s="2232"/>
      <c r="AP21" s="2233"/>
      <c r="AQ21" s="2233"/>
      <c r="AR21" s="2234"/>
      <c r="AS21" s="571"/>
      <c r="AT21" s="572" t="str">
        <f>IF(OR(AND(D21&lt;&gt;"",OR(AND(E21&lt;&gt;"",F21&lt;&gt;"",OR(G21&lt;&gt;"",H21&lt;&gt;"")),AND(E21="",F21="バス・カメラマン等"))),AND(D21="",E21="",F21="",OR(G21="",H21=""))),"○","×")</f>
        <v>○</v>
      </c>
      <c r="AU21" s="2204" t="str">
        <f>IF(AND(E21&lt;&gt;"",E21&lt;=2),"2歳児以下","")</f>
        <v/>
      </c>
      <c r="AV21" s="2204" t="str">
        <f>IF(OR(AND(3&lt;=E21,E21&lt;=6),COUNTIF(E21, "幼*"),COUNTIF(E21, "年少"),COUNTIF(E21, "年中"),COUNTIF(E21, "年長")),"3歳-学齢前","")</f>
        <v/>
      </c>
      <c r="AW21" s="2204" t="str">
        <f>IF(OR(AND(6&lt;=E21,E21&lt;=12),COUNTIF(E21, "小*")),"小学生","")</f>
        <v/>
      </c>
      <c r="AX21" s="2204" t="str">
        <f>IF(OR(AND(12&lt;=E21,E21&lt;=15),COUNTIF(E21, "中*")),"中学生","")</f>
        <v/>
      </c>
      <c r="AY21" s="2204" t="str">
        <f>IF(OR(AND(15&lt;=E21,E21&lt;=18),COUNTIF(E21, "高*")),"高校生(～18歳)","")</f>
        <v/>
      </c>
      <c r="AZ21" s="2204" t="str">
        <f>IF(OR(19&lt;=E21,COUNTIF(E21, "大*"),COUNTIF(E21, "*院*"),COUNTIF(E21, "*専*")),"一般(19歳～)","")</f>
        <v/>
      </c>
      <c r="BA21" s="2204" t="s">
        <v>425</v>
      </c>
      <c r="BB21" s="572" t="str">
        <f>IF(OR(AND(D21="",I21="",M21="",R21="",W21="",AB21="",AG21=""),AND(D21&lt;&gt;"",OR(I21&lt;&gt;"",M21&lt;&gt;"",R21&lt;&gt;"",W21&lt;&gt;"",AB21&lt;&gt;"",AG21&lt;&gt;""))),"○","×")</f>
        <v>○</v>
      </c>
      <c r="BC21" s="572" t="str">
        <f>IF(AND(BD21="○",BE21="○",BF21="○",BG21="○",BH21="○",BI21="○"),"○","×")</f>
        <v>○</v>
      </c>
      <c r="BD21" s="573" t="str">
        <f>IF(AND($I$7=" ",OR(I21&lt;&gt;"",K21&lt;&gt;"",L21&lt;&gt;"")),"×","○")</f>
        <v>○</v>
      </c>
      <c r="BE21" s="573" t="str">
        <f>IF(AND($M$7=" ",OR(M21&lt;&gt;"",O21&lt;&gt;"",P21&lt;&gt;"",Q21&lt;&gt;"")),"×","○")</f>
        <v>○</v>
      </c>
      <c r="BF21" s="573" t="str">
        <f>IF(AND($R$7=" ",OR(R21&lt;&gt;"",T21&lt;&gt;"",U21&lt;&gt;"",V21&lt;&gt;"")),"×","○")</f>
        <v>○</v>
      </c>
      <c r="BG21" s="573" t="str">
        <f>IF(AND($W$7=" ",OR(W21&lt;&gt;"",Y21&lt;&gt;"",Z21&lt;&gt;"",AA21&lt;&gt;"")),"×","○")</f>
        <v>○</v>
      </c>
      <c r="BH21" s="573" t="str">
        <f>IF(AND($AB$7=" ",OR(AB21&lt;&gt;"",AD21&lt;&gt;"",AE21&lt;&gt;"",AF21&lt;&gt;"")),"×","○")</f>
        <v>○</v>
      </c>
      <c r="BI21" s="573" t="str">
        <f>IF(AND($AG$7=" ",OR(AG21&lt;&gt;"",AI21&lt;&gt;"",AJ21&lt;&gt;"")),"×","○")</f>
        <v>○</v>
      </c>
      <c r="BJ21" s="2472" t="e">
        <f>SUMPRODUCT(1/COUNTIF(I21:AH21,"宿泊"))</f>
        <v>#DIV/0!</v>
      </c>
      <c r="BK21" s="2473" t="e">
        <f>SUMPRODUCT(1/COUNTIF(I21:AH21,"日帰り"))</f>
        <v>#DIV/0!</v>
      </c>
      <c r="BL21" s="1584">
        <f>COUNT(BJ21)-COUNT(BK21)</f>
        <v>0</v>
      </c>
      <c r="BM21" s="599"/>
      <c r="BN21" s="2106" t="s">
        <v>285</v>
      </c>
      <c r="BO21" s="2107"/>
      <c r="BP21" s="590">
        <f t="shared" si="2"/>
        <v>0</v>
      </c>
      <c r="BQ21" s="589">
        <f>COUNTIFS($G$15:$G$74,"○",$F$15:$F$74,"高校生(～18歳)")</f>
        <v>0</v>
      </c>
      <c r="BR21" s="623">
        <f>COUNTIFS($H$15:$H$74,"○",$F$15:$F$74,"高校生(～18歳)")</f>
        <v>0</v>
      </c>
      <c r="BS21" s="2108">
        <f>COUNTIFS($G$15:$G$74,"○",$F$15:$F$74,"高校生(～18歳)",$I$15:$I$74,"日帰り")</f>
        <v>0</v>
      </c>
      <c r="BT21" s="2109"/>
      <c r="BU21" s="2110">
        <f>COUNTIFS($H$15:$H$74,"○",$F$15:$F$74,"高校生(～18歳)",$I$15:$I$74,"日帰り")</f>
        <v>0</v>
      </c>
      <c r="BV21" s="2111"/>
      <c r="BW21" s="2112">
        <f>COUNTIFS($G$15:$G$74,"○",$F$15:$F$74,"高校生(～18歳)",$M$15:$M$74,"日帰り")</f>
        <v>0</v>
      </c>
      <c r="BX21" s="2109"/>
      <c r="BY21" s="2110">
        <f>COUNTIFS($H$15:$H$74,"○",$F$15:$F$74,"高校生(～18歳)",$M$15:$M$74,"日帰り")</f>
        <v>0</v>
      </c>
      <c r="BZ21" s="2111"/>
      <c r="CA21" s="2112">
        <f>COUNTIFS($G$15:$G$74,"○",$F$15:$F$74,"高校生(～18歳)",$R$15:$R$74,"日帰り")</f>
        <v>0</v>
      </c>
      <c r="CB21" s="2109"/>
      <c r="CC21" s="2110">
        <f>COUNTIFS($H$15:$H$74,"○",$F$15:$F$74,"高校生(～18歳)",$R$15:$R$74,"日帰り")</f>
        <v>0</v>
      </c>
      <c r="CD21" s="2111"/>
      <c r="CE21" s="2112">
        <f>COUNTIFS($G$15:$G$74,"○",$F$15:$F$74,"高校生(～18歳)",$W$15:$W$74,"日帰り")</f>
        <v>0</v>
      </c>
      <c r="CF21" s="2109"/>
      <c r="CG21" s="2110">
        <f>COUNTIFS($H$15:$H$74,"○",$F$15:$F$74,"高校生(～18歳)",$W$15:$W$74,"日帰り")</f>
        <v>0</v>
      </c>
      <c r="CH21" s="2111"/>
      <c r="CI21" s="2112">
        <f>COUNTIFS($G$15:$G$74,"○",$F$15:$F$74,"高校生(～18歳)",$AB$15:$AB$74,"日帰り")</f>
        <v>0</v>
      </c>
      <c r="CJ21" s="2109"/>
      <c r="CK21" s="2110">
        <f>COUNTIFS($H$15:$H$74,"○",$F$15:$F$74,"高校生(～18歳)",$AB$15:$AB$74,"日帰り")</f>
        <v>0</v>
      </c>
      <c r="CL21" s="2111"/>
      <c r="CM21" s="2112">
        <f>COUNTIFS($G$15:$G$74,"○",$F$15:$F$74,"高校生(～18歳)",$AG$15:$AG$74,"日帰り")</f>
        <v>0</v>
      </c>
      <c r="CN21" s="2109"/>
      <c r="CO21" s="2110">
        <f>COUNTIFS($H$15:$H$74,"○",$F$15:$F$74,"高校生(～18歳)",$AG$15:$AG$74,"日帰り")</f>
        <v>0</v>
      </c>
      <c r="CP21" s="2111"/>
    </row>
    <row r="22" spans="1:94" ht="14.1" customHeight="1" x14ac:dyDescent="0.15">
      <c r="A22" s="572"/>
      <c r="B22" s="2421"/>
      <c r="C22" s="2359"/>
      <c r="D22" s="2231"/>
      <c r="E22" s="2229"/>
      <c r="F22" s="2242"/>
      <c r="G22" s="2363"/>
      <c r="H22" s="2291"/>
      <c r="I22" s="2286"/>
      <c r="J22" s="2287"/>
      <c r="K22" s="2289"/>
      <c r="L22" s="2367"/>
      <c r="M22" s="2286"/>
      <c r="N22" s="2287"/>
      <c r="O22" s="2289"/>
      <c r="P22" s="2289"/>
      <c r="Q22" s="2291"/>
      <c r="R22" s="2286"/>
      <c r="S22" s="2287"/>
      <c r="T22" s="2289"/>
      <c r="U22" s="2289"/>
      <c r="V22" s="2291"/>
      <c r="W22" s="2401"/>
      <c r="X22" s="2402"/>
      <c r="Y22" s="2396"/>
      <c r="Z22" s="2396"/>
      <c r="AA22" s="2398"/>
      <c r="AB22" s="2401"/>
      <c r="AC22" s="2402"/>
      <c r="AD22" s="2396"/>
      <c r="AE22" s="2396"/>
      <c r="AF22" s="2398"/>
      <c r="AG22" s="2401"/>
      <c r="AH22" s="2402"/>
      <c r="AI22" s="2396"/>
      <c r="AJ22" s="2398"/>
      <c r="AK22" s="2235"/>
      <c r="AL22" s="2236"/>
      <c r="AM22" s="2236"/>
      <c r="AN22" s="2237"/>
      <c r="AO22" s="2235"/>
      <c r="AP22" s="2236"/>
      <c r="AQ22" s="2236"/>
      <c r="AR22" s="2237"/>
      <c r="AS22" s="571"/>
      <c r="AT22" s="572"/>
      <c r="AU22" s="2204"/>
      <c r="AV22" s="2204"/>
      <c r="AW22" s="2204"/>
      <c r="AX22" s="2204"/>
      <c r="AY22" s="2204"/>
      <c r="AZ22" s="2204"/>
      <c r="BA22" s="2204"/>
      <c r="BB22" s="574"/>
      <c r="BC22" s="574"/>
      <c r="BD22" s="572"/>
      <c r="BE22" s="572"/>
      <c r="BF22" s="572"/>
      <c r="BG22" s="572"/>
      <c r="BH22" s="572"/>
      <c r="BI22" s="572"/>
      <c r="BJ22" s="2472"/>
      <c r="BK22" s="2473"/>
      <c r="BL22" s="1584"/>
      <c r="BM22" s="599"/>
      <c r="BN22" s="2106" t="s">
        <v>286</v>
      </c>
      <c r="BO22" s="2107"/>
      <c r="BP22" s="590">
        <f t="shared" si="2"/>
        <v>0</v>
      </c>
      <c r="BQ22" s="589">
        <f>COUNTIFS($G$15:$G$74,"○",$F$15:$F$74,"一般(19歳～)")</f>
        <v>0</v>
      </c>
      <c r="BR22" s="623">
        <f>COUNTIFS($H$15:$H$74,"○",$F$15:$F$74,"一般(19歳～)")</f>
        <v>0</v>
      </c>
      <c r="BS22" s="2108">
        <f>COUNTIFS($G$15:$G$74,"○",$F$15:$F$74,"一般(19歳～)",$I$15:$I$74,"日帰り")</f>
        <v>0</v>
      </c>
      <c r="BT22" s="2109"/>
      <c r="BU22" s="2110">
        <f>COUNTIFS($H$15:$H$74,"○",$F$15:$F$74,"一般(19歳～)",$I$15:$I$74,"日帰り")</f>
        <v>0</v>
      </c>
      <c r="BV22" s="2111"/>
      <c r="BW22" s="2112">
        <f>COUNTIFS($G$15:$G$74,"○",$F$15:$F$74,"一般(19歳～)",$M$15:$M$74,"日帰り")</f>
        <v>0</v>
      </c>
      <c r="BX22" s="2109"/>
      <c r="BY22" s="2110">
        <f>COUNTIFS($H$15:$H$74,"○",$F$15:$F$74,"一般(19歳～)",$M$15:$M$74,"日帰り")</f>
        <v>0</v>
      </c>
      <c r="BZ22" s="2111"/>
      <c r="CA22" s="2112">
        <f>COUNTIFS($G$15:$G$74,"○",$F$15:$F$74,"一般(19歳～)",$R$15:$R$74,"日帰り")</f>
        <v>0</v>
      </c>
      <c r="CB22" s="2109"/>
      <c r="CC22" s="2110">
        <f>COUNTIFS($H$15:$H$74,"○",$F$15:$F$74,"一般(19歳～)",$R$15:$R$74,"日帰り")</f>
        <v>0</v>
      </c>
      <c r="CD22" s="2111"/>
      <c r="CE22" s="2112">
        <f>COUNTIFS($G$15:$G$74,"○",$F$15:$F$74,"一般(19歳～)",$W$15:$W$74,"日帰り")</f>
        <v>0</v>
      </c>
      <c r="CF22" s="2109"/>
      <c r="CG22" s="2110">
        <f>COUNTIFS($H$15:$H$74,"○",$F$15:$F$74,"一般(19歳～)",$W$15:$W$74,"日帰り")</f>
        <v>0</v>
      </c>
      <c r="CH22" s="2111"/>
      <c r="CI22" s="2112">
        <f>COUNTIFS($G$15:$G$74,"○",$F$15:$F$74,"一般(19歳～)",$AB$15:$AB$74,"日帰り")</f>
        <v>0</v>
      </c>
      <c r="CJ22" s="2109"/>
      <c r="CK22" s="2110">
        <f>COUNTIFS($H$15:$H$74,"○",$F$15:$F$74,"一般(19歳～)",$AB$15:$AB$74,"日帰り")</f>
        <v>0</v>
      </c>
      <c r="CL22" s="2111"/>
      <c r="CM22" s="2112">
        <f>COUNTIFS($G$15:$G$74,"○",$F$15:$F$74,"一般(19歳～)",$AG$15:$AG$74,"日帰り")</f>
        <v>0</v>
      </c>
      <c r="CN22" s="2109"/>
      <c r="CO22" s="2110">
        <f>COUNTIFS($H$15:$H$74,"○",$F$15:$F$74,"一般(19歳～)",$AG$15:$AG$74,"日帰り")</f>
        <v>0</v>
      </c>
      <c r="CP22" s="2111"/>
    </row>
    <row r="23" spans="1:94" ht="14.1" customHeight="1" thickBot="1" x14ac:dyDescent="0.2">
      <c r="A23" s="572" t="str">
        <f>IF(AND(D23="",D25&lt;&gt;""),"×","○")</f>
        <v>○</v>
      </c>
      <c r="B23" s="2421" t="str">
        <f>IF(AND(AT23="○",BB23="○",BC23="○",A23="○"),"○","×")</f>
        <v>○</v>
      </c>
      <c r="C23" s="2390">
        <v>5</v>
      </c>
      <c r="D23" s="2230"/>
      <c r="E23" s="2228"/>
      <c r="F23" s="2241"/>
      <c r="G23" s="2391"/>
      <c r="H23" s="2290"/>
      <c r="I23" s="2284"/>
      <c r="J23" s="2285"/>
      <c r="K23" s="2288"/>
      <c r="L23" s="2392"/>
      <c r="M23" s="2346"/>
      <c r="N23" s="2347"/>
      <c r="O23" s="2288"/>
      <c r="P23" s="2288"/>
      <c r="Q23" s="2290"/>
      <c r="R23" s="2346"/>
      <c r="S23" s="2347"/>
      <c r="T23" s="2288"/>
      <c r="U23" s="2288"/>
      <c r="V23" s="2290"/>
      <c r="W23" s="2399"/>
      <c r="X23" s="2400"/>
      <c r="Y23" s="2395"/>
      <c r="Z23" s="2395"/>
      <c r="AA23" s="2397"/>
      <c r="AB23" s="2399"/>
      <c r="AC23" s="2400"/>
      <c r="AD23" s="2395"/>
      <c r="AE23" s="2395"/>
      <c r="AF23" s="2397"/>
      <c r="AG23" s="2399"/>
      <c r="AH23" s="2400"/>
      <c r="AI23" s="2395"/>
      <c r="AJ23" s="2397"/>
      <c r="AK23" s="2267"/>
      <c r="AL23" s="2268"/>
      <c r="AM23" s="2268"/>
      <c r="AN23" s="2269"/>
      <c r="AO23" s="2232"/>
      <c r="AP23" s="2233"/>
      <c r="AQ23" s="2233"/>
      <c r="AR23" s="2234"/>
      <c r="AS23" s="571"/>
      <c r="AT23" s="572" t="str">
        <f>IF(OR(AND(D23&lt;&gt;"",OR(AND(E23&lt;&gt;"",F23&lt;&gt;"",OR(G23&lt;&gt;"",H23&lt;&gt;"")),AND(E23="",F23="バス・カメラマン等"))),AND(D23="",E23="",F23="",OR(G23="",H23=""))),"○","×")</f>
        <v>○</v>
      </c>
      <c r="AU23" s="2204" t="str">
        <f>IF(AND(E23&lt;&gt;"",E23&lt;=2),"2歳児以下","")</f>
        <v/>
      </c>
      <c r="AV23" s="2204" t="str">
        <f>IF(OR(AND(3&lt;=E23,E23&lt;=6),COUNTIF(E23, "幼*"),COUNTIF(E23, "年少"),COUNTIF(E23, "年中"),COUNTIF(E23, "年長")),"3歳-学齢前","")</f>
        <v/>
      </c>
      <c r="AW23" s="2204" t="str">
        <f>IF(OR(AND(6&lt;=E23,E23&lt;=12),COUNTIF(E23, "小*")),"小学生","")</f>
        <v/>
      </c>
      <c r="AX23" s="2204" t="str">
        <f>IF(OR(AND(12&lt;=E23,E23&lt;=15),COUNTIF(E23, "中*")),"中学生","")</f>
        <v/>
      </c>
      <c r="AY23" s="2204" t="str">
        <f>IF(OR(AND(15&lt;=E23,E23&lt;=18),COUNTIF(E23, "高*")),"高校生(～18歳)","")</f>
        <v/>
      </c>
      <c r="AZ23" s="2204" t="str">
        <f>IF(OR(19&lt;=E23,COUNTIF(E23, "大*"),COUNTIF(E23, "*院*"),COUNTIF(E23, "*専*")),"一般(19歳～)","")</f>
        <v/>
      </c>
      <c r="BA23" s="2204" t="s">
        <v>425</v>
      </c>
      <c r="BB23" s="572" t="str">
        <f>IF(OR(AND(D23="",I23="",M23="",R23="",W23="",AB23="",AG23=""),AND(D23&lt;&gt;"",OR(I23&lt;&gt;"",M23&lt;&gt;"",R23&lt;&gt;"",W23&lt;&gt;"",AB23&lt;&gt;"",AG23&lt;&gt;""))),"○","×")</f>
        <v>○</v>
      </c>
      <c r="BC23" s="572" t="str">
        <f>IF(AND(BD23="○",BE23="○",BF23="○",BG23="○",BH23="○",BI23="○"),"○","×")</f>
        <v>○</v>
      </c>
      <c r="BD23" s="573" t="str">
        <f>IF(AND($I$7=" ",OR(I23&lt;&gt;"",K23&lt;&gt;"",L23&lt;&gt;"")),"×","○")</f>
        <v>○</v>
      </c>
      <c r="BE23" s="573" t="str">
        <f>IF(AND($M$7=" ",OR(M23&lt;&gt;"",O23&lt;&gt;"",P23&lt;&gt;"",Q23&lt;&gt;"")),"×","○")</f>
        <v>○</v>
      </c>
      <c r="BF23" s="573" t="str">
        <f>IF(AND($R$7=" ",OR(R23&lt;&gt;"",T23&lt;&gt;"",U23&lt;&gt;"",V23&lt;&gt;"")),"×","○")</f>
        <v>○</v>
      </c>
      <c r="BG23" s="573" t="str">
        <f>IF(AND($W$7=" ",OR(W23&lt;&gt;"",Y23&lt;&gt;"",Z23&lt;&gt;"",AA23&lt;&gt;"")),"×","○")</f>
        <v>○</v>
      </c>
      <c r="BH23" s="573" t="str">
        <f>IF(AND($AB$7=" ",OR(AB23&lt;&gt;"",AD23&lt;&gt;"",AE23&lt;&gt;"",AF23&lt;&gt;"")),"×","○")</f>
        <v>○</v>
      </c>
      <c r="BI23" s="573" t="str">
        <f>IF(AND($AG$7=" ",OR(AG23&lt;&gt;"",AI23&lt;&gt;"",AJ23&lt;&gt;"")),"×","○")</f>
        <v>○</v>
      </c>
      <c r="BJ23" s="2472" t="e">
        <f>SUMPRODUCT(1/COUNTIF(I23:AH23,"宿泊"))</f>
        <v>#DIV/0!</v>
      </c>
      <c r="BK23" s="2473" t="e">
        <f>SUMPRODUCT(1/COUNTIF(I23:AH23,"日帰り"))</f>
        <v>#DIV/0!</v>
      </c>
      <c r="BL23" s="1584">
        <f>COUNT(BJ23)-COUNT(BK23)</f>
        <v>0</v>
      </c>
      <c r="BM23" s="599"/>
      <c r="BN23" s="2140" t="s">
        <v>458</v>
      </c>
      <c r="BO23" s="2141"/>
      <c r="BP23" s="624">
        <f t="shared" si="2"/>
        <v>0</v>
      </c>
      <c r="BQ23" s="625">
        <f>COUNTIFS($G$15:$G$74,"○",$F$15:$F$74,"バス・カメラマン等")</f>
        <v>0</v>
      </c>
      <c r="BR23" s="626">
        <f>COUNTIFS($H$15:$H$74,"○",$F$15:$F$74,"バス・カメラマン等")</f>
        <v>0</v>
      </c>
      <c r="BS23" s="2135">
        <f>COUNTIFS($G$15:$G$74,"○",$F$15:$F$74,"バス・カメラマン等",$I$15:$I$74,"日帰り")</f>
        <v>0</v>
      </c>
      <c r="BT23" s="2136"/>
      <c r="BU23" s="2137">
        <f>COUNTIFS($H$15:$H$74,"○",$F$15:$F$74,"バス・カメラマン等",$I$15:$I$74,"日帰り")</f>
        <v>0</v>
      </c>
      <c r="BV23" s="2138"/>
      <c r="BW23" s="2139">
        <f>COUNTIFS($G$15:$G$74,"○",$F$15:$F$74,"バス・カメラマン等",$M$15:$M$74,"日帰り")</f>
        <v>0</v>
      </c>
      <c r="BX23" s="2136"/>
      <c r="BY23" s="2137">
        <f>COUNTIFS($H$15:$H$74,"○",$F$15:$F$74,"バス・カメラマン等",$M$15:$M$74,"日帰り")</f>
        <v>0</v>
      </c>
      <c r="BZ23" s="2138"/>
      <c r="CA23" s="2139">
        <f>COUNTIFS($G$15:$G$74,"○",$F$15:$F$74,"バス・カメラマン等",$R$15:$R$74,"日帰り")</f>
        <v>0</v>
      </c>
      <c r="CB23" s="2136"/>
      <c r="CC23" s="2137">
        <f>COUNTIFS($H$15:$H$74,"○",$F$15:$F$74,"バス・カメラマン等",$R$15:$R$74,"日帰り")</f>
        <v>0</v>
      </c>
      <c r="CD23" s="2138"/>
      <c r="CE23" s="2139">
        <f>COUNTIFS($G$15:$G$74,"○",$F$15:$F$74,"バス・カメラマン等",$W$15:$W$74,"日帰り")</f>
        <v>0</v>
      </c>
      <c r="CF23" s="2136"/>
      <c r="CG23" s="2137">
        <f>COUNTIFS($H$15:$H$74,"○",$F$15:$F$74,"バス・カメラマン等",$W$15:$W$74,"日帰り")</f>
        <v>0</v>
      </c>
      <c r="CH23" s="2138"/>
      <c r="CI23" s="2139">
        <f>COUNTIFS($G$15:$G$74,"○",$F$15:$F$74,"バス・カメラマン等",$AB$15:$AB$74,"日帰り")</f>
        <v>0</v>
      </c>
      <c r="CJ23" s="2136"/>
      <c r="CK23" s="2137">
        <f>COUNTIFS($H$15:$H$74,"○",$F$15:$F$74,"バス・カメラマン等",$AB$15:$AB$74,"日帰り")</f>
        <v>0</v>
      </c>
      <c r="CL23" s="2138"/>
      <c r="CM23" s="2139">
        <f>COUNTIFS($G$15:$G$74,"○",$F$15:$F$74,"バス・カメラマン等",$AG$15:$AG$74,"日帰り")</f>
        <v>0</v>
      </c>
      <c r="CN23" s="2136"/>
      <c r="CO23" s="2137">
        <f>COUNTIFS($H$15:$H$74,"○",$F$15:$F$74,"バス・カメラマン等",$AG$15:$AG$74,"日帰り")</f>
        <v>0</v>
      </c>
      <c r="CP23" s="2138"/>
    </row>
    <row r="24" spans="1:94" ht="14.1" customHeight="1" thickBot="1" x14ac:dyDescent="0.2">
      <c r="A24" s="572"/>
      <c r="B24" s="2421"/>
      <c r="C24" s="2359"/>
      <c r="D24" s="2231"/>
      <c r="E24" s="2229"/>
      <c r="F24" s="2242"/>
      <c r="G24" s="2363"/>
      <c r="H24" s="2291"/>
      <c r="I24" s="2286"/>
      <c r="J24" s="2287"/>
      <c r="K24" s="2289"/>
      <c r="L24" s="2367"/>
      <c r="M24" s="2286"/>
      <c r="N24" s="2287"/>
      <c r="O24" s="2289"/>
      <c r="P24" s="2289"/>
      <c r="Q24" s="2291"/>
      <c r="R24" s="2286"/>
      <c r="S24" s="2287"/>
      <c r="T24" s="2289"/>
      <c r="U24" s="2289"/>
      <c r="V24" s="2291"/>
      <c r="W24" s="2401"/>
      <c r="X24" s="2402"/>
      <c r="Y24" s="2396"/>
      <c r="Z24" s="2396"/>
      <c r="AA24" s="2398"/>
      <c r="AB24" s="2401"/>
      <c r="AC24" s="2402"/>
      <c r="AD24" s="2396"/>
      <c r="AE24" s="2396"/>
      <c r="AF24" s="2398"/>
      <c r="AG24" s="2401"/>
      <c r="AH24" s="2402"/>
      <c r="AI24" s="2396"/>
      <c r="AJ24" s="2398"/>
      <c r="AK24" s="2235"/>
      <c r="AL24" s="2236"/>
      <c r="AM24" s="2236"/>
      <c r="AN24" s="2237"/>
      <c r="AO24" s="2235"/>
      <c r="AP24" s="2236"/>
      <c r="AQ24" s="2236"/>
      <c r="AR24" s="2237"/>
      <c r="AS24" s="571"/>
      <c r="AT24" s="572"/>
      <c r="AU24" s="2204"/>
      <c r="AV24" s="2204"/>
      <c r="AW24" s="2204"/>
      <c r="AX24" s="2204"/>
      <c r="AY24" s="2204"/>
      <c r="AZ24" s="2204"/>
      <c r="BA24" s="2204"/>
      <c r="BB24" s="574"/>
      <c r="BC24" s="574"/>
      <c r="BD24" s="572"/>
      <c r="BE24" s="572"/>
      <c r="BF24" s="572"/>
      <c r="BG24" s="572"/>
      <c r="BH24" s="572"/>
      <c r="BI24" s="572"/>
      <c r="BJ24" s="2472"/>
      <c r="BK24" s="2473"/>
      <c r="BL24" s="1584"/>
      <c r="BM24" s="599"/>
      <c r="BN24" s="2097"/>
      <c r="BO24" s="2097"/>
      <c r="BP24" s="2097"/>
      <c r="BQ24" s="2097"/>
      <c r="BR24" s="2097"/>
      <c r="BS24" s="2156" t="s">
        <v>152</v>
      </c>
      <c r="BT24" s="2157"/>
      <c r="BU24" s="2158">
        <f>COUNTIFS($I$15:$I$74,"宿泊")</f>
        <v>0</v>
      </c>
      <c r="BV24" s="2159"/>
      <c r="BW24" s="2160" t="s">
        <v>152</v>
      </c>
      <c r="BX24" s="2157"/>
      <c r="BY24" s="2158">
        <f>COUNTIFS($M$15:$M$74,"宿泊")</f>
        <v>0</v>
      </c>
      <c r="BZ24" s="2159"/>
      <c r="CA24" s="2160" t="s">
        <v>152</v>
      </c>
      <c r="CB24" s="2157"/>
      <c r="CC24" s="2158">
        <f>COUNTIFS($R$15:$R$74,"宿泊")</f>
        <v>0</v>
      </c>
      <c r="CD24" s="2159"/>
      <c r="CE24" s="2160" t="s">
        <v>152</v>
      </c>
      <c r="CF24" s="2157"/>
      <c r="CG24" s="2158">
        <f>COUNTIFS($W$15:$W$74,"宿泊")</f>
        <v>0</v>
      </c>
      <c r="CH24" s="2159"/>
      <c r="CI24" s="2160" t="s">
        <v>152</v>
      </c>
      <c r="CJ24" s="2157"/>
      <c r="CK24" s="2158">
        <f>COUNTIFS($AB$15:$AB$74,"宿泊")</f>
        <v>0</v>
      </c>
      <c r="CL24" s="2159"/>
      <c r="CM24" s="2160" t="s">
        <v>152</v>
      </c>
      <c r="CN24" s="2157"/>
      <c r="CO24" s="2158">
        <f>COUNTIFS($AG$15:$AG$74,"宿泊")</f>
        <v>0</v>
      </c>
      <c r="CP24" s="2159"/>
    </row>
    <row r="25" spans="1:94" ht="14.1" customHeight="1" x14ac:dyDescent="0.15">
      <c r="A25" s="572" t="str">
        <f>IF(AND(D25="",D27&lt;&gt;""),"×","○")</f>
        <v>○</v>
      </c>
      <c r="B25" s="2421" t="str">
        <f>IF(AND(AT25="○",BB25="○",BC25="○",A25="○"),"○","×")</f>
        <v>○</v>
      </c>
      <c r="C25" s="2390">
        <v>6</v>
      </c>
      <c r="D25" s="2230"/>
      <c r="E25" s="2228"/>
      <c r="F25" s="2241"/>
      <c r="G25" s="2391"/>
      <c r="H25" s="2345"/>
      <c r="I25" s="2284"/>
      <c r="J25" s="2285"/>
      <c r="K25" s="2288"/>
      <c r="L25" s="2392"/>
      <c r="M25" s="2346"/>
      <c r="N25" s="2347"/>
      <c r="O25" s="2344"/>
      <c r="P25" s="2344"/>
      <c r="Q25" s="2345"/>
      <c r="R25" s="2346"/>
      <c r="S25" s="2347"/>
      <c r="T25" s="2344"/>
      <c r="U25" s="2344"/>
      <c r="V25" s="2345"/>
      <c r="W25" s="2399"/>
      <c r="X25" s="2400"/>
      <c r="Y25" s="2395"/>
      <c r="Z25" s="2395"/>
      <c r="AA25" s="2397"/>
      <c r="AB25" s="2399"/>
      <c r="AC25" s="2400"/>
      <c r="AD25" s="2395"/>
      <c r="AE25" s="2395"/>
      <c r="AF25" s="2397"/>
      <c r="AG25" s="2399"/>
      <c r="AH25" s="2400"/>
      <c r="AI25" s="2395"/>
      <c r="AJ25" s="2397"/>
      <c r="AK25" s="2267"/>
      <c r="AL25" s="2268"/>
      <c r="AM25" s="2268"/>
      <c r="AN25" s="2269"/>
      <c r="AO25" s="2232"/>
      <c r="AP25" s="2233"/>
      <c r="AQ25" s="2233"/>
      <c r="AR25" s="2234"/>
      <c r="AS25" s="571"/>
      <c r="AT25" s="572" t="str">
        <f>IF(OR(AND(D25&lt;&gt;"",OR(AND(E25&lt;&gt;"",F25&lt;&gt;"",OR(G25&lt;&gt;"",H25&lt;&gt;"")),AND(E25="",F25="バス・カメラマン等"))),AND(D25="",E25="",F25="",OR(G25="",H25=""))),"○","×")</f>
        <v>○</v>
      </c>
      <c r="AU25" s="2204" t="str">
        <f>IF(AND(E25&lt;&gt;"",E25&lt;=2),"2歳児以下","")</f>
        <v/>
      </c>
      <c r="AV25" s="2204" t="str">
        <f>IF(OR(AND(3&lt;=E25,E25&lt;=6),COUNTIF(E25, "幼*"),COUNTIF(E25, "年少"),COUNTIF(E25, "年中"),COUNTIF(E25, "年長")),"3歳-学齢前","")</f>
        <v/>
      </c>
      <c r="AW25" s="2204" t="str">
        <f>IF(OR(AND(6&lt;=E25,E25&lt;=12),COUNTIF(E25, "小*")),"小学生","")</f>
        <v/>
      </c>
      <c r="AX25" s="2204" t="str">
        <f>IF(OR(AND(12&lt;=E25,E25&lt;=15),COUNTIF(E25, "中*")),"中学生","")</f>
        <v/>
      </c>
      <c r="AY25" s="2204" t="str">
        <f>IF(OR(AND(15&lt;=E25,E25&lt;=18),COUNTIF(E25, "高*")),"高校生(～18歳)","")</f>
        <v/>
      </c>
      <c r="AZ25" s="2204" t="str">
        <f>IF(OR(19&lt;=E25,COUNTIF(E25, "大*"),COUNTIF(E25, "*院*"),COUNTIF(E25, "*専*")),"一般(19歳～)","")</f>
        <v/>
      </c>
      <c r="BA25" s="2204" t="s">
        <v>425</v>
      </c>
      <c r="BB25" s="572" t="str">
        <f>IF(OR(AND(D25="",I25="",M25="",R25="",W25="",AB25="",AG25=""),AND(D25&lt;&gt;"",OR(I25&lt;&gt;"",M25&lt;&gt;"",R25&lt;&gt;"",W25&lt;&gt;"",AB25&lt;&gt;"",AG25&lt;&gt;""))),"○","×")</f>
        <v>○</v>
      </c>
      <c r="BC25" s="572" t="str">
        <f>IF(AND(BD25="○",BE25="○",BF25="○",BG25="○",BH25="○",BI25="○"),"○","×")</f>
        <v>○</v>
      </c>
      <c r="BD25" s="573" t="str">
        <f>IF(AND($I$7=" ",OR(I25&lt;&gt;"",K25&lt;&gt;"",L25&lt;&gt;"")),"×","○")</f>
        <v>○</v>
      </c>
      <c r="BE25" s="573" t="str">
        <f>IF(AND($M$7=" ",OR(M25&lt;&gt;"",O25&lt;&gt;"",P25&lt;&gt;"",Q25&lt;&gt;"")),"×","○")</f>
        <v>○</v>
      </c>
      <c r="BF25" s="573" t="str">
        <f>IF(AND($R$7=" ",OR(R25&lt;&gt;"",T25&lt;&gt;"",U25&lt;&gt;"",V25&lt;&gt;"")),"×","○")</f>
        <v>○</v>
      </c>
      <c r="BG25" s="573" t="str">
        <f>IF(AND($W$7=" ",OR(W25&lt;&gt;"",Y25&lt;&gt;"",Z25&lt;&gt;"",AA25&lt;&gt;"")),"×","○")</f>
        <v>○</v>
      </c>
      <c r="BH25" s="573" t="str">
        <f>IF(AND($AB$7=" ",OR(AB25&lt;&gt;"",AD25&lt;&gt;"",AE25&lt;&gt;"",AF25&lt;&gt;"")),"×","○")</f>
        <v>○</v>
      </c>
      <c r="BI25" s="573" t="str">
        <f>IF(AND($AG$7=" ",OR(AG25&lt;&gt;"",AI25&lt;&gt;"",AJ25&lt;&gt;"")),"×","○")</f>
        <v>○</v>
      </c>
      <c r="BJ25" s="2472" t="e">
        <f>SUMPRODUCT(1/COUNTIF(I25:AH25,"宿泊"))</f>
        <v>#DIV/0!</v>
      </c>
      <c r="BK25" s="2473" t="e">
        <f>SUMPRODUCT(1/COUNTIF(I25:AH25,"日帰り"))</f>
        <v>#DIV/0!</v>
      </c>
      <c r="BL25" s="1584">
        <f>COUNT(BJ25)-COUNT(BK25)</f>
        <v>0</v>
      </c>
      <c r="BM25" s="599"/>
      <c r="BN25" s="113"/>
      <c r="BO25" s="2113" t="s">
        <v>288</v>
      </c>
      <c r="BP25" s="2442"/>
      <c r="BQ25" s="2442"/>
      <c r="BR25" s="2443"/>
      <c r="BS25" s="660" t="s">
        <v>452</v>
      </c>
      <c r="BT25" s="587">
        <f>SUM(BS26:BT32)</f>
        <v>0</v>
      </c>
      <c r="BU25" s="662" t="s">
        <v>453</v>
      </c>
      <c r="BV25" s="663">
        <f>SUM(BU26:BV32)</f>
        <v>0</v>
      </c>
      <c r="BW25" s="661" t="s">
        <v>452</v>
      </c>
      <c r="BX25" s="587">
        <f>SUM(BW26:BX32)</f>
        <v>0</v>
      </c>
      <c r="BY25" s="662" t="s">
        <v>453</v>
      </c>
      <c r="BZ25" s="663">
        <f>SUM(BY26:BZ32)</f>
        <v>0</v>
      </c>
      <c r="CA25" s="661" t="s">
        <v>452</v>
      </c>
      <c r="CB25" s="587">
        <f>SUM(CA26:CB32)</f>
        <v>0</v>
      </c>
      <c r="CC25" s="662" t="s">
        <v>453</v>
      </c>
      <c r="CD25" s="663">
        <f>SUM(CC26:CD32)</f>
        <v>0</v>
      </c>
      <c r="CE25" s="661" t="s">
        <v>452</v>
      </c>
      <c r="CF25" s="587">
        <f>SUM(CE26:CF32)</f>
        <v>0</v>
      </c>
      <c r="CG25" s="662" t="s">
        <v>453</v>
      </c>
      <c r="CH25" s="663">
        <f>SUM(CG26:CH32)</f>
        <v>0</v>
      </c>
      <c r="CI25" s="661" t="s">
        <v>452</v>
      </c>
      <c r="CJ25" s="587">
        <f>SUM(CI26:CJ32)</f>
        <v>0</v>
      </c>
      <c r="CK25" s="662" t="s">
        <v>453</v>
      </c>
      <c r="CL25" s="663">
        <f>SUM(CK26:CL32)</f>
        <v>0</v>
      </c>
      <c r="CM25" s="661" t="s">
        <v>452</v>
      </c>
      <c r="CN25" s="597">
        <f>SUM(CM26:CN32)</f>
        <v>0</v>
      </c>
      <c r="CO25" s="657" t="s">
        <v>453</v>
      </c>
      <c r="CP25" s="600">
        <f>SUM(CO26:CP32)</f>
        <v>0</v>
      </c>
    </row>
    <row r="26" spans="1:94" ht="14.1" customHeight="1" x14ac:dyDescent="0.15">
      <c r="A26" s="572"/>
      <c r="B26" s="2421"/>
      <c r="C26" s="2359"/>
      <c r="D26" s="2231"/>
      <c r="E26" s="2229"/>
      <c r="F26" s="2242"/>
      <c r="G26" s="2363"/>
      <c r="H26" s="2291"/>
      <c r="I26" s="2286"/>
      <c r="J26" s="2287"/>
      <c r="K26" s="2289"/>
      <c r="L26" s="2367"/>
      <c r="M26" s="2286"/>
      <c r="N26" s="2287"/>
      <c r="O26" s="2289"/>
      <c r="P26" s="2289"/>
      <c r="Q26" s="2291"/>
      <c r="R26" s="2286"/>
      <c r="S26" s="2287"/>
      <c r="T26" s="2289"/>
      <c r="U26" s="2289"/>
      <c r="V26" s="2291"/>
      <c r="W26" s="2401"/>
      <c r="X26" s="2402"/>
      <c r="Y26" s="2396"/>
      <c r="Z26" s="2396"/>
      <c r="AA26" s="2398"/>
      <c r="AB26" s="2401"/>
      <c r="AC26" s="2402"/>
      <c r="AD26" s="2396"/>
      <c r="AE26" s="2396"/>
      <c r="AF26" s="2398"/>
      <c r="AG26" s="2401"/>
      <c r="AH26" s="2402"/>
      <c r="AI26" s="2396"/>
      <c r="AJ26" s="2398"/>
      <c r="AK26" s="2235"/>
      <c r="AL26" s="2236"/>
      <c r="AM26" s="2236"/>
      <c r="AN26" s="2237"/>
      <c r="AO26" s="2235"/>
      <c r="AP26" s="2236"/>
      <c r="AQ26" s="2236"/>
      <c r="AR26" s="2237"/>
      <c r="AS26" s="571"/>
      <c r="AT26" s="572"/>
      <c r="AU26" s="2204"/>
      <c r="AV26" s="2204"/>
      <c r="AW26" s="2204"/>
      <c r="AX26" s="2204"/>
      <c r="AY26" s="2204"/>
      <c r="AZ26" s="2204"/>
      <c r="BA26" s="2204"/>
      <c r="BB26" s="574"/>
      <c r="BC26" s="574"/>
      <c r="BD26" s="572"/>
      <c r="BE26" s="572"/>
      <c r="BF26" s="572"/>
      <c r="BG26" s="572"/>
      <c r="BH26" s="572"/>
      <c r="BI26" s="572"/>
      <c r="BJ26" s="2472"/>
      <c r="BK26" s="2473"/>
      <c r="BL26" s="1584"/>
      <c r="BM26" s="599"/>
      <c r="BO26" s="2115" t="s">
        <v>283</v>
      </c>
      <c r="BP26" s="2444"/>
      <c r="BQ26" s="2444"/>
      <c r="BR26" s="2445"/>
      <c r="BS26" s="2117">
        <f>COUNTIFS($G$15:$G$74,"○",$F$15:$F$74,"2歳児以下",$I$15:$I$74,"宿泊")</f>
        <v>0</v>
      </c>
      <c r="BT26" s="2118"/>
      <c r="BU26" s="2142">
        <f>COUNTIFS($H$15:$H$74,"○",$F$15:$F$74,"2歳児以下",$I$15:$I$74,"宿泊")</f>
        <v>0</v>
      </c>
      <c r="BV26" s="2143"/>
      <c r="BW26" s="2144">
        <f>COUNTIFS($G$15:$G$74,"○",$F$15:$F$74,"2歳児以下",$M$15:$M$74,"宿泊")</f>
        <v>0</v>
      </c>
      <c r="BX26" s="2118"/>
      <c r="BY26" s="2142">
        <f>COUNTIFS($H$15:$H$74,"○",$F$15:$F$74,"2歳児以下",$M$15:$M$74,"宿泊")</f>
        <v>0</v>
      </c>
      <c r="BZ26" s="2143"/>
      <c r="CA26" s="2144">
        <f>COUNTIFS($G$15:$G$74,"○",$F$15:$F$74,"2歳児以下",$R$15:$R$74,"宿泊")</f>
        <v>0</v>
      </c>
      <c r="CB26" s="2118"/>
      <c r="CC26" s="2142">
        <f>COUNTIFS($H$15:$H$74,"○",$F$15:$F$74,"2歳児以下",$R$15:$R$74,"宿泊")</f>
        <v>0</v>
      </c>
      <c r="CD26" s="2143"/>
      <c r="CE26" s="2144">
        <f>COUNTIFS($G$15:$G$74,"○",$F$15:$F$74,"2歳児以下",$W$15:$W$74,"宿泊")</f>
        <v>0</v>
      </c>
      <c r="CF26" s="2118"/>
      <c r="CG26" s="2142">
        <f>COUNTIFS($H$15:$H$74,"○",$F$15:$F$74,"2歳児以下",$W$15:$W$74,"宿泊")</f>
        <v>0</v>
      </c>
      <c r="CH26" s="2143"/>
      <c r="CI26" s="2144">
        <f>COUNTIFS($G$15:$G$74,"○",$F$15:$F$74,"2歳児以下",$AB$15:$AB$74,"宿泊")</f>
        <v>0</v>
      </c>
      <c r="CJ26" s="2118"/>
      <c r="CK26" s="2142">
        <f>COUNTIFS($H$15:$H$74,"○",$F$15:$F$74,"2歳児以下",$AB$15:$AB$74,"宿泊")</f>
        <v>0</v>
      </c>
      <c r="CL26" s="2143"/>
      <c r="CM26" s="2144">
        <f>COUNTIFS($G$15:$G$74,"○",$F$15:$F$74,"2歳児以下",$AG$15:$AG$74,"宿泊")</f>
        <v>0</v>
      </c>
      <c r="CN26" s="2118"/>
      <c r="CO26" s="2142">
        <f>COUNTIFS($H$15:$H$74,"○",$F$15:$F$74,"2歳児以下",$AG$15:$AG$74,"宿泊")</f>
        <v>0</v>
      </c>
      <c r="CP26" s="2143"/>
    </row>
    <row r="27" spans="1:94" ht="14.1" customHeight="1" x14ac:dyDescent="0.15">
      <c r="A27" s="572" t="str">
        <f>IF(AND(D27="",D29&lt;&gt;""),"×","○")</f>
        <v>○</v>
      </c>
      <c r="B27" s="2421" t="str">
        <f>IF(AND(AT27="○",BB27="○",BC27="○",A27="○"),"○","×")</f>
        <v>○</v>
      </c>
      <c r="C27" s="2390">
        <v>7</v>
      </c>
      <c r="D27" s="2230"/>
      <c r="E27" s="2228"/>
      <c r="F27" s="2241"/>
      <c r="G27" s="2362"/>
      <c r="H27" s="2345"/>
      <c r="I27" s="2284"/>
      <c r="J27" s="2285"/>
      <c r="K27" s="2288"/>
      <c r="L27" s="2392"/>
      <c r="M27" s="2346"/>
      <c r="N27" s="2347"/>
      <c r="O27" s="2344"/>
      <c r="P27" s="2344"/>
      <c r="Q27" s="2345"/>
      <c r="R27" s="2346"/>
      <c r="S27" s="2347"/>
      <c r="T27" s="2344"/>
      <c r="U27" s="2344"/>
      <c r="V27" s="2345"/>
      <c r="W27" s="2399"/>
      <c r="X27" s="2400"/>
      <c r="Y27" s="2395"/>
      <c r="Z27" s="2395"/>
      <c r="AA27" s="2397"/>
      <c r="AB27" s="2399"/>
      <c r="AC27" s="2400"/>
      <c r="AD27" s="2395"/>
      <c r="AE27" s="2395"/>
      <c r="AF27" s="2397"/>
      <c r="AG27" s="2399"/>
      <c r="AH27" s="2400"/>
      <c r="AI27" s="2395"/>
      <c r="AJ27" s="2397"/>
      <c r="AK27" s="2267"/>
      <c r="AL27" s="2268"/>
      <c r="AM27" s="2268"/>
      <c r="AN27" s="2269"/>
      <c r="AO27" s="2232"/>
      <c r="AP27" s="2233"/>
      <c r="AQ27" s="2233"/>
      <c r="AR27" s="2234"/>
      <c r="AS27" s="571"/>
      <c r="AT27" s="572" t="str">
        <f>IF(OR(AND(D27&lt;&gt;"",OR(AND(E27&lt;&gt;"",F27&lt;&gt;"",OR(G27&lt;&gt;"",H27&lt;&gt;"")),AND(E27="",F27="バス・カメラマン等"))),AND(D27="",E27="",F27="",OR(G27="",H27=""))),"○","×")</f>
        <v>○</v>
      </c>
      <c r="AU27" s="2204" t="str">
        <f>IF(AND(E27&lt;&gt;"",E27&lt;=2),"2歳児以下","")</f>
        <v/>
      </c>
      <c r="AV27" s="2204" t="str">
        <f>IF(OR(AND(3&lt;=E27,E27&lt;=6),COUNTIF(E27, "幼*"),COUNTIF(E27, "年少"),COUNTIF(E27, "年中"),COUNTIF(E27, "年長")),"3歳-学齢前","")</f>
        <v/>
      </c>
      <c r="AW27" s="2204" t="str">
        <f>IF(OR(AND(6&lt;=E27,E27&lt;=12),COUNTIF(E27, "小*")),"小学生","")</f>
        <v/>
      </c>
      <c r="AX27" s="2204" t="str">
        <f>IF(OR(AND(12&lt;=E27,E27&lt;=15),COUNTIF(E27, "中*")),"中学生","")</f>
        <v/>
      </c>
      <c r="AY27" s="2204" t="str">
        <f>IF(OR(AND(15&lt;=E27,E27&lt;=18),COUNTIF(E27, "高*")),"高校生(～18歳)","")</f>
        <v/>
      </c>
      <c r="AZ27" s="2204" t="str">
        <f>IF(OR(19&lt;=E27,COUNTIF(E27, "大*"),COUNTIF(E27, "*院*"),COUNTIF(E27, "*専*")),"一般(19歳～)","")</f>
        <v/>
      </c>
      <c r="BA27" s="2204" t="s">
        <v>425</v>
      </c>
      <c r="BB27" s="572" t="str">
        <f>IF(OR(AND(D27="",I27="",M27="",R27="",W27="",AB27="",AG27=""),AND(D27&lt;&gt;"",OR(I27&lt;&gt;"",M27&lt;&gt;"",R27&lt;&gt;"",W27&lt;&gt;"",AB27&lt;&gt;"",AG27&lt;&gt;""))),"○","×")</f>
        <v>○</v>
      </c>
      <c r="BC27" s="572" t="str">
        <f>IF(AND(BD27="○",BE27="○",BF27="○",BG27="○",BH27="○",BI27="○"),"○","×")</f>
        <v>○</v>
      </c>
      <c r="BD27" s="573" t="str">
        <f>IF(AND($I$7=" ",OR(I27&lt;&gt;"",K27&lt;&gt;"",L27&lt;&gt;"")),"×","○")</f>
        <v>○</v>
      </c>
      <c r="BE27" s="573" t="str">
        <f>IF(AND($M$7=" ",OR(M27&lt;&gt;"",O27&lt;&gt;"",P27&lt;&gt;"",Q27&lt;&gt;"")),"×","○")</f>
        <v>○</v>
      </c>
      <c r="BF27" s="573" t="str">
        <f>IF(AND($R$7=" ",OR(R27&lt;&gt;"",T27&lt;&gt;"",U27&lt;&gt;"",V27&lt;&gt;"")),"×","○")</f>
        <v>○</v>
      </c>
      <c r="BG27" s="573" t="str">
        <f>IF(AND($W$7=" ",OR(W27&lt;&gt;"",Y27&lt;&gt;"",Z27&lt;&gt;"",AA27&lt;&gt;"")),"×","○")</f>
        <v>○</v>
      </c>
      <c r="BH27" s="573" t="str">
        <f>IF(AND($AB$7=" ",OR(AB27&lt;&gt;"",AD27&lt;&gt;"",AE27&lt;&gt;"",AF27&lt;&gt;"")),"×","○")</f>
        <v>○</v>
      </c>
      <c r="BI27" s="573" t="str">
        <f>IF(AND($AG$7=" ",OR(AG27&lt;&gt;"",AI27&lt;&gt;"",AJ27&lt;&gt;"")),"×","○")</f>
        <v>○</v>
      </c>
      <c r="BJ27" s="2472" t="e">
        <f>SUMPRODUCT(1/COUNTIF(I27:AH27,"宿泊"))</f>
        <v>#DIV/0!</v>
      </c>
      <c r="BK27" s="2473" t="e">
        <f>SUMPRODUCT(1/COUNTIF(I27:AH27,"日帰り"))</f>
        <v>#DIV/0!</v>
      </c>
      <c r="BL27" s="1584">
        <f>COUNT(BJ27)-COUNT(BK27)</f>
        <v>0</v>
      </c>
      <c r="BM27" s="599"/>
      <c r="BO27" s="2106" t="s">
        <v>284</v>
      </c>
      <c r="BP27" s="2145"/>
      <c r="BQ27" s="2145"/>
      <c r="BR27" s="2146"/>
      <c r="BS27" s="2108">
        <f>COUNTIFS($G$15:$G$74,"○",$F$15:$F$74,"3歳-学齢前",$I$15:$I$74,"宿泊")</f>
        <v>0</v>
      </c>
      <c r="BT27" s="2109"/>
      <c r="BU27" s="2110">
        <f>COUNTIFS($H$15:$H$74,"○",$F$15:$F$74,"3歳-学齢前",$I$15:$I$74,"宿泊")</f>
        <v>0</v>
      </c>
      <c r="BV27" s="2111"/>
      <c r="BW27" s="2112">
        <f>COUNTIFS($G$15:$G$74,"○",$F$15:$F$74,"3歳-学齢前",$M$15:$M$74,"宿泊")</f>
        <v>0</v>
      </c>
      <c r="BX27" s="2109"/>
      <c r="BY27" s="2110">
        <f>COUNTIFS($H$15:$H$74,"○",$F$15:$F$74,"3歳-学齢前",$M$15:$M$74,"宿泊")</f>
        <v>0</v>
      </c>
      <c r="BZ27" s="2111"/>
      <c r="CA27" s="2112">
        <f>COUNTIFS($G$15:$G$74,"○",$F$15:$F$74,"3歳-学齢前",$R$15:$R$74,"宿泊")</f>
        <v>0</v>
      </c>
      <c r="CB27" s="2109"/>
      <c r="CC27" s="2110">
        <f>COUNTIFS($H$15:$H$74,"○",$F$15:$F$74,"3歳-学齢前",$R$15:$R$74,"宿泊")</f>
        <v>0</v>
      </c>
      <c r="CD27" s="2111"/>
      <c r="CE27" s="2112">
        <f>COUNTIFS($G$15:$G$74,"○",$F$15:$F$74,"3歳-学齢前",$W$15:$W$74,"宿泊")</f>
        <v>0</v>
      </c>
      <c r="CF27" s="2109"/>
      <c r="CG27" s="2110">
        <f>COUNTIFS($H$15:$H$74,"○",$F$15:$F$74,"3歳-学齢前",$W$15:$W$74,"宿泊")</f>
        <v>0</v>
      </c>
      <c r="CH27" s="2111"/>
      <c r="CI27" s="2112">
        <f>COUNTIFS($G$15:$G$74,"○",$F$15:$F$74,"3歳-学齢前",$AB$15:$AB$74,"宿泊")</f>
        <v>0</v>
      </c>
      <c r="CJ27" s="2109"/>
      <c r="CK27" s="2110">
        <f>COUNTIFS($H$15:$H$74,"○",$F$15:$F$74,"3歳-学齢前",$AB$15:$AB$74,"宿泊")</f>
        <v>0</v>
      </c>
      <c r="CL27" s="2111"/>
      <c r="CM27" s="2112">
        <f>COUNTIFS($G$15:$G$74,"○",$F$15:$F$74,"3歳-学齢前",$AG$15:$AG$74,"宿泊")</f>
        <v>0</v>
      </c>
      <c r="CN27" s="2109"/>
      <c r="CO27" s="2110">
        <f>COUNTIFS($H$15:$H$74,"○",$F$15:$F$74,"3歳-学齢前",$AG$15:$AG$74,"宿泊")</f>
        <v>0</v>
      </c>
      <c r="CP27" s="2111"/>
    </row>
    <row r="28" spans="1:94" ht="14.1" customHeight="1" x14ac:dyDescent="0.15">
      <c r="A28" s="572"/>
      <c r="B28" s="2421"/>
      <c r="C28" s="2359"/>
      <c r="D28" s="2231"/>
      <c r="E28" s="2229"/>
      <c r="F28" s="2242"/>
      <c r="G28" s="2363"/>
      <c r="H28" s="2291"/>
      <c r="I28" s="2286"/>
      <c r="J28" s="2287"/>
      <c r="K28" s="2289"/>
      <c r="L28" s="2367"/>
      <c r="M28" s="2286"/>
      <c r="N28" s="2287"/>
      <c r="O28" s="2289"/>
      <c r="P28" s="2289"/>
      <c r="Q28" s="2291"/>
      <c r="R28" s="2286"/>
      <c r="S28" s="2287"/>
      <c r="T28" s="2289"/>
      <c r="U28" s="2289"/>
      <c r="V28" s="2291"/>
      <c r="W28" s="2401"/>
      <c r="X28" s="2402"/>
      <c r="Y28" s="2396"/>
      <c r="Z28" s="2396"/>
      <c r="AA28" s="2398"/>
      <c r="AB28" s="2401"/>
      <c r="AC28" s="2402"/>
      <c r="AD28" s="2396"/>
      <c r="AE28" s="2396"/>
      <c r="AF28" s="2398"/>
      <c r="AG28" s="2401"/>
      <c r="AH28" s="2402"/>
      <c r="AI28" s="2396"/>
      <c r="AJ28" s="2398"/>
      <c r="AK28" s="2235"/>
      <c r="AL28" s="2236"/>
      <c r="AM28" s="2236"/>
      <c r="AN28" s="2237"/>
      <c r="AO28" s="2235"/>
      <c r="AP28" s="2236"/>
      <c r="AQ28" s="2236"/>
      <c r="AR28" s="2237"/>
      <c r="AS28" s="571"/>
      <c r="AT28" s="572"/>
      <c r="AU28" s="2204"/>
      <c r="AV28" s="2204"/>
      <c r="AW28" s="2204"/>
      <c r="AX28" s="2204"/>
      <c r="AY28" s="2204"/>
      <c r="AZ28" s="2204"/>
      <c r="BA28" s="2204"/>
      <c r="BB28" s="574"/>
      <c r="BC28" s="574"/>
      <c r="BD28" s="572"/>
      <c r="BE28" s="572"/>
      <c r="BF28" s="572"/>
      <c r="BG28" s="572"/>
      <c r="BH28" s="572"/>
      <c r="BI28" s="572"/>
      <c r="BJ28" s="2472"/>
      <c r="BK28" s="2473"/>
      <c r="BL28" s="1584"/>
      <c r="BM28" s="599"/>
      <c r="BO28" s="2106" t="s">
        <v>83</v>
      </c>
      <c r="BP28" s="2145"/>
      <c r="BQ28" s="2145"/>
      <c r="BR28" s="2146"/>
      <c r="BS28" s="2108">
        <f>COUNTIFS($G$15:$G$74,"○",$F$15:$F$74,"小学生",$I$15:$I$74,"宿泊")</f>
        <v>0</v>
      </c>
      <c r="BT28" s="2109"/>
      <c r="BU28" s="2110">
        <f>COUNTIFS($H$15:$H$74,"○",$F$15:$F$74,"小学生",$I$15:$I$74,"宿泊")</f>
        <v>0</v>
      </c>
      <c r="BV28" s="2111"/>
      <c r="BW28" s="2112">
        <f>COUNTIFS($G$15:$G$74,"○",$F$15:$F$74,"小学生",$M$15:$M$74,"宿泊")</f>
        <v>0</v>
      </c>
      <c r="BX28" s="2109"/>
      <c r="BY28" s="2110">
        <f>COUNTIFS($H$15:$H$74,"○",$F$15:$F$74,"小学生",$M$15:$M$74,"宿泊")</f>
        <v>0</v>
      </c>
      <c r="BZ28" s="2111"/>
      <c r="CA28" s="2112">
        <f>COUNTIFS($G$15:$G$74,"○",$F$15:$F$74,"小学生",$R$15:$R$74,"宿泊")</f>
        <v>0</v>
      </c>
      <c r="CB28" s="2109"/>
      <c r="CC28" s="2110">
        <f>COUNTIFS($H$15:$H$74,"○",$F$15:$F$74,"小学生",$R$15:$R$74,"宿泊")</f>
        <v>0</v>
      </c>
      <c r="CD28" s="2111"/>
      <c r="CE28" s="2112">
        <f>COUNTIFS($G$15:$G$74,"○",$F$15:$F$74,"小学生",$W$15:$W$74,"宿泊")</f>
        <v>0</v>
      </c>
      <c r="CF28" s="2109"/>
      <c r="CG28" s="2110">
        <f>COUNTIFS($H$15:$H$74,"○",$F$15:$F$74,"小学生",$W$15:$W$74,"宿泊")</f>
        <v>0</v>
      </c>
      <c r="CH28" s="2111"/>
      <c r="CI28" s="2112">
        <f>COUNTIFS($G$15:$G$74,"○",$F$15:$F$74,"小学生",$AB$15:$AB$74,"宿泊")</f>
        <v>0</v>
      </c>
      <c r="CJ28" s="2109"/>
      <c r="CK28" s="2110">
        <f>COUNTIFS($H$15:$H$74,"○",$F$15:$F$74,"小学生",$AB$15:$AB$74,"宿泊")</f>
        <v>0</v>
      </c>
      <c r="CL28" s="2111"/>
      <c r="CM28" s="2112">
        <f>COUNTIFS($G$15:$G$74,"○",$F$15:$F$74,"小学生",$AG$15:$AG$74,"宿泊")</f>
        <v>0</v>
      </c>
      <c r="CN28" s="2109"/>
      <c r="CO28" s="2110">
        <f>COUNTIFS($H$15:$H$74,"○",$F$15:$F$74,"小学生",$AG$15:$AG$74,"宿泊")</f>
        <v>0</v>
      </c>
      <c r="CP28" s="2111"/>
    </row>
    <row r="29" spans="1:94" ht="14.1" customHeight="1" x14ac:dyDescent="0.15">
      <c r="A29" s="572" t="str">
        <f>IF(AND(D29="",D31&lt;&gt;""),"×","○")</f>
        <v>○</v>
      </c>
      <c r="B29" s="2421" t="str">
        <f>IF(AND(AT29="○",BB29="○",BC29="○",A29="○"),"○","×")</f>
        <v>○</v>
      </c>
      <c r="C29" s="2390">
        <v>8</v>
      </c>
      <c r="D29" s="2230"/>
      <c r="E29" s="2228"/>
      <c r="F29" s="2241"/>
      <c r="G29" s="2362"/>
      <c r="H29" s="2345"/>
      <c r="I29" s="2284"/>
      <c r="J29" s="2285"/>
      <c r="K29" s="2288"/>
      <c r="L29" s="2392"/>
      <c r="M29" s="2346"/>
      <c r="N29" s="2347"/>
      <c r="O29" s="2344"/>
      <c r="P29" s="2344"/>
      <c r="Q29" s="2345"/>
      <c r="R29" s="2346"/>
      <c r="S29" s="2347"/>
      <c r="T29" s="2344"/>
      <c r="U29" s="2344"/>
      <c r="V29" s="2345"/>
      <c r="W29" s="2399"/>
      <c r="X29" s="2400"/>
      <c r="Y29" s="2395"/>
      <c r="Z29" s="2395"/>
      <c r="AA29" s="2397"/>
      <c r="AB29" s="2399"/>
      <c r="AC29" s="2400"/>
      <c r="AD29" s="2395"/>
      <c r="AE29" s="2395"/>
      <c r="AF29" s="2397"/>
      <c r="AG29" s="2399"/>
      <c r="AH29" s="2400"/>
      <c r="AI29" s="2395"/>
      <c r="AJ29" s="2397"/>
      <c r="AK29" s="2267"/>
      <c r="AL29" s="2268"/>
      <c r="AM29" s="2268"/>
      <c r="AN29" s="2269"/>
      <c r="AO29" s="2232"/>
      <c r="AP29" s="2233"/>
      <c r="AQ29" s="2233"/>
      <c r="AR29" s="2234"/>
      <c r="AS29" s="571"/>
      <c r="AT29" s="572" t="str">
        <f>IF(OR(AND(D29&lt;&gt;"",OR(AND(E29&lt;&gt;"",F29&lt;&gt;"",OR(G29&lt;&gt;"",H29&lt;&gt;"")),AND(E29="",F29="バス・カメラマン等"))),AND(D29="",E29="",F29="",OR(G29="",H29=""))),"○","×")</f>
        <v>○</v>
      </c>
      <c r="AU29" s="2204" t="str">
        <f>IF(AND(E29&lt;&gt;"",E29&lt;=2),"2歳児以下","")</f>
        <v/>
      </c>
      <c r="AV29" s="2204" t="str">
        <f>IF(OR(AND(3&lt;=E29,E29&lt;=6),COUNTIF(E29, "幼*"),COUNTIF(E29, "年少"),COUNTIF(E29, "年中"),COUNTIF(E29, "年長")),"3歳-学齢前","")</f>
        <v/>
      </c>
      <c r="AW29" s="2204" t="str">
        <f>IF(OR(AND(6&lt;=E29,E29&lt;=12),COUNTIF(E29, "小*")),"小学生","")</f>
        <v/>
      </c>
      <c r="AX29" s="2204" t="str">
        <f>IF(OR(AND(12&lt;=E29,E29&lt;=15),COUNTIF(E29, "中*")),"中学生","")</f>
        <v/>
      </c>
      <c r="AY29" s="2204" t="str">
        <f>IF(OR(AND(15&lt;=E29,E29&lt;=18),COUNTIF(E29, "高*")),"高校生(～18歳)","")</f>
        <v/>
      </c>
      <c r="AZ29" s="2204" t="str">
        <f>IF(OR(19&lt;=E29,COUNTIF(E29, "大*"),COUNTIF(E29, "*院*"),COUNTIF(E29, "*専*")),"一般(19歳～)","")</f>
        <v/>
      </c>
      <c r="BA29" s="2204" t="s">
        <v>425</v>
      </c>
      <c r="BB29" s="572" t="str">
        <f>IF(OR(AND(D29="",I29="",M29="",R29="",W29="",AB29="",AG29=""),AND(D29&lt;&gt;"",OR(I29&lt;&gt;"",M29&lt;&gt;"",R29&lt;&gt;"",W29&lt;&gt;"",AB29&lt;&gt;"",AG29&lt;&gt;""))),"○","×")</f>
        <v>○</v>
      </c>
      <c r="BC29" s="572" t="str">
        <f>IF(AND(BD29="○",BE29="○",BF29="○",BG29="○",BH29="○",BI29="○"),"○","×")</f>
        <v>○</v>
      </c>
      <c r="BD29" s="573" t="str">
        <f>IF(AND($I$7=" ",OR(I29&lt;&gt;"",K29&lt;&gt;"",L29&lt;&gt;"")),"×","○")</f>
        <v>○</v>
      </c>
      <c r="BE29" s="573" t="str">
        <f>IF(AND($M$7=" ",OR(M29&lt;&gt;"",O29&lt;&gt;"",P29&lt;&gt;"",Q29&lt;&gt;"")),"×","○")</f>
        <v>○</v>
      </c>
      <c r="BF29" s="573" t="str">
        <f>IF(AND($R$7=" ",OR(R29&lt;&gt;"",T29&lt;&gt;"",U29&lt;&gt;"",V29&lt;&gt;"")),"×","○")</f>
        <v>○</v>
      </c>
      <c r="BG29" s="573" t="str">
        <f>IF(AND($W$7=" ",OR(W29&lt;&gt;"",Y29&lt;&gt;"",Z29&lt;&gt;"",AA29&lt;&gt;"")),"×","○")</f>
        <v>○</v>
      </c>
      <c r="BH29" s="573" t="str">
        <f>IF(AND($AB$7=" ",OR(AB29&lt;&gt;"",AD29&lt;&gt;"",AE29&lt;&gt;"",AF29&lt;&gt;"")),"×","○")</f>
        <v>○</v>
      </c>
      <c r="BI29" s="573" t="str">
        <f>IF(AND($AG$7=" ",OR(AG29&lt;&gt;"",AI29&lt;&gt;"",AJ29&lt;&gt;"")),"×","○")</f>
        <v>○</v>
      </c>
      <c r="BJ29" s="2472" t="e">
        <f>SUMPRODUCT(1/COUNTIF(I29:AH29,"宿泊"))</f>
        <v>#DIV/0!</v>
      </c>
      <c r="BK29" s="2473" t="e">
        <f>SUMPRODUCT(1/COUNTIF(I29:AH29,"日帰り"))</f>
        <v>#DIV/0!</v>
      </c>
      <c r="BL29" s="1584">
        <f>COUNT(BJ29)-COUNT(BK29)</f>
        <v>0</v>
      </c>
      <c r="BM29" s="599"/>
      <c r="BO29" s="2106" t="s">
        <v>84</v>
      </c>
      <c r="BP29" s="2145"/>
      <c r="BQ29" s="2145"/>
      <c r="BR29" s="2146"/>
      <c r="BS29" s="2108">
        <f>COUNTIFS($G$15:$G$74,"○",$F$15:$F$74,"中学生",$I$15:$I$74,"宿泊")</f>
        <v>0</v>
      </c>
      <c r="BT29" s="2109"/>
      <c r="BU29" s="2110">
        <f>COUNTIFS($H$15:$H$74,"○",$F$15:$F$74,"中学生",$I$15:$I$74,"宿泊")</f>
        <v>0</v>
      </c>
      <c r="BV29" s="2111"/>
      <c r="BW29" s="2112">
        <f>COUNTIFS($G$15:$G$74,"○",$F$15:$F$74,"中学生",$M$15:$M$74,"宿泊")</f>
        <v>0</v>
      </c>
      <c r="BX29" s="2109"/>
      <c r="BY29" s="2110">
        <f>COUNTIFS($H$15:$H$74,"○",$F$15:$F$74,"中学生",$M$15:$M$74,"宿泊")</f>
        <v>0</v>
      </c>
      <c r="BZ29" s="2111"/>
      <c r="CA29" s="2112">
        <f>COUNTIFS($G$15:$G$74,"○",$F$15:$F$74,"中学生",$R$15:$R$74,"宿泊")</f>
        <v>0</v>
      </c>
      <c r="CB29" s="2109"/>
      <c r="CC29" s="2110">
        <f>COUNTIFS($H$15:$H$74,"○",$F$15:$F$74,"中学生",$R$15:$R$74,"宿泊")</f>
        <v>0</v>
      </c>
      <c r="CD29" s="2111"/>
      <c r="CE29" s="2112">
        <f>COUNTIFS($G$15:$G$74,"○",$F$15:$F$74,"中学生",$W$15:$W$74,"宿泊")</f>
        <v>0</v>
      </c>
      <c r="CF29" s="2109"/>
      <c r="CG29" s="2110">
        <f>COUNTIFS($H$15:$H$74,"○",$F$15:$F$74,"中学生",$W$15:$W$74,"宿泊")</f>
        <v>0</v>
      </c>
      <c r="CH29" s="2111"/>
      <c r="CI29" s="2112">
        <f>COUNTIFS($G$15:$G$74,"○",$F$15:$F$74,"中学生",$AB$15:$AB$74,"宿泊")</f>
        <v>0</v>
      </c>
      <c r="CJ29" s="2109"/>
      <c r="CK29" s="2110">
        <f>COUNTIFS($H$15:$H$74,"○",$F$15:$F$74,"中学生",$AB$15:$AB$74,"宿泊")</f>
        <v>0</v>
      </c>
      <c r="CL29" s="2111"/>
      <c r="CM29" s="2112">
        <f>COUNTIFS($G$15:$G$74,"○",$F$15:$F$74,"中学生",$AG$15:$AG$74,"宿泊")</f>
        <v>0</v>
      </c>
      <c r="CN29" s="2109"/>
      <c r="CO29" s="2110">
        <f>COUNTIFS($H$15:$H$74,"○",$F$15:$F$74,"中学生",$AG$15:$AG$74,"宿泊")</f>
        <v>0</v>
      </c>
      <c r="CP29" s="2111"/>
    </row>
    <row r="30" spans="1:94" ht="14.1" customHeight="1" x14ac:dyDescent="0.15">
      <c r="A30" s="572"/>
      <c r="B30" s="2421"/>
      <c r="C30" s="2359"/>
      <c r="D30" s="2231"/>
      <c r="E30" s="2229"/>
      <c r="F30" s="2242"/>
      <c r="G30" s="2363"/>
      <c r="H30" s="2291"/>
      <c r="I30" s="2286"/>
      <c r="J30" s="2287"/>
      <c r="K30" s="2289"/>
      <c r="L30" s="2367"/>
      <c r="M30" s="2286"/>
      <c r="N30" s="2287"/>
      <c r="O30" s="2289"/>
      <c r="P30" s="2289"/>
      <c r="Q30" s="2291"/>
      <c r="R30" s="2286"/>
      <c r="S30" s="2287"/>
      <c r="T30" s="2289"/>
      <c r="U30" s="2289"/>
      <c r="V30" s="2291"/>
      <c r="W30" s="2401"/>
      <c r="X30" s="2402"/>
      <c r="Y30" s="2396"/>
      <c r="Z30" s="2396"/>
      <c r="AA30" s="2398"/>
      <c r="AB30" s="2401"/>
      <c r="AC30" s="2402"/>
      <c r="AD30" s="2396"/>
      <c r="AE30" s="2396"/>
      <c r="AF30" s="2398"/>
      <c r="AG30" s="2401"/>
      <c r="AH30" s="2402"/>
      <c r="AI30" s="2396"/>
      <c r="AJ30" s="2398"/>
      <c r="AK30" s="2235"/>
      <c r="AL30" s="2236"/>
      <c r="AM30" s="2236"/>
      <c r="AN30" s="2237"/>
      <c r="AO30" s="2235"/>
      <c r="AP30" s="2236"/>
      <c r="AQ30" s="2236"/>
      <c r="AR30" s="2237"/>
      <c r="AS30" s="571"/>
      <c r="AT30" s="572"/>
      <c r="AU30" s="2204"/>
      <c r="AV30" s="2204"/>
      <c r="AW30" s="2204"/>
      <c r="AX30" s="2204"/>
      <c r="AY30" s="2204"/>
      <c r="AZ30" s="2204"/>
      <c r="BA30" s="2204"/>
      <c r="BB30" s="574"/>
      <c r="BC30" s="574"/>
      <c r="BD30" s="572"/>
      <c r="BE30" s="572"/>
      <c r="BF30" s="572"/>
      <c r="BG30" s="572"/>
      <c r="BH30" s="572"/>
      <c r="BI30" s="572"/>
      <c r="BJ30" s="2472"/>
      <c r="BK30" s="2473"/>
      <c r="BL30" s="1584"/>
      <c r="BM30" s="599"/>
      <c r="BO30" s="2106" t="s">
        <v>285</v>
      </c>
      <c r="BP30" s="2145"/>
      <c r="BQ30" s="2145"/>
      <c r="BR30" s="2146"/>
      <c r="BS30" s="2108">
        <f>COUNTIFS($G$15:$G$74,"○",$F$15:$F$74,"高校生(～18歳)",$I$15:$I$74,"宿泊")</f>
        <v>0</v>
      </c>
      <c r="BT30" s="2109"/>
      <c r="BU30" s="2110">
        <f>COUNTIFS($H$15:$H$74,"○",$F$15:$F$74,"高校生(～18歳)",$I$15:$I$74,"宿泊")</f>
        <v>0</v>
      </c>
      <c r="BV30" s="2111"/>
      <c r="BW30" s="2112">
        <f>COUNTIFS($G$15:$G$74,"○",$F$15:$F$74,"高校生(～18歳)",$M$15:$M$74,"宿泊")</f>
        <v>0</v>
      </c>
      <c r="BX30" s="2109"/>
      <c r="BY30" s="2110">
        <f>COUNTIFS($H$15:$H$74,"○",$F$15:$F$74,"高校生(～18歳)",$M$15:$M$74,"宿泊")</f>
        <v>0</v>
      </c>
      <c r="BZ30" s="2111"/>
      <c r="CA30" s="2112">
        <f>COUNTIFS($G$15:$G$74,"○",$F$15:$F$74,"高校生(～18歳)",$R$15:$R$74,"宿泊")</f>
        <v>0</v>
      </c>
      <c r="CB30" s="2109"/>
      <c r="CC30" s="2110">
        <f>COUNTIFS($H$15:$H$74,"○",$F$15:$F$74,"高校生(～18歳)",$R$15:$R$74,"宿泊")</f>
        <v>0</v>
      </c>
      <c r="CD30" s="2111"/>
      <c r="CE30" s="2112">
        <f>COUNTIFS($G$15:$G$74,"○",$F$15:$F$74,"高校生(～18歳)",$W$15:$W$74,"宿泊")</f>
        <v>0</v>
      </c>
      <c r="CF30" s="2109"/>
      <c r="CG30" s="2110">
        <f>COUNTIFS($H$15:$H$74,"○",$F$15:$F$74,"高校生(～18歳)",$W$15:$W$74,"宿泊")</f>
        <v>0</v>
      </c>
      <c r="CH30" s="2111"/>
      <c r="CI30" s="2112">
        <f>COUNTIFS($G$15:$G$74,"○",$F$15:$F$74,"高校生(～18歳)",$AB$15:$AB$74,"宿泊")</f>
        <v>0</v>
      </c>
      <c r="CJ30" s="2109"/>
      <c r="CK30" s="2110">
        <f>COUNTIFS($H$15:$H$74,"○",$F$15:$F$74,"高校生(～18歳)",$AB$15:$AB$74,"宿泊")</f>
        <v>0</v>
      </c>
      <c r="CL30" s="2111"/>
      <c r="CM30" s="2112">
        <f>COUNTIFS($G$15:$G$74,"○",$F$15:$F$74,"高校生(～18歳)",$AG$15:$AG$74,"宿泊")</f>
        <v>0</v>
      </c>
      <c r="CN30" s="2109"/>
      <c r="CO30" s="2110">
        <f>COUNTIFS($H$15:$H$74,"○",$F$15:$F$74,"高校生(～18歳)",$AG$15:$AG$74,"宿泊")</f>
        <v>0</v>
      </c>
      <c r="CP30" s="2111"/>
    </row>
    <row r="31" spans="1:94" ht="14.1" customHeight="1" x14ac:dyDescent="0.15">
      <c r="A31" s="572" t="str">
        <f>IF(AND(D31="",D33&lt;&gt;""),"×","○")</f>
        <v>○</v>
      </c>
      <c r="B31" s="2421" t="str">
        <f>IF(AND(AT31="○",BB31="○",BC31="○",A31="○"),"○","×")</f>
        <v>○</v>
      </c>
      <c r="C31" s="2390">
        <v>9</v>
      </c>
      <c r="D31" s="2230"/>
      <c r="E31" s="2228"/>
      <c r="F31" s="2241"/>
      <c r="G31" s="2362"/>
      <c r="H31" s="2345"/>
      <c r="I31" s="2284"/>
      <c r="J31" s="2285"/>
      <c r="K31" s="2288"/>
      <c r="L31" s="2392"/>
      <c r="M31" s="2346"/>
      <c r="N31" s="2347"/>
      <c r="O31" s="2344"/>
      <c r="P31" s="2344"/>
      <c r="Q31" s="2345"/>
      <c r="R31" s="2346"/>
      <c r="S31" s="2347"/>
      <c r="T31" s="2344"/>
      <c r="U31" s="2344"/>
      <c r="V31" s="2345"/>
      <c r="W31" s="2399"/>
      <c r="X31" s="2400"/>
      <c r="Y31" s="2395"/>
      <c r="Z31" s="2395"/>
      <c r="AA31" s="2397"/>
      <c r="AB31" s="2399"/>
      <c r="AC31" s="2400"/>
      <c r="AD31" s="2395"/>
      <c r="AE31" s="2395"/>
      <c r="AF31" s="2397"/>
      <c r="AG31" s="2399"/>
      <c r="AH31" s="2400"/>
      <c r="AI31" s="2395"/>
      <c r="AJ31" s="2397"/>
      <c r="AK31" s="2267"/>
      <c r="AL31" s="2268"/>
      <c r="AM31" s="2268"/>
      <c r="AN31" s="2269"/>
      <c r="AO31" s="2232"/>
      <c r="AP31" s="2233"/>
      <c r="AQ31" s="2233"/>
      <c r="AR31" s="2234"/>
      <c r="AS31" s="571"/>
      <c r="AT31" s="572" t="str">
        <f>IF(OR(AND(D31&lt;&gt;"",OR(AND(E31&lt;&gt;"",F31&lt;&gt;"",OR(G31&lt;&gt;"",H31&lt;&gt;"")),AND(E31="",F31="バス・カメラマン等"))),AND(D31="",E31="",F31="",OR(G31="",H31=""))),"○","×")</f>
        <v>○</v>
      </c>
      <c r="AU31" s="2204" t="str">
        <f>IF(AND(E31&lt;&gt;"",E31&lt;=2),"2歳児以下","")</f>
        <v/>
      </c>
      <c r="AV31" s="2204" t="str">
        <f>IF(OR(AND(3&lt;=E31,E31&lt;=6),COUNTIF(E31, "幼*"),COUNTIF(E31, "年少"),COUNTIF(E31, "年中"),COUNTIF(E31, "年長")),"3歳-学齢前","")</f>
        <v/>
      </c>
      <c r="AW31" s="2204" t="str">
        <f>IF(OR(AND(6&lt;=E31,E31&lt;=12),COUNTIF(E31, "小*")),"小学生","")</f>
        <v/>
      </c>
      <c r="AX31" s="2204" t="str">
        <f>IF(OR(AND(12&lt;=E31,E31&lt;=15),COUNTIF(E31, "中*")),"中学生","")</f>
        <v/>
      </c>
      <c r="AY31" s="2204" t="str">
        <f>IF(OR(AND(15&lt;=E31,E31&lt;=18),COUNTIF(E31, "高*")),"高校生(～18歳)","")</f>
        <v/>
      </c>
      <c r="AZ31" s="2204" t="str">
        <f>IF(OR(19&lt;=E31,COUNTIF(E31, "大*"),COUNTIF(E31, "*院*"),COUNTIF(E31, "*専*")),"一般(19歳～)","")</f>
        <v/>
      </c>
      <c r="BA31" s="2204" t="s">
        <v>425</v>
      </c>
      <c r="BB31" s="572" t="str">
        <f>IF(OR(AND(D31="",I31="",M31="",R31="",W31="",AB31="",AG31=""),AND(D31&lt;&gt;"",OR(I31&lt;&gt;"",M31&lt;&gt;"",R31&lt;&gt;"",W31&lt;&gt;"",AB31&lt;&gt;"",AG31&lt;&gt;""))),"○","×")</f>
        <v>○</v>
      </c>
      <c r="BC31" s="572" t="str">
        <f>IF(AND(BD31="○",BE31="○",BF31="○",BG31="○",BH31="○",BI31="○"),"○","×")</f>
        <v>○</v>
      </c>
      <c r="BD31" s="573" t="str">
        <f>IF(AND($I$7=" ",OR(I31&lt;&gt;"",K31&lt;&gt;"",L31&lt;&gt;"")),"×","○")</f>
        <v>○</v>
      </c>
      <c r="BE31" s="573" t="str">
        <f>IF(AND($M$7=" ",OR(M31&lt;&gt;"",O31&lt;&gt;"",P31&lt;&gt;"",Q31&lt;&gt;"")),"×","○")</f>
        <v>○</v>
      </c>
      <c r="BF31" s="573" t="str">
        <f>IF(AND($R$7=" ",OR(R31&lt;&gt;"",T31&lt;&gt;"",U31&lt;&gt;"",V31&lt;&gt;"")),"×","○")</f>
        <v>○</v>
      </c>
      <c r="BG31" s="573" t="str">
        <f>IF(AND($W$7=" ",OR(W31&lt;&gt;"",Y31&lt;&gt;"",Z31&lt;&gt;"",AA31&lt;&gt;"")),"×","○")</f>
        <v>○</v>
      </c>
      <c r="BH31" s="573" t="str">
        <f>IF(AND($AB$7=" ",OR(AB31&lt;&gt;"",AD31&lt;&gt;"",AE31&lt;&gt;"",AF31&lt;&gt;"")),"×","○")</f>
        <v>○</v>
      </c>
      <c r="BI31" s="573" t="str">
        <f>IF(AND($AG$7=" ",OR(AG31&lt;&gt;"",AI31&lt;&gt;"",AJ31&lt;&gt;"")),"×","○")</f>
        <v>○</v>
      </c>
      <c r="BJ31" s="2472" t="e">
        <f>SUMPRODUCT(1/COUNTIF(I31:AH31,"宿泊"))</f>
        <v>#DIV/0!</v>
      </c>
      <c r="BK31" s="2473" t="e">
        <f>SUMPRODUCT(1/COUNTIF(I31:AH31,"日帰り"))</f>
        <v>#DIV/0!</v>
      </c>
      <c r="BL31" s="1584">
        <f>COUNT(BJ31)-COUNT(BK31)</f>
        <v>0</v>
      </c>
      <c r="BM31" s="599"/>
      <c r="BO31" s="2106" t="s">
        <v>286</v>
      </c>
      <c r="BP31" s="2145"/>
      <c r="BQ31" s="2145"/>
      <c r="BR31" s="2146"/>
      <c r="BS31" s="2108">
        <f>COUNTIFS($G$15:$G$74,"○",$F$15:$F$74,"一般(19歳～)",$I$15:$I$74,"宿泊")</f>
        <v>0</v>
      </c>
      <c r="BT31" s="2109"/>
      <c r="BU31" s="2110">
        <f>COUNTIFS($H$15:$H$74,"○",$F$15:$F$74,"一般(19歳～)",$I$15:$I$74,"宿泊")</f>
        <v>0</v>
      </c>
      <c r="BV31" s="2111"/>
      <c r="BW31" s="2112">
        <f>COUNTIFS($G$15:$G$74,"○",$F$15:$F$74,"一般(19歳～)",$M$15:$M$74,"宿泊")</f>
        <v>0</v>
      </c>
      <c r="BX31" s="2109"/>
      <c r="BY31" s="2110">
        <f>COUNTIFS($H$15:$H$74,"○",$F$15:$F$74,"一般(19歳～)",$M$15:$M$74,"宿泊")</f>
        <v>0</v>
      </c>
      <c r="BZ31" s="2111"/>
      <c r="CA31" s="2112">
        <f>COUNTIFS($G$15:$G$74,"○",$F$15:$F$74,"一般(19歳～)",$R$15:$R$74,"宿泊")</f>
        <v>0</v>
      </c>
      <c r="CB31" s="2109"/>
      <c r="CC31" s="2110">
        <f>COUNTIFS($H$15:$H$74,"○",$F$15:$F$74,"一般(19歳～)",$R$15:$R$74,"宿泊")</f>
        <v>0</v>
      </c>
      <c r="CD31" s="2111"/>
      <c r="CE31" s="2112">
        <f>COUNTIFS($G$15:$G$74,"○",$F$15:$F$74,"一般(19歳～)",$W$15:$W$74,"宿泊")</f>
        <v>0</v>
      </c>
      <c r="CF31" s="2109"/>
      <c r="CG31" s="2110">
        <f>COUNTIFS($H$15:$H$74,"○",$F$15:$F$74,"一般(19歳～)",$W$15:$W$74,"宿泊")</f>
        <v>0</v>
      </c>
      <c r="CH31" s="2111"/>
      <c r="CI31" s="2112">
        <f>COUNTIFS($G$15:$G$74,"○",$F$15:$F$74,"一般(19歳～)",$AB$15:$AB$74,"宿泊")</f>
        <v>0</v>
      </c>
      <c r="CJ31" s="2109"/>
      <c r="CK31" s="2110">
        <f>COUNTIFS($H$15:$H$74,"○",$F$15:$F$74,"一般(19歳～)",$AB$15:$AB$74,"宿泊")</f>
        <v>0</v>
      </c>
      <c r="CL31" s="2111"/>
      <c r="CM31" s="2112">
        <f>COUNTIFS($G$15:$G$74,"○",$F$15:$F$74,"一般(19歳～)",$AG$15:$AG$74,"宿泊")</f>
        <v>0</v>
      </c>
      <c r="CN31" s="2109"/>
      <c r="CO31" s="2110">
        <f>COUNTIFS($H$15:$H$74,"○",$F$15:$F$74,"一般(19歳～)",$AG$15:$AG$74,"宿泊")</f>
        <v>0</v>
      </c>
      <c r="CP31" s="2111"/>
    </row>
    <row r="32" spans="1:94" ht="14.1" customHeight="1" thickBot="1" x14ac:dyDescent="0.2">
      <c r="A32" s="572"/>
      <c r="B32" s="2421"/>
      <c r="C32" s="2359"/>
      <c r="D32" s="2231"/>
      <c r="E32" s="2229"/>
      <c r="F32" s="2242"/>
      <c r="G32" s="2363"/>
      <c r="H32" s="2291"/>
      <c r="I32" s="2286"/>
      <c r="J32" s="2287"/>
      <c r="K32" s="2289"/>
      <c r="L32" s="2367"/>
      <c r="M32" s="2286"/>
      <c r="N32" s="2287"/>
      <c r="O32" s="2289"/>
      <c r="P32" s="2289"/>
      <c r="Q32" s="2291"/>
      <c r="R32" s="2286"/>
      <c r="S32" s="2287"/>
      <c r="T32" s="2289"/>
      <c r="U32" s="2289"/>
      <c r="V32" s="2291"/>
      <c r="W32" s="2401"/>
      <c r="X32" s="2402"/>
      <c r="Y32" s="2396"/>
      <c r="Z32" s="2396"/>
      <c r="AA32" s="2398"/>
      <c r="AB32" s="2401"/>
      <c r="AC32" s="2402"/>
      <c r="AD32" s="2396"/>
      <c r="AE32" s="2396"/>
      <c r="AF32" s="2398"/>
      <c r="AG32" s="2401"/>
      <c r="AH32" s="2402"/>
      <c r="AI32" s="2396"/>
      <c r="AJ32" s="2398"/>
      <c r="AK32" s="2235"/>
      <c r="AL32" s="2236"/>
      <c r="AM32" s="2236"/>
      <c r="AN32" s="2237"/>
      <c r="AO32" s="2235"/>
      <c r="AP32" s="2236"/>
      <c r="AQ32" s="2236"/>
      <c r="AR32" s="2237"/>
      <c r="AS32" s="571"/>
      <c r="AT32" s="572"/>
      <c r="AU32" s="2204"/>
      <c r="AV32" s="2204"/>
      <c r="AW32" s="2204"/>
      <c r="AX32" s="2204"/>
      <c r="AY32" s="2204"/>
      <c r="AZ32" s="2204"/>
      <c r="BA32" s="2204"/>
      <c r="BB32" s="574"/>
      <c r="BC32" s="574"/>
      <c r="BD32" s="572"/>
      <c r="BE32" s="572"/>
      <c r="BF32" s="572"/>
      <c r="BG32" s="572"/>
      <c r="BH32" s="572"/>
      <c r="BI32" s="572"/>
      <c r="BJ32" s="2472"/>
      <c r="BK32" s="2473"/>
      <c r="BL32" s="1584"/>
      <c r="BM32" s="599"/>
      <c r="BO32" s="2147" t="s">
        <v>454</v>
      </c>
      <c r="BP32" s="2148"/>
      <c r="BQ32" s="2148"/>
      <c r="BR32" s="2149"/>
      <c r="BS32" s="2135">
        <f>COUNTIFS($G$15:$G$74,"○",$F$15:$F$74,"バス・カメラマン等",$I$15:$I$74,"宿泊")</f>
        <v>0</v>
      </c>
      <c r="BT32" s="2136"/>
      <c r="BU32" s="2137">
        <f>COUNTIFS($H$15:$H$74,"○",$F$15:$F$74,"バス・カメラマン等",$I$15:$I$74,"宿泊")</f>
        <v>0</v>
      </c>
      <c r="BV32" s="2138"/>
      <c r="BW32" s="2139">
        <f>COUNTIFS($G$15:$G$74,"○",$F$15:$F$74,"バス・カメラマン等",$M$15:$M$74,"宿泊")</f>
        <v>0</v>
      </c>
      <c r="BX32" s="2136"/>
      <c r="BY32" s="2137">
        <f>COUNTIFS($H$15:$H$74,"○",$F$15:$F$74,"バス・カメラマン等",$M$15:$M$74,"宿泊")</f>
        <v>0</v>
      </c>
      <c r="BZ32" s="2138"/>
      <c r="CA32" s="2139">
        <f>COUNTIFS($G$15:$G$74,"○",$F$15:$F$74,"バス・カメラマン等",$R$15:$R$74,"宿泊")</f>
        <v>0</v>
      </c>
      <c r="CB32" s="2136"/>
      <c r="CC32" s="2137">
        <f>COUNTIFS($H$15:$H$74,"○",$F$15:$F$74,"バス・カメラマン等",$R$15:$R$74,"宿泊")</f>
        <v>0</v>
      </c>
      <c r="CD32" s="2138"/>
      <c r="CE32" s="2139">
        <f>COUNTIFS($G$15:$G$74,"○",$F$15:$F$74,"バス・カメラマン等",$W$15:$W$74,"宿泊")</f>
        <v>0</v>
      </c>
      <c r="CF32" s="2136"/>
      <c r="CG32" s="2137">
        <f>COUNTIFS($H$15:$H$74,"○",$F$15:$F$74,"バス・カメラマン等",$W$15:$W$74,"宿泊")</f>
        <v>0</v>
      </c>
      <c r="CH32" s="2138"/>
      <c r="CI32" s="2139">
        <f>COUNTIFS($G$15:$G$74,"○",$F$15:$F$74,"バス・カメラマン等",$AB$15:$AB$74,"宿泊")</f>
        <v>0</v>
      </c>
      <c r="CJ32" s="2136"/>
      <c r="CK32" s="2137">
        <f>COUNTIFS($H$15:$H$74,"○",$F$15:$F$74,"バス・カメラマン等",$AB$15:$AB$74,"宿泊")</f>
        <v>0</v>
      </c>
      <c r="CL32" s="2138"/>
      <c r="CM32" s="2139">
        <f>COUNTIFS($G$15:$G$74,"○",$F$15:$F$74,"バス・カメラマン等",$AG$15:$AG$74,"宿泊")</f>
        <v>0</v>
      </c>
      <c r="CN32" s="2136"/>
      <c r="CO32" s="2137">
        <f>COUNTIFS($H$15:$H$74,"○",$F$15:$F$74,"バス・カメラマン等",$AG$15:$AG$74,"宿泊")</f>
        <v>0</v>
      </c>
      <c r="CP32" s="2138"/>
    </row>
    <row r="33" spans="1:94" ht="14.1" customHeight="1" thickBot="1" x14ac:dyDescent="0.2">
      <c r="A33" s="572" t="str">
        <f>IF(AND(D33="",D35&lt;&gt;""),"×","○")</f>
        <v>○</v>
      </c>
      <c r="B33" s="2421" t="str">
        <f>IF(AND(AT33="○",BB33="○",BC33="○",A33="○"),"○","×")</f>
        <v>○</v>
      </c>
      <c r="C33" s="2390">
        <v>10</v>
      </c>
      <c r="D33" s="2230"/>
      <c r="E33" s="2228"/>
      <c r="F33" s="2241"/>
      <c r="G33" s="2362"/>
      <c r="H33" s="2345"/>
      <c r="I33" s="2284"/>
      <c r="J33" s="2285"/>
      <c r="K33" s="2288"/>
      <c r="L33" s="2392"/>
      <c r="M33" s="2346"/>
      <c r="N33" s="2347"/>
      <c r="O33" s="2344"/>
      <c r="P33" s="2344"/>
      <c r="Q33" s="2345"/>
      <c r="R33" s="2346"/>
      <c r="S33" s="2347"/>
      <c r="T33" s="2344"/>
      <c r="U33" s="2344"/>
      <c r="V33" s="2345"/>
      <c r="W33" s="2399"/>
      <c r="X33" s="2400"/>
      <c r="Y33" s="2395"/>
      <c r="Z33" s="2395"/>
      <c r="AA33" s="2397"/>
      <c r="AB33" s="2399"/>
      <c r="AC33" s="2400"/>
      <c r="AD33" s="2395"/>
      <c r="AE33" s="2395"/>
      <c r="AF33" s="2397"/>
      <c r="AG33" s="2399"/>
      <c r="AH33" s="2400"/>
      <c r="AI33" s="2395"/>
      <c r="AJ33" s="2397"/>
      <c r="AK33" s="2267"/>
      <c r="AL33" s="2268"/>
      <c r="AM33" s="2268"/>
      <c r="AN33" s="2269"/>
      <c r="AO33" s="2232"/>
      <c r="AP33" s="2233"/>
      <c r="AQ33" s="2233"/>
      <c r="AR33" s="2234"/>
      <c r="AS33" s="571"/>
      <c r="AT33" s="572" t="str">
        <f>IF(OR(AND(D33&lt;&gt;"",OR(AND(E33&lt;&gt;"",F33&lt;&gt;"",OR(G33&lt;&gt;"",H33&lt;&gt;"")),AND(E33="",F33="バス・カメラマン等"))),AND(D33="",E33="",F33="",OR(G33="",H33=""))),"○","×")</f>
        <v>○</v>
      </c>
      <c r="AU33" s="2204" t="str">
        <f>IF(AND(E33&lt;&gt;"",E33&lt;=2),"2歳児以下","")</f>
        <v/>
      </c>
      <c r="AV33" s="2204" t="str">
        <f>IF(OR(AND(3&lt;=E33,E33&lt;=6),COUNTIF(E33, "幼*"),COUNTIF(E33, "年少"),COUNTIF(E33, "年中"),COUNTIF(E33, "年長")),"3歳-学齢前","")</f>
        <v/>
      </c>
      <c r="AW33" s="2204" t="str">
        <f>IF(OR(AND(6&lt;=E33,E33&lt;=12),COUNTIF(E33, "小*")),"小学生","")</f>
        <v/>
      </c>
      <c r="AX33" s="2204" t="str">
        <f>IF(OR(AND(12&lt;=E33,E33&lt;=15),COUNTIF(E33, "中*")),"中学生","")</f>
        <v/>
      </c>
      <c r="AY33" s="2204" t="str">
        <f>IF(OR(AND(15&lt;=E33,E33&lt;=18),COUNTIF(E33, "高*")),"高校生(～18歳)","")</f>
        <v/>
      </c>
      <c r="AZ33" s="2204" t="str">
        <f>IF(OR(19&lt;=E33,COUNTIF(E33, "大*"),COUNTIF(E33, "*院*"),COUNTIF(E33, "*専*")),"一般(19歳～)","")</f>
        <v/>
      </c>
      <c r="BA33" s="2204" t="s">
        <v>425</v>
      </c>
      <c r="BB33" s="572" t="str">
        <f>IF(OR(AND(D33="",I33="",M33="",R33="",W33="",AB33="",AG33=""),AND(D33&lt;&gt;"",OR(I33&lt;&gt;"",M33&lt;&gt;"",R33&lt;&gt;"",W33&lt;&gt;"",AB33&lt;&gt;"",AG33&lt;&gt;""))),"○","×")</f>
        <v>○</v>
      </c>
      <c r="BC33" s="572" t="str">
        <f>IF(AND(BD33="○",BE33="○",BF33="○",BG33="○",BH33="○",BI33="○"),"○","×")</f>
        <v>○</v>
      </c>
      <c r="BD33" s="573" t="str">
        <f>IF(AND($I$7=" ",OR(I33&lt;&gt;"",K33&lt;&gt;"",L33&lt;&gt;"")),"×","○")</f>
        <v>○</v>
      </c>
      <c r="BE33" s="573" t="str">
        <f>IF(AND($M$7=" ",OR(M33&lt;&gt;"",O33&lt;&gt;"",P33&lt;&gt;"",Q33&lt;&gt;"")),"×","○")</f>
        <v>○</v>
      </c>
      <c r="BF33" s="573" t="str">
        <f>IF(AND($R$7=" ",OR(R33&lt;&gt;"",T33&lt;&gt;"",U33&lt;&gt;"",V33&lt;&gt;"")),"×","○")</f>
        <v>○</v>
      </c>
      <c r="BG33" s="573" t="str">
        <f>IF(AND($W$7=" ",OR(W33&lt;&gt;"",Y33&lt;&gt;"",Z33&lt;&gt;"",AA33&lt;&gt;"")),"×","○")</f>
        <v>○</v>
      </c>
      <c r="BH33" s="573" t="str">
        <f>IF(AND($AB$7=" ",OR(AB33&lt;&gt;"",AD33&lt;&gt;"",AE33&lt;&gt;"",AF33&lt;&gt;"")),"×","○")</f>
        <v>○</v>
      </c>
      <c r="BI33" s="573" t="str">
        <f>IF(AND($AG$7=" ",OR(AG33&lt;&gt;"",AI33&lt;&gt;"",AJ33&lt;&gt;"")),"×","○")</f>
        <v>○</v>
      </c>
      <c r="BJ33" s="2472" t="e">
        <f>SUMPRODUCT(1/COUNTIF(I33:AH33,"宿泊"))</f>
        <v>#DIV/0!</v>
      </c>
      <c r="BK33" s="2473" t="e">
        <f>SUMPRODUCT(1/COUNTIF(I33:AH33,"日帰り"))</f>
        <v>#DIV/0!</v>
      </c>
      <c r="BL33" s="1584">
        <f>COUNT(BJ33)-COUNT(BK33)</f>
        <v>0</v>
      </c>
      <c r="BM33" s="599"/>
      <c r="BN33" s="581"/>
      <c r="BO33" s="581"/>
      <c r="BP33" s="580"/>
      <c r="BQ33" s="582"/>
      <c r="BR33" s="582"/>
      <c r="BS33" s="580"/>
      <c r="BT33" s="583"/>
      <c r="BU33" s="583"/>
      <c r="BV33" s="583"/>
      <c r="BW33" s="583"/>
      <c r="BX33" s="583"/>
      <c r="BY33" s="583"/>
      <c r="BZ33" s="583"/>
      <c r="CA33" s="583"/>
      <c r="CB33" s="583"/>
      <c r="CC33" s="583"/>
      <c r="CD33" s="583"/>
      <c r="CE33" s="583"/>
      <c r="CF33" s="583"/>
      <c r="CG33" s="583"/>
      <c r="CH33" s="583"/>
      <c r="CI33" s="583"/>
      <c r="CJ33" s="583"/>
      <c r="CK33" s="583"/>
      <c r="CL33" s="583"/>
      <c r="CM33" s="583"/>
      <c r="CN33" s="583"/>
      <c r="CO33" s="583"/>
      <c r="CP33" s="583"/>
    </row>
    <row r="34" spans="1:94" ht="14.1" customHeight="1" thickBot="1" x14ac:dyDescent="0.2">
      <c r="A34" s="572"/>
      <c r="B34" s="2421"/>
      <c r="C34" s="2359"/>
      <c r="D34" s="2231"/>
      <c r="E34" s="2229"/>
      <c r="F34" s="2242"/>
      <c r="G34" s="2363"/>
      <c r="H34" s="2291"/>
      <c r="I34" s="2286"/>
      <c r="J34" s="2287"/>
      <c r="K34" s="2289"/>
      <c r="L34" s="2367"/>
      <c r="M34" s="2286"/>
      <c r="N34" s="2287"/>
      <c r="O34" s="2289"/>
      <c r="P34" s="2289"/>
      <c r="Q34" s="2291"/>
      <c r="R34" s="2286"/>
      <c r="S34" s="2287"/>
      <c r="T34" s="2289"/>
      <c r="U34" s="2289"/>
      <c r="V34" s="2291"/>
      <c r="W34" s="2401"/>
      <c r="X34" s="2402"/>
      <c r="Y34" s="2396"/>
      <c r="Z34" s="2396"/>
      <c r="AA34" s="2398"/>
      <c r="AB34" s="2401"/>
      <c r="AC34" s="2402"/>
      <c r="AD34" s="2396"/>
      <c r="AE34" s="2396"/>
      <c r="AF34" s="2398"/>
      <c r="AG34" s="2401"/>
      <c r="AH34" s="2402"/>
      <c r="AI34" s="2396"/>
      <c r="AJ34" s="2398"/>
      <c r="AK34" s="2235"/>
      <c r="AL34" s="2236"/>
      <c r="AM34" s="2236"/>
      <c r="AN34" s="2237"/>
      <c r="AO34" s="2235"/>
      <c r="AP34" s="2236"/>
      <c r="AQ34" s="2236"/>
      <c r="AR34" s="2237"/>
      <c r="AS34" s="571"/>
      <c r="AT34" s="572"/>
      <c r="AU34" s="2204"/>
      <c r="AV34" s="2204"/>
      <c r="AW34" s="2204"/>
      <c r="AX34" s="2204"/>
      <c r="AY34" s="2204"/>
      <c r="AZ34" s="2204"/>
      <c r="BA34" s="2204"/>
      <c r="BB34" s="574"/>
      <c r="BC34" s="574"/>
      <c r="BD34" s="572"/>
      <c r="BE34" s="572"/>
      <c r="BF34" s="572"/>
      <c r="BG34" s="572"/>
      <c r="BH34" s="572"/>
      <c r="BI34" s="572"/>
      <c r="BJ34" s="2472"/>
      <c r="BK34" s="2473"/>
      <c r="BL34" s="1584"/>
      <c r="BM34" s="599"/>
      <c r="BO34" s="2130" t="s">
        <v>455</v>
      </c>
      <c r="BP34" s="2130"/>
      <c r="BQ34" s="2130"/>
      <c r="BR34" s="2130"/>
      <c r="BS34" s="602"/>
      <c r="BT34" s="646" t="s">
        <v>151</v>
      </c>
      <c r="BU34" s="603" t="s">
        <v>150</v>
      </c>
      <c r="BV34" s="616" t="s">
        <v>287</v>
      </c>
      <c r="BW34" s="610"/>
      <c r="BX34" s="603" t="s">
        <v>151</v>
      </c>
      <c r="BY34" s="603" t="s">
        <v>150</v>
      </c>
      <c r="BZ34" s="616" t="s">
        <v>287</v>
      </c>
      <c r="CA34" s="610"/>
      <c r="CB34" s="603" t="s">
        <v>151</v>
      </c>
      <c r="CC34" s="603" t="s">
        <v>150</v>
      </c>
      <c r="CD34" s="616" t="s">
        <v>287</v>
      </c>
      <c r="CE34" s="610"/>
      <c r="CF34" s="603" t="s">
        <v>151</v>
      </c>
      <c r="CG34" s="603" t="s">
        <v>150</v>
      </c>
      <c r="CH34" s="616" t="s">
        <v>287</v>
      </c>
      <c r="CI34" s="610"/>
      <c r="CJ34" s="603" t="s">
        <v>151</v>
      </c>
      <c r="CK34" s="603" t="s">
        <v>150</v>
      </c>
      <c r="CL34" s="616" t="s">
        <v>287</v>
      </c>
      <c r="CM34" s="610"/>
      <c r="CN34" s="603" t="s">
        <v>151</v>
      </c>
      <c r="CO34" s="604" t="s">
        <v>150</v>
      </c>
      <c r="CP34" s="641" t="s">
        <v>287</v>
      </c>
    </row>
    <row r="35" spans="1:94" ht="14.1" customHeight="1" x14ac:dyDescent="0.15">
      <c r="A35" s="572" t="str">
        <f>IF(AND(D35="",D37&lt;&gt;""),"×","○")</f>
        <v>○</v>
      </c>
      <c r="B35" s="2421" t="str">
        <f>IF(AND(AT35="○",BB35="○",BC35="○",A35="○"),"○","×")</f>
        <v>○</v>
      </c>
      <c r="C35" s="2390">
        <v>11</v>
      </c>
      <c r="D35" s="2230"/>
      <c r="E35" s="2228"/>
      <c r="F35" s="2241"/>
      <c r="G35" s="2391"/>
      <c r="H35" s="2290"/>
      <c r="I35" s="2284"/>
      <c r="J35" s="2285"/>
      <c r="K35" s="2288"/>
      <c r="L35" s="2392"/>
      <c r="M35" s="2346"/>
      <c r="N35" s="2347"/>
      <c r="O35" s="2288"/>
      <c r="P35" s="2288"/>
      <c r="Q35" s="2290"/>
      <c r="R35" s="2346"/>
      <c r="S35" s="2347"/>
      <c r="T35" s="2288"/>
      <c r="U35" s="2288"/>
      <c r="V35" s="2290"/>
      <c r="W35" s="2399"/>
      <c r="X35" s="2400"/>
      <c r="Y35" s="2395"/>
      <c r="Z35" s="2395"/>
      <c r="AA35" s="2397"/>
      <c r="AB35" s="2399"/>
      <c r="AC35" s="2400"/>
      <c r="AD35" s="2395"/>
      <c r="AE35" s="2395"/>
      <c r="AF35" s="2397"/>
      <c r="AG35" s="2399"/>
      <c r="AH35" s="2400"/>
      <c r="AI35" s="2395"/>
      <c r="AJ35" s="2397"/>
      <c r="AK35" s="2267"/>
      <c r="AL35" s="2268"/>
      <c r="AM35" s="2268"/>
      <c r="AN35" s="2269"/>
      <c r="AO35" s="2232"/>
      <c r="AP35" s="2233"/>
      <c r="AQ35" s="2233"/>
      <c r="AR35" s="2234"/>
      <c r="AS35" s="571"/>
      <c r="AT35" s="572" t="str">
        <f>IF(OR(AND(D35&lt;&gt;"",OR(AND(E35&lt;&gt;"",F35&lt;&gt;"",OR(G35&lt;&gt;"",H35&lt;&gt;"")),AND(E35="",F35="バス・カメラマン等"))),AND(D35="",E35="",F35="",OR(G35="",H35=""))),"○","×")</f>
        <v>○</v>
      </c>
      <c r="AU35" s="2204" t="str">
        <f>IF(AND(E35&lt;&gt;"",E35&lt;=2),"2歳児以下","")</f>
        <v/>
      </c>
      <c r="AV35" s="2204" t="str">
        <f>IF(OR(AND(3&lt;=E35,E35&lt;=6),COUNTIF(E35, "幼*"),COUNTIF(E35, "年少"),COUNTIF(E35, "年中"),COUNTIF(E35, "年長")),"3歳-学齢前","")</f>
        <v/>
      </c>
      <c r="AW35" s="2204" t="str">
        <f>IF(OR(AND(6&lt;=E35,E35&lt;=12),COUNTIF(E35, "小*")),"小学生","")</f>
        <v/>
      </c>
      <c r="AX35" s="2204" t="str">
        <f>IF(OR(AND(12&lt;=E35,E35&lt;=15),COUNTIF(E35, "中*")),"中学生","")</f>
        <v/>
      </c>
      <c r="AY35" s="2204" t="str">
        <f>IF(OR(AND(15&lt;=E35,E35&lt;=18),COUNTIF(E35, "高*")),"高校生(～18歳)","")</f>
        <v/>
      </c>
      <c r="AZ35" s="2204" t="str">
        <f>IF(OR(19&lt;=E35,COUNTIF(E35, "大*"),COUNTIF(E35, "*院*"),COUNTIF(E35, "*専*")),"一般(19歳～)","")</f>
        <v/>
      </c>
      <c r="BA35" s="2204" t="s">
        <v>425</v>
      </c>
      <c r="BB35" s="572" t="str">
        <f>IF(OR(AND(D35="",I35="",M35="",R35="",W35="",AB35="",AG35=""),AND(D35&lt;&gt;"",OR(I35&lt;&gt;"",M35&lt;&gt;"",R35&lt;&gt;"",W35&lt;&gt;"",AB35&lt;&gt;"",AG35&lt;&gt;""))),"○","×")</f>
        <v>○</v>
      </c>
      <c r="BC35" s="572" t="str">
        <f>IF(AND(BD35="○",BE35="○",BF35="○",BG35="○",BH35="○",BI35="○"),"○","×")</f>
        <v>○</v>
      </c>
      <c r="BD35" s="573" t="str">
        <f>IF(AND($I$7=" ",OR(I35&lt;&gt;"",K35&lt;&gt;"",L35&lt;&gt;"")),"×","○")</f>
        <v>○</v>
      </c>
      <c r="BE35" s="573" t="str">
        <f>IF(AND($M$7=" ",OR(M35&lt;&gt;"",O35&lt;&gt;"",P35&lt;&gt;"",Q35&lt;&gt;"")),"×","○")</f>
        <v>○</v>
      </c>
      <c r="BF35" s="573" t="str">
        <f>IF(AND($R$7=" ",OR(R35&lt;&gt;"",T35&lt;&gt;"",U35&lt;&gt;"",V35&lt;&gt;"")),"×","○")</f>
        <v>○</v>
      </c>
      <c r="BG35" s="573" t="str">
        <f>IF(AND($W$7=" ",OR(W35&lt;&gt;"",Y35&lt;&gt;"",Z35&lt;&gt;"",AA35&lt;&gt;"")),"×","○")</f>
        <v>○</v>
      </c>
      <c r="BH35" s="573" t="str">
        <f>IF(AND($AB$7=" ",OR(AB35&lt;&gt;"",AD35&lt;&gt;"",AE35&lt;&gt;"",AF35&lt;&gt;"")),"×","○")</f>
        <v>○</v>
      </c>
      <c r="BI35" s="573" t="str">
        <f>IF(AND($AG$7=" ",OR(AG35&lt;&gt;"",AI35&lt;&gt;"",AJ35&lt;&gt;"")),"×","○")</f>
        <v>○</v>
      </c>
      <c r="BJ35" s="2472" t="e">
        <f>SUMPRODUCT(1/COUNTIF(I35:AH35,"宿泊"))</f>
        <v>#DIV/0!</v>
      </c>
      <c r="BK35" s="2473" t="e">
        <f>SUMPRODUCT(1/COUNTIF(I35:AH35,"日帰り"))</f>
        <v>#DIV/0!</v>
      </c>
      <c r="BL35" s="1584">
        <f>COUNT(BJ35)-COUNT(BK35)</f>
        <v>0</v>
      </c>
      <c r="BM35" s="599"/>
      <c r="BN35" s="581"/>
      <c r="BO35" s="2113" t="s">
        <v>288</v>
      </c>
      <c r="BP35" s="2442"/>
      <c r="BQ35" s="2442"/>
      <c r="BR35" s="2443"/>
      <c r="BS35" s="605"/>
      <c r="BT35" s="591"/>
      <c r="BU35" s="594">
        <f>COUNTIFS(K15:K74,"○")</f>
        <v>0</v>
      </c>
      <c r="BV35" s="617">
        <f>COUNTIFS(L15:L74,"○")</f>
        <v>0</v>
      </c>
      <c r="BW35" s="611"/>
      <c r="BX35" s="594">
        <f>COUNTIFS(O14:O74,"○")</f>
        <v>0</v>
      </c>
      <c r="BY35" s="594">
        <f>COUNTIFS(P14:P74,"○")</f>
        <v>0</v>
      </c>
      <c r="BZ35" s="617">
        <f>COUNTIFS(Q15:Q74,"○")</f>
        <v>0</v>
      </c>
      <c r="CA35" s="611"/>
      <c r="CB35" s="594">
        <f>COUNTIFS(T15:T74,"○")</f>
        <v>0</v>
      </c>
      <c r="CC35" s="594">
        <f>COUNTIFS(U15:U74,"○")</f>
        <v>0</v>
      </c>
      <c r="CD35" s="617">
        <f>COUNTIFS(V15:V74,"○")</f>
        <v>0</v>
      </c>
      <c r="CE35" s="611"/>
      <c r="CF35" s="594">
        <f>COUNTIFS(Y15:Y74,"○")</f>
        <v>0</v>
      </c>
      <c r="CG35" s="594">
        <f>COUNTIFS(U15:U74,"○")</f>
        <v>0</v>
      </c>
      <c r="CH35" s="617">
        <f>COUNTIFS(V15:V74,"○")</f>
        <v>0</v>
      </c>
      <c r="CI35" s="611"/>
      <c r="CJ35" s="594">
        <f>COUNTIFS(AD15:AD74,"○")</f>
        <v>0</v>
      </c>
      <c r="CK35" s="594">
        <f>COUNTIFS(AE15:AE74,"○")</f>
        <v>0</v>
      </c>
      <c r="CL35" s="617">
        <f>COUNTIFS(AF15:AF74,"○")</f>
        <v>0</v>
      </c>
      <c r="CM35" s="611"/>
      <c r="CN35" s="594">
        <f>COUNTIFS(AI15:AI74,"○")</f>
        <v>0</v>
      </c>
      <c r="CO35" s="594">
        <f>COUNTIFS(AJ15:AJ74,"○")</f>
        <v>0</v>
      </c>
      <c r="CP35" s="642"/>
    </row>
    <row r="36" spans="1:94" ht="14.1" customHeight="1" x14ac:dyDescent="0.15">
      <c r="A36" s="572"/>
      <c r="B36" s="2421"/>
      <c r="C36" s="2359"/>
      <c r="D36" s="2231"/>
      <c r="E36" s="2229"/>
      <c r="F36" s="2242"/>
      <c r="G36" s="2363"/>
      <c r="H36" s="2291"/>
      <c r="I36" s="2286"/>
      <c r="J36" s="2287"/>
      <c r="K36" s="2289"/>
      <c r="L36" s="2367"/>
      <c r="M36" s="2286"/>
      <c r="N36" s="2287"/>
      <c r="O36" s="2289"/>
      <c r="P36" s="2289"/>
      <c r="Q36" s="2291"/>
      <c r="R36" s="2286"/>
      <c r="S36" s="2287"/>
      <c r="T36" s="2289"/>
      <c r="U36" s="2289"/>
      <c r="V36" s="2291"/>
      <c r="W36" s="2401"/>
      <c r="X36" s="2402"/>
      <c r="Y36" s="2396"/>
      <c r="Z36" s="2396"/>
      <c r="AA36" s="2398"/>
      <c r="AB36" s="2401"/>
      <c r="AC36" s="2402"/>
      <c r="AD36" s="2396"/>
      <c r="AE36" s="2396"/>
      <c r="AF36" s="2398"/>
      <c r="AG36" s="2401"/>
      <c r="AH36" s="2402"/>
      <c r="AI36" s="2396"/>
      <c r="AJ36" s="2398"/>
      <c r="AK36" s="2235"/>
      <c r="AL36" s="2236"/>
      <c r="AM36" s="2236"/>
      <c r="AN36" s="2237"/>
      <c r="AO36" s="2235"/>
      <c r="AP36" s="2236"/>
      <c r="AQ36" s="2236"/>
      <c r="AR36" s="2237"/>
      <c r="AS36" s="571"/>
      <c r="AT36" s="572"/>
      <c r="AU36" s="2204"/>
      <c r="AV36" s="2204"/>
      <c r="AW36" s="2204"/>
      <c r="AX36" s="2204"/>
      <c r="AY36" s="2204"/>
      <c r="AZ36" s="2204"/>
      <c r="BA36" s="2204"/>
      <c r="BB36" s="574"/>
      <c r="BC36" s="574"/>
      <c r="BD36" s="572"/>
      <c r="BE36" s="572"/>
      <c r="BF36" s="572"/>
      <c r="BG36" s="572"/>
      <c r="BH36" s="572"/>
      <c r="BI36" s="572"/>
      <c r="BJ36" s="2472"/>
      <c r="BK36" s="2473"/>
      <c r="BL36" s="1584"/>
      <c r="BM36" s="599"/>
      <c r="BN36" s="581"/>
      <c r="BO36" s="2115" t="s">
        <v>283</v>
      </c>
      <c r="BP36" s="2444"/>
      <c r="BQ36" s="2444"/>
      <c r="BR36" s="2445"/>
      <c r="BS36" s="606"/>
      <c r="BT36" s="592"/>
      <c r="BU36" s="595">
        <f>COUNTIFS($K$15:$K$74,"○",$F$15:$F$74,"2歳児以下")</f>
        <v>0</v>
      </c>
      <c r="BV36" s="618">
        <f>COUNTIFS($L$15:$L$74,"○",$F$15:$F$74,"2歳児以下")</f>
        <v>0</v>
      </c>
      <c r="BW36" s="612"/>
      <c r="BX36" s="595">
        <f>COUNTIFS($O$15:$O$74,"○",$F$15:$F$74,"2歳児以下")</f>
        <v>0</v>
      </c>
      <c r="BY36" s="595">
        <f>COUNTIFS($P$15:$P$74,"○",$F$15:$F$74,"2歳児以下")</f>
        <v>0</v>
      </c>
      <c r="BZ36" s="618">
        <f>COUNTIFS($Q$15:$Q$74,"○",$F$15:$F$74,"2歳児以下")</f>
        <v>0</v>
      </c>
      <c r="CA36" s="612"/>
      <c r="CB36" s="595">
        <f>COUNTIFS($T$15:$T$74,"○",$F$15:$F$74,"2歳児以下")</f>
        <v>0</v>
      </c>
      <c r="CC36" s="595">
        <f>COUNTIFS($U$15:$U$74,"○",$F$15:$F$74,"2歳児以下")</f>
        <v>0</v>
      </c>
      <c r="CD36" s="618">
        <f>COUNTIFS($V$15:$V$74,"○",$F$15:$F$74,"2歳児以下")</f>
        <v>0</v>
      </c>
      <c r="CE36" s="612"/>
      <c r="CF36" s="595">
        <f>COUNTIFS($Y$15:$Y$74,"○",$F$15:$F$74,"2歳児以下")</f>
        <v>0</v>
      </c>
      <c r="CG36" s="595">
        <f>COUNTIFS($Z$15:$Z$74,"○",$F$15:$F$74,"2歳児以下")</f>
        <v>0</v>
      </c>
      <c r="CH36" s="618">
        <f>COUNTIFS($AA$15:$AA$74,"○",$F$15:$F$74,"2歳児以下")</f>
        <v>0</v>
      </c>
      <c r="CI36" s="612"/>
      <c r="CJ36" s="595">
        <f>COUNTIFS($AD$15:$AD$74,"○",$F$15:$F$74,"2歳児以下")</f>
        <v>0</v>
      </c>
      <c r="CK36" s="595">
        <f>COUNTIFS($AE$15:$AE$74,"○",$F$15:$F$74,"2歳児以下")</f>
        <v>0</v>
      </c>
      <c r="CL36" s="618">
        <f>COUNTIFS($AF$15:$AF$74,"○",$F$15:$F$74,"2歳児以下")</f>
        <v>0</v>
      </c>
      <c r="CM36" s="612"/>
      <c r="CN36" s="595">
        <f>COUNTIFS($AI$15:$AI$74,"○",$F$15:$F$74,"2歳児以下")</f>
        <v>0</v>
      </c>
      <c r="CO36" s="595">
        <f>COUNTIFS($AJ$15:$AJ$74,"○",$F$15:$F$74,"2歳児以下")</f>
        <v>0</v>
      </c>
      <c r="CP36" s="643"/>
    </row>
    <row r="37" spans="1:94" ht="14.1" customHeight="1" x14ac:dyDescent="0.15">
      <c r="A37" s="572" t="str">
        <f>IF(AND(D37="",D39&lt;&gt;""),"×","○")</f>
        <v>○</v>
      </c>
      <c r="B37" s="2421" t="str">
        <f>IF(AND(AT37="○",BB37="○",BC37="○",A37="○"),"○","×")</f>
        <v>○</v>
      </c>
      <c r="C37" s="2390">
        <v>12</v>
      </c>
      <c r="D37" s="2230"/>
      <c r="E37" s="2228"/>
      <c r="F37" s="2241"/>
      <c r="G37" s="2391"/>
      <c r="H37" s="2290"/>
      <c r="I37" s="2284"/>
      <c r="J37" s="2285"/>
      <c r="K37" s="2288"/>
      <c r="L37" s="2392"/>
      <c r="M37" s="2346"/>
      <c r="N37" s="2347"/>
      <c r="O37" s="2288"/>
      <c r="P37" s="2288"/>
      <c r="Q37" s="2290"/>
      <c r="R37" s="2346"/>
      <c r="S37" s="2347"/>
      <c r="T37" s="2288"/>
      <c r="U37" s="2288"/>
      <c r="V37" s="2290"/>
      <c r="W37" s="2399"/>
      <c r="X37" s="2400"/>
      <c r="Y37" s="2395"/>
      <c r="Z37" s="2395"/>
      <c r="AA37" s="2397"/>
      <c r="AB37" s="2399"/>
      <c r="AC37" s="2400"/>
      <c r="AD37" s="2395"/>
      <c r="AE37" s="2395"/>
      <c r="AF37" s="2397"/>
      <c r="AG37" s="2399"/>
      <c r="AH37" s="2400"/>
      <c r="AI37" s="2395"/>
      <c r="AJ37" s="2397"/>
      <c r="AK37" s="2267"/>
      <c r="AL37" s="2268"/>
      <c r="AM37" s="2268"/>
      <c r="AN37" s="2269"/>
      <c r="AO37" s="2232"/>
      <c r="AP37" s="2233"/>
      <c r="AQ37" s="2233"/>
      <c r="AR37" s="2234"/>
      <c r="AS37" s="571"/>
      <c r="AT37" s="572" t="str">
        <f>IF(OR(AND(D37&lt;&gt;"",OR(AND(E37&lt;&gt;"",F37&lt;&gt;"",OR(G37&lt;&gt;"",H37&lt;&gt;"")),AND(E37="",F37="バス・カメラマン等"))),AND(D37="",E37="",F37="",OR(G37="",H37=""))),"○","×")</f>
        <v>○</v>
      </c>
      <c r="AU37" s="2204" t="str">
        <f>IF(AND(E37&lt;&gt;"",E37&lt;=2),"2歳児以下","")</f>
        <v/>
      </c>
      <c r="AV37" s="2204" t="str">
        <f>IF(OR(AND(3&lt;=E37,E37&lt;=6),COUNTIF(E37, "幼*"),COUNTIF(E37, "年少"),COUNTIF(E37, "年中"),COUNTIF(E37, "年長")),"3歳-学齢前","")</f>
        <v/>
      </c>
      <c r="AW37" s="2204" t="str">
        <f>IF(OR(AND(6&lt;=E37,E37&lt;=12),COUNTIF(E37, "小*")),"小学生","")</f>
        <v/>
      </c>
      <c r="AX37" s="2204" t="str">
        <f>IF(OR(AND(12&lt;=E37,E37&lt;=15),COUNTIF(E37, "中*")),"中学生","")</f>
        <v/>
      </c>
      <c r="AY37" s="2204" t="str">
        <f>IF(OR(AND(15&lt;=E37,E37&lt;=18),COUNTIF(E37, "高*")),"高校生(～18歳)","")</f>
        <v/>
      </c>
      <c r="AZ37" s="2204" t="str">
        <f>IF(OR(19&lt;=E37,COUNTIF(E37, "大*"),COUNTIF(E37, "*院*"),COUNTIF(E37, "*専*")),"一般(19歳～)","")</f>
        <v/>
      </c>
      <c r="BA37" s="2204" t="s">
        <v>425</v>
      </c>
      <c r="BB37" s="572" t="str">
        <f>IF(OR(AND(D37="",I37="",M37="",R37="",W37="",AB37="",AG37=""),AND(D37&lt;&gt;"",OR(I37&lt;&gt;"",M37&lt;&gt;"",R37&lt;&gt;"",W37&lt;&gt;"",AB37&lt;&gt;"",AG37&lt;&gt;""))),"○","×")</f>
        <v>○</v>
      </c>
      <c r="BC37" s="572" t="str">
        <f>IF(AND(BD37="○",BE37="○",BF37="○",BG37="○",BH37="○",BI37="○"),"○","×")</f>
        <v>○</v>
      </c>
      <c r="BD37" s="573" t="str">
        <f>IF(AND($I$7=" ",OR(I37&lt;&gt;"",K37&lt;&gt;"",L37&lt;&gt;"")),"×","○")</f>
        <v>○</v>
      </c>
      <c r="BE37" s="573" t="str">
        <f>IF(AND($M$7=" ",OR(M37&lt;&gt;"",O37&lt;&gt;"",P37&lt;&gt;"",Q37&lt;&gt;"")),"×","○")</f>
        <v>○</v>
      </c>
      <c r="BF37" s="573" t="str">
        <f>IF(AND($R$7=" ",OR(R37&lt;&gt;"",T37&lt;&gt;"",U37&lt;&gt;"",V37&lt;&gt;"")),"×","○")</f>
        <v>○</v>
      </c>
      <c r="BG37" s="573" t="str">
        <f>IF(AND($W$7=" ",OR(W37&lt;&gt;"",Y37&lt;&gt;"",Z37&lt;&gt;"",AA37&lt;&gt;"")),"×","○")</f>
        <v>○</v>
      </c>
      <c r="BH37" s="573" t="str">
        <f>IF(AND($AB$7=" ",OR(AB37&lt;&gt;"",AD37&lt;&gt;"",AE37&lt;&gt;"",AF37&lt;&gt;"")),"×","○")</f>
        <v>○</v>
      </c>
      <c r="BI37" s="573" t="str">
        <f>IF(AND($AG$7=" ",OR(AG37&lt;&gt;"",AI37&lt;&gt;"",AJ37&lt;&gt;"")),"×","○")</f>
        <v>○</v>
      </c>
      <c r="BJ37" s="2472" t="e">
        <f>SUMPRODUCT(1/COUNTIF(I37:AH37,"宿泊"))</f>
        <v>#DIV/0!</v>
      </c>
      <c r="BK37" s="2473" t="e">
        <f>SUMPRODUCT(1/COUNTIF(I37:AH37,"日帰り"))</f>
        <v>#DIV/0!</v>
      </c>
      <c r="BL37" s="1584">
        <f>COUNT(BJ37)-COUNT(BK37)</f>
        <v>0</v>
      </c>
      <c r="BM37" s="599"/>
      <c r="BN37" s="581"/>
      <c r="BO37" s="2106" t="s">
        <v>284</v>
      </c>
      <c r="BP37" s="2145"/>
      <c r="BQ37" s="2145"/>
      <c r="BR37" s="2146"/>
      <c r="BS37" s="607"/>
      <c r="BT37" s="593"/>
      <c r="BU37" s="596">
        <f>COUNTIFS($K$15:$K$74,"○",$F$15:$F$74,"3歳-学齢前")</f>
        <v>0</v>
      </c>
      <c r="BV37" s="619">
        <f>COUNTIFS($L$15:$L$74,"○",$F$15:$F$74,"3歳-学齢前")</f>
        <v>0</v>
      </c>
      <c r="BW37" s="613"/>
      <c r="BX37" s="596">
        <f>COUNTIFS($O$15:$O$74,"○",$F$15:$F$74,"3歳-学齢前")</f>
        <v>0</v>
      </c>
      <c r="BY37" s="596">
        <f>COUNTIFS($P$15:$P$74,"○",$F$15:$F$74,"3歳-学齢前")</f>
        <v>0</v>
      </c>
      <c r="BZ37" s="619">
        <f>COUNTIFS($Q$15:$Q$74,"○",$F$15:$F$74,"3歳-学齢前")</f>
        <v>0</v>
      </c>
      <c r="CA37" s="613"/>
      <c r="CB37" s="596">
        <f>COUNTIFS($T$15:$T$74,"○",$F$15:$F$74,"3歳-学齢前")</f>
        <v>0</v>
      </c>
      <c r="CC37" s="596">
        <f>COUNTIFS($U$15:$U$74,"○",$F$15:$F$74,"3歳-学齢前")</f>
        <v>0</v>
      </c>
      <c r="CD37" s="619">
        <f>COUNTIFS($V$15:$V$74,"○",$F$15:$F$74,"3歳-学齢前")</f>
        <v>0</v>
      </c>
      <c r="CE37" s="613"/>
      <c r="CF37" s="596">
        <f>COUNTIFS($Y$15:$Y$74,"○",$F$15:$F$74,"3歳-学齢前")</f>
        <v>0</v>
      </c>
      <c r="CG37" s="596">
        <f>COUNTIFS($Z$15:$Z$74,"○",$F$15:$F$74,"3歳-学齢前")</f>
        <v>0</v>
      </c>
      <c r="CH37" s="619">
        <f>COUNTIFS($AA$15:$AA$74,"○",$F$15:$F$74,"3歳-学齢前")</f>
        <v>0</v>
      </c>
      <c r="CI37" s="613"/>
      <c r="CJ37" s="596">
        <f>COUNTIFS($AD$15:$AD$74,"○",$F$15:$F$74,"3歳-学齢前")</f>
        <v>0</v>
      </c>
      <c r="CK37" s="596">
        <f>COUNTIFS($AE$15:$AE$74,"○",$F$15:$F$74,"3歳-学齢前")</f>
        <v>0</v>
      </c>
      <c r="CL37" s="619">
        <f>COUNTIFS($AF$15:$AF$74,"○",$F$15:$F$74,"3歳-学齢前")</f>
        <v>0</v>
      </c>
      <c r="CM37" s="613"/>
      <c r="CN37" s="596">
        <f>COUNTIFS($AI$15:$AI$74,"○",$F$15:$F$74,"3歳-学齢前")</f>
        <v>0</v>
      </c>
      <c r="CO37" s="596">
        <f>COUNTIFS($AJ$15:$AJ$74,"○",$F$15:$F$74,"3歳-学齢前")</f>
        <v>0</v>
      </c>
      <c r="CP37" s="644"/>
    </row>
    <row r="38" spans="1:94" ht="14.1" customHeight="1" x14ac:dyDescent="0.15">
      <c r="A38" s="572"/>
      <c r="B38" s="2421"/>
      <c r="C38" s="2359"/>
      <c r="D38" s="2231"/>
      <c r="E38" s="2229"/>
      <c r="F38" s="2242"/>
      <c r="G38" s="2363"/>
      <c r="H38" s="2291"/>
      <c r="I38" s="2286"/>
      <c r="J38" s="2287"/>
      <c r="K38" s="2289"/>
      <c r="L38" s="2367"/>
      <c r="M38" s="2286"/>
      <c r="N38" s="2287"/>
      <c r="O38" s="2289"/>
      <c r="P38" s="2289"/>
      <c r="Q38" s="2291"/>
      <c r="R38" s="2286"/>
      <c r="S38" s="2287"/>
      <c r="T38" s="2289"/>
      <c r="U38" s="2289"/>
      <c r="V38" s="2291"/>
      <c r="W38" s="2401"/>
      <c r="X38" s="2402"/>
      <c r="Y38" s="2396"/>
      <c r="Z38" s="2396"/>
      <c r="AA38" s="2398"/>
      <c r="AB38" s="2401"/>
      <c r="AC38" s="2402"/>
      <c r="AD38" s="2396"/>
      <c r="AE38" s="2396"/>
      <c r="AF38" s="2398"/>
      <c r="AG38" s="2401"/>
      <c r="AH38" s="2402"/>
      <c r="AI38" s="2396"/>
      <c r="AJ38" s="2398"/>
      <c r="AK38" s="2235"/>
      <c r="AL38" s="2236"/>
      <c r="AM38" s="2236"/>
      <c r="AN38" s="2237"/>
      <c r="AO38" s="2235"/>
      <c r="AP38" s="2236"/>
      <c r="AQ38" s="2236"/>
      <c r="AR38" s="2237"/>
      <c r="AS38" s="571"/>
      <c r="AT38" s="572"/>
      <c r="AU38" s="2204"/>
      <c r="AV38" s="2204"/>
      <c r="AW38" s="2204"/>
      <c r="AX38" s="2204"/>
      <c r="AY38" s="2204"/>
      <c r="AZ38" s="2204"/>
      <c r="BA38" s="2204"/>
      <c r="BB38" s="574"/>
      <c r="BC38" s="574"/>
      <c r="BD38" s="572"/>
      <c r="BE38" s="572"/>
      <c r="BF38" s="572"/>
      <c r="BG38" s="572"/>
      <c r="BH38" s="572"/>
      <c r="BI38" s="572"/>
      <c r="BJ38" s="2472"/>
      <c r="BK38" s="2473"/>
      <c r="BL38" s="1584"/>
      <c r="BM38" s="599"/>
      <c r="BN38" s="581"/>
      <c r="BO38" s="2106" t="s">
        <v>83</v>
      </c>
      <c r="BP38" s="2145"/>
      <c r="BQ38" s="2145"/>
      <c r="BR38" s="2146"/>
      <c r="BS38" s="607"/>
      <c r="BT38" s="593"/>
      <c r="BU38" s="596">
        <f>COUNTIFS($K$15:$K$74,"○",$F$15:$F$74,"小学生")</f>
        <v>0</v>
      </c>
      <c r="BV38" s="619">
        <f>COUNTIFS($L$15:$L$74,"○",$F$15:$F$74,"小学生")</f>
        <v>0</v>
      </c>
      <c r="BW38" s="613"/>
      <c r="BX38" s="596">
        <f>COUNTIFS($O$15:$O$74,"○",$F$15:$F$74,"小学生")</f>
        <v>0</v>
      </c>
      <c r="BY38" s="596">
        <f>COUNTIFS($P$15:$P$74,"○",$F$15:$F$74,"小学生")</f>
        <v>0</v>
      </c>
      <c r="BZ38" s="619">
        <f>COUNTIFS($Q$15:$Q$74,"○",$F$15:$F$74,"小学生")</f>
        <v>0</v>
      </c>
      <c r="CA38" s="613"/>
      <c r="CB38" s="596">
        <f>COUNTIFS($T$15:$T$74,"○",$F$15:$F$74,"小学生")</f>
        <v>0</v>
      </c>
      <c r="CC38" s="596">
        <f>COUNTIFS($U$15:$U$74,"○",$F$15:$F$74,"小学生")</f>
        <v>0</v>
      </c>
      <c r="CD38" s="619">
        <f>COUNTIFS($V$15:$V$74,"○",$F$15:$F$74,"小学生")</f>
        <v>0</v>
      </c>
      <c r="CE38" s="613"/>
      <c r="CF38" s="596">
        <f>COUNTIFS($Y$15:$Y$74,"○",$F$15:$F$74,"小学生")</f>
        <v>0</v>
      </c>
      <c r="CG38" s="596">
        <f>COUNTIFS($Z$15:$Z$74,"○",$F$15:$F$74,"小学生")</f>
        <v>0</v>
      </c>
      <c r="CH38" s="619">
        <f>COUNTIFS($AA$15:$AA$74,"○",$F$15:$F$74,"小学生")</f>
        <v>0</v>
      </c>
      <c r="CI38" s="613"/>
      <c r="CJ38" s="596">
        <f>COUNTIFS($AD$15:$AD$74,"○",$F$15:$F$74,"小学生")</f>
        <v>0</v>
      </c>
      <c r="CK38" s="596">
        <f>COUNTIFS($AE$15:$AE$74,"○",$F$15:$F$74,"小学生")</f>
        <v>0</v>
      </c>
      <c r="CL38" s="619">
        <f>COUNTIFS($AF$15:$AF$74,"○",$F$15:$F$74,"小学生")</f>
        <v>0</v>
      </c>
      <c r="CM38" s="613"/>
      <c r="CN38" s="596">
        <f>COUNTIFS($AI$15:$AI$74,"○",$F$15:$F$74,"小学生")</f>
        <v>0</v>
      </c>
      <c r="CO38" s="596">
        <f>COUNTIFS($AJ$15:$AJ$74,"○",$F$15:$F$74,"小学生")</f>
        <v>0</v>
      </c>
      <c r="CP38" s="644"/>
    </row>
    <row r="39" spans="1:94" ht="14.1" customHeight="1" x14ac:dyDescent="0.15">
      <c r="A39" s="572" t="str">
        <f>IF(AND(D39="",D41&lt;&gt;""),"×","○")</f>
        <v>○</v>
      </c>
      <c r="B39" s="2421" t="str">
        <f>IF(AND(AT39="○",BB39="○",BC39="○",A39="○"),"○","×")</f>
        <v>○</v>
      </c>
      <c r="C39" s="2390">
        <v>13</v>
      </c>
      <c r="D39" s="2230"/>
      <c r="E39" s="2228"/>
      <c r="F39" s="2241"/>
      <c r="G39" s="2391"/>
      <c r="H39" s="2290"/>
      <c r="I39" s="2284"/>
      <c r="J39" s="2285"/>
      <c r="K39" s="2288"/>
      <c r="L39" s="2392"/>
      <c r="M39" s="2346"/>
      <c r="N39" s="2347"/>
      <c r="O39" s="2288"/>
      <c r="P39" s="2288"/>
      <c r="Q39" s="2290"/>
      <c r="R39" s="2346"/>
      <c r="S39" s="2347"/>
      <c r="T39" s="2288"/>
      <c r="U39" s="2288"/>
      <c r="V39" s="2290"/>
      <c r="W39" s="2399"/>
      <c r="X39" s="2400"/>
      <c r="Y39" s="2395"/>
      <c r="Z39" s="2395"/>
      <c r="AA39" s="2397"/>
      <c r="AB39" s="2399"/>
      <c r="AC39" s="2400"/>
      <c r="AD39" s="2395"/>
      <c r="AE39" s="2395"/>
      <c r="AF39" s="2397"/>
      <c r="AG39" s="2399"/>
      <c r="AH39" s="2400"/>
      <c r="AI39" s="2395"/>
      <c r="AJ39" s="2397"/>
      <c r="AK39" s="2267"/>
      <c r="AL39" s="2268"/>
      <c r="AM39" s="2268"/>
      <c r="AN39" s="2269"/>
      <c r="AO39" s="2232"/>
      <c r="AP39" s="2233"/>
      <c r="AQ39" s="2233"/>
      <c r="AR39" s="2234"/>
      <c r="AS39" s="571"/>
      <c r="AT39" s="572" t="str">
        <f>IF(OR(AND(D39&lt;&gt;"",OR(AND(E39&lt;&gt;"",F39&lt;&gt;"",OR(G39&lt;&gt;"",H39&lt;&gt;"")),AND(E39="",F39="バス・カメラマン等"))),AND(D39="",E39="",F39="",OR(G39="",H39=""))),"○","×")</f>
        <v>○</v>
      </c>
      <c r="AU39" s="2204" t="str">
        <f>IF(AND(E39&lt;&gt;"",E39&lt;=2),"2歳児以下","")</f>
        <v/>
      </c>
      <c r="AV39" s="2204" t="str">
        <f>IF(OR(AND(3&lt;=E39,E39&lt;=6),COUNTIF(E39, "幼*"),COUNTIF(E39, "年少"),COUNTIF(E39, "年中"),COUNTIF(E39, "年長")),"3歳-学齢前","")</f>
        <v/>
      </c>
      <c r="AW39" s="2204" t="str">
        <f>IF(OR(AND(6&lt;=E39,E39&lt;=12),COUNTIF(E39, "小*")),"小学生","")</f>
        <v/>
      </c>
      <c r="AX39" s="2204" t="str">
        <f>IF(OR(AND(12&lt;=E39,E39&lt;=15),COUNTIF(E39, "中*")),"中学生","")</f>
        <v/>
      </c>
      <c r="AY39" s="2204" t="str">
        <f>IF(OR(AND(15&lt;=E39,E39&lt;=18),COUNTIF(E39, "高*")),"高校生(～18歳)","")</f>
        <v/>
      </c>
      <c r="AZ39" s="2204" t="str">
        <f>IF(OR(19&lt;=E39,COUNTIF(E39, "大*"),COUNTIF(E39, "*院*"),COUNTIF(E39, "*専*")),"一般(19歳～)","")</f>
        <v/>
      </c>
      <c r="BA39" s="2204" t="s">
        <v>425</v>
      </c>
      <c r="BB39" s="572" t="str">
        <f>IF(OR(AND(D39="",I39="",M39="",R39="",W39="",AB39="",AG39=""),AND(D39&lt;&gt;"",OR(I39&lt;&gt;"",M39&lt;&gt;"",R39&lt;&gt;"",W39&lt;&gt;"",AB39&lt;&gt;"",AG39&lt;&gt;""))),"○","×")</f>
        <v>○</v>
      </c>
      <c r="BC39" s="572" t="str">
        <f>IF(AND(BD39="○",BE39="○",BF39="○",BG39="○",BH39="○",BI39="○"),"○","×")</f>
        <v>○</v>
      </c>
      <c r="BD39" s="573" t="str">
        <f>IF(AND($I$7=" ",OR(I39&lt;&gt;"",K39&lt;&gt;"",L39&lt;&gt;"")),"×","○")</f>
        <v>○</v>
      </c>
      <c r="BE39" s="573" t="str">
        <f>IF(AND($M$7=" ",OR(M39&lt;&gt;"",O39&lt;&gt;"",P39&lt;&gt;"",Q39&lt;&gt;"")),"×","○")</f>
        <v>○</v>
      </c>
      <c r="BF39" s="573" t="str">
        <f>IF(AND($R$7=" ",OR(R39&lt;&gt;"",T39&lt;&gt;"",U39&lt;&gt;"",V39&lt;&gt;"")),"×","○")</f>
        <v>○</v>
      </c>
      <c r="BG39" s="573" t="str">
        <f>IF(AND($W$7=" ",OR(W39&lt;&gt;"",Y39&lt;&gt;"",Z39&lt;&gt;"",AA39&lt;&gt;"")),"×","○")</f>
        <v>○</v>
      </c>
      <c r="BH39" s="573" t="str">
        <f>IF(AND($AB$7=" ",OR(AB39&lt;&gt;"",AD39&lt;&gt;"",AE39&lt;&gt;"",AF39&lt;&gt;"")),"×","○")</f>
        <v>○</v>
      </c>
      <c r="BI39" s="573" t="str">
        <f>IF(AND($AG$7=" ",OR(AG39&lt;&gt;"",AI39&lt;&gt;"",AJ39&lt;&gt;"")),"×","○")</f>
        <v>○</v>
      </c>
      <c r="BJ39" s="2472" t="e">
        <f>SUMPRODUCT(1/COUNTIF(I39:AH39,"宿泊"))</f>
        <v>#DIV/0!</v>
      </c>
      <c r="BK39" s="2473" t="e">
        <f>SUMPRODUCT(1/COUNTIF(I39:AH39,"日帰り"))</f>
        <v>#DIV/0!</v>
      </c>
      <c r="BL39" s="1584">
        <f>COUNT(BJ39)-COUNT(BK39)</f>
        <v>0</v>
      </c>
      <c r="BM39" s="599"/>
      <c r="BN39" s="581"/>
      <c r="BO39" s="2106" t="s">
        <v>84</v>
      </c>
      <c r="BP39" s="2145"/>
      <c r="BQ39" s="2145"/>
      <c r="BR39" s="2146"/>
      <c r="BS39" s="607"/>
      <c r="BT39" s="593"/>
      <c r="BU39" s="596">
        <f>COUNTIFS($K$15:$K$74,"○",$F$15:$F$74,"中学生")</f>
        <v>0</v>
      </c>
      <c r="BV39" s="619">
        <f>COUNTIFS($L$15:$L$74,"○",$F$15:$F$74,"中学生")</f>
        <v>0</v>
      </c>
      <c r="BW39" s="613"/>
      <c r="BX39" s="596">
        <f>COUNTIFS($O$15:$O$74,"○",$F$15:$F$74,"中学生")</f>
        <v>0</v>
      </c>
      <c r="BY39" s="596">
        <f>COUNTIFS($P$15:$P$74,"○",$F$15:$F$74,"中学生")</f>
        <v>0</v>
      </c>
      <c r="BZ39" s="619">
        <f>COUNTIFS($Q$15:$Q$74,"○",$F$15:$F$74,"中学生")</f>
        <v>0</v>
      </c>
      <c r="CA39" s="613"/>
      <c r="CB39" s="596">
        <f>COUNTIFS($T$15:$T$74,"○",$F$15:$F$74,"中学生")</f>
        <v>0</v>
      </c>
      <c r="CC39" s="596">
        <f>COUNTIFS($U$15:$U$74,"○",$F$15:$F$74,"中学生")</f>
        <v>0</v>
      </c>
      <c r="CD39" s="619">
        <f>COUNTIFS($V$15:$V$74,"○",$F$15:$F$74,"中学生")</f>
        <v>0</v>
      </c>
      <c r="CE39" s="613"/>
      <c r="CF39" s="596">
        <f>COUNTIFS($Y$15:$Y$74,"○",$F$15:$F$74,"中学生")</f>
        <v>0</v>
      </c>
      <c r="CG39" s="596">
        <f>COUNTIFS($Z$15:$Z$74,"○",$F$15:$F$74,"中学生")</f>
        <v>0</v>
      </c>
      <c r="CH39" s="619">
        <f>COUNTIFS($AA$15:$AA$74,"○",$F$15:$F$74,"中学生")</f>
        <v>0</v>
      </c>
      <c r="CI39" s="613"/>
      <c r="CJ39" s="596">
        <f>COUNTIFS($AD$15:$AD$74,"○",$F$15:$F$74,"中学生")</f>
        <v>0</v>
      </c>
      <c r="CK39" s="596">
        <f>COUNTIFS($AE$15:$AE$74,"○",$F$15:$F$74,"中学生")</f>
        <v>0</v>
      </c>
      <c r="CL39" s="619">
        <f>COUNTIFS($AF$15:$AF$74,"○",$F$15:$F$74,"中学生")</f>
        <v>0</v>
      </c>
      <c r="CM39" s="613"/>
      <c r="CN39" s="596">
        <f>COUNTIFS($AI$15:$AI$74,"○",$F$15:$F$74,"中学生")</f>
        <v>0</v>
      </c>
      <c r="CO39" s="596">
        <f>COUNTIFS($AJ$15:$AJ$74,"○",$F$15:$F$74,"中学生")</f>
        <v>0</v>
      </c>
      <c r="CP39" s="644"/>
    </row>
    <row r="40" spans="1:94" ht="14.1" customHeight="1" x14ac:dyDescent="0.15">
      <c r="A40" s="572"/>
      <c r="B40" s="2421"/>
      <c r="C40" s="2359"/>
      <c r="D40" s="2231"/>
      <c r="E40" s="2229"/>
      <c r="F40" s="2242"/>
      <c r="G40" s="2363"/>
      <c r="H40" s="2291"/>
      <c r="I40" s="2286"/>
      <c r="J40" s="2287"/>
      <c r="K40" s="2289"/>
      <c r="L40" s="2367"/>
      <c r="M40" s="2286"/>
      <c r="N40" s="2287"/>
      <c r="O40" s="2289"/>
      <c r="P40" s="2289"/>
      <c r="Q40" s="2291"/>
      <c r="R40" s="2286"/>
      <c r="S40" s="2287"/>
      <c r="T40" s="2289"/>
      <c r="U40" s="2289"/>
      <c r="V40" s="2291"/>
      <c r="W40" s="2401"/>
      <c r="X40" s="2402"/>
      <c r="Y40" s="2396"/>
      <c r="Z40" s="2396"/>
      <c r="AA40" s="2398"/>
      <c r="AB40" s="2401"/>
      <c r="AC40" s="2402"/>
      <c r="AD40" s="2396"/>
      <c r="AE40" s="2396"/>
      <c r="AF40" s="2398"/>
      <c r="AG40" s="2401"/>
      <c r="AH40" s="2402"/>
      <c r="AI40" s="2396"/>
      <c r="AJ40" s="2398"/>
      <c r="AK40" s="2235"/>
      <c r="AL40" s="2236"/>
      <c r="AM40" s="2236"/>
      <c r="AN40" s="2237"/>
      <c r="AO40" s="2235"/>
      <c r="AP40" s="2236"/>
      <c r="AQ40" s="2236"/>
      <c r="AR40" s="2237"/>
      <c r="AS40" s="571"/>
      <c r="AT40" s="572"/>
      <c r="AU40" s="2204"/>
      <c r="AV40" s="2204"/>
      <c r="AW40" s="2204"/>
      <c r="AX40" s="2204"/>
      <c r="AY40" s="2204"/>
      <c r="AZ40" s="2204"/>
      <c r="BA40" s="2204"/>
      <c r="BB40" s="574"/>
      <c r="BC40" s="574"/>
      <c r="BD40" s="572"/>
      <c r="BE40" s="572"/>
      <c r="BF40" s="572"/>
      <c r="BG40" s="572"/>
      <c r="BH40" s="572"/>
      <c r="BI40" s="572"/>
      <c r="BJ40" s="2472"/>
      <c r="BK40" s="2473"/>
      <c r="BL40" s="1584"/>
      <c r="BM40" s="599"/>
      <c r="BN40" s="581"/>
      <c r="BO40" s="2106" t="s">
        <v>285</v>
      </c>
      <c r="BP40" s="2145"/>
      <c r="BQ40" s="2145"/>
      <c r="BR40" s="2146"/>
      <c r="BS40" s="607"/>
      <c r="BT40" s="593"/>
      <c r="BU40" s="596">
        <f>COUNTIFS($K$15:$K$74,"○",$F$15:$F$74,"高校生(～18歳)")</f>
        <v>0</v>
      </c>
      <c r="BV40" s="619">
        <f>COUNTIFS($L$15:$L$74,"○",$F$15:$F$74,"高校生(～18歳)")</f>
        <v>0</v>
      </c>
      <c r="BW40" s="613"/>
      <c r="BX40" s="596">
        <f>COUNTIFS($O$15:$O$74,"○",$F$15:$F$74,"高校生(～18歳)")</f>
        <v>0</v>
      </c>
      <c r="BY40" s="596">
        <f>COUNTIFS($P$15:$P$74,"○",$F$15:$F$74,"高校生(～18歳)")</f>
        <v>0</v>
      </c>
      <c r="BZ40" s="619">
        <f>COUNTIFS($Q$15:$Q$74,"○",$F$15:$F$74,"高校生(～18歳)")</f>
        <v>0</v>
      </c>
      <c r="CA40" s="613"/>
      <c r="CB40" s="596">
        <f>COUNTIFS($T$15:$T$74,"○",$F$15:$F$74,"高校生(～18歳)")</f>
        <v>0</v>
      </c>
      <c r="CC40" s="596">
        <f>COUNTIFS($U$15:$U$74,"○",$F$15:$F$74,"高校生(～18歳)")</f>
        <v>0</v>
      </c>
      <c r="CD40" s="619">
        <f>COUNTIFS($V$15:$V$74,"○",$F$15:$F$74,"高校生(～18歳)")</f>
        <v>0</v>
      </c>
      <c r="CE40" s="613"/>
      <c r="CF40" s="596">
        <f>COUNTIFS($Y$15:$Y$74,"○",$F$15:$F$74,"高校生(～18歳)")</f>
        <v>0</v>
      </c>
      <c r="CG40" s="596">
        <f>COUNTIFS($Z$15:$Z$74,"○",$F$15:$F$74,"高校生(～18歳)")</f>
        <v>0</v>
      </c>
      <c r="CH40" s="619">
        <f>COUNTIFS($AA$15:$AA$74,"○",$F$15:$F$74,"高校生(～18歳)")</f>
        <v>0</v>
      </c>
      <c r="CI40" s="613"/>
      <c r="CJ40" s="596">
        <f>COUNTIFS($AD$15:$AD$74,"○",$F$15:$F$74,"高校生(～18歳)")</f>
        <v>0</v>
      </c>
      <c r="CK40" s="596">
        <f>COUNTIFS($AE$15:$AE$74,"○",$F$15:$F$74,"高校生(～18歳)")</f>
        <v>0</v>
      </c>
      <c r="CL40" s="619">
        <f>COUNTIFS($AF$15:$AF$74,"○",$F$15:$F$74,"高校生(～18歳)")</f>
        <v>0</v>
      </c>
      <c r="CM40" s="613"/>
      <c r="CN40" s="596">
        <f>COUNTIFS($AI$15:$AI$74,"○",$F$15:$F$74,"高校生(～18歳)")</f>
        <v>0</v>
      </c>
      <c r="CO40" s="596">
        <f>COUNTIFS($AJ$15:$AJ$74,"○",$F$15:$F$74,"高校生(～18歳)")</f>
        <v>0</v>
      </c>
      <c r="CP40" s="644"/>
    </row>
    <row r="41" spans="1:94" ht="14.1" customHeight="1" x14ac:dyDescent="0.15">
      <c r="A41" s="572" t="str">
        <f>IF(AND(D41="",D43&lt;&gt;""),"×","○")</f>
        <v>○</v>
      </c>
      <c r="B41" s="2421" t="str">
        <f>IF(AND(AT41="○",BB41="○",BC41="○",A41="○"),"○","×")</f>
        <v>○</v>
      </c>
      <c r="C41" s="2390">
        <v>14</v>
      </c>
      <c r="D41" s="2230"/>
      <c r="E41" s="2228"/>
      <c r="F41" s="2241"/>
      <c r="G41" s="2391"/>
      <c r="H41" s="2290"/>
      <c r="I41" s="2284"/>
      <c r="J41" s="2285"/>
      <c r="K41" s="2288"/>
      <c r="L41" s="2392"/>
      <c r="M41" s="2346"/>
      <c r="N41" s="2347"/>
      <c r="O41" s="2288"/>
      <c r="P41" s="2288"/>
      <c r="Q41" s="2290"/>
      <c r="R41" s="2346"/>
      <c r="S41" s="2347"/>
      <c r="T41" s="2288"/>
      <c r="U41" s="2288"/>
      <c r="V41" s="2290"/>
      <c r="W41" s="2399"/>
      <c r="X41" s="2400"/>
      <c r="Y41" s="2395"/>
      <c r="Z41" s="2395"/>
      <c r="AA41" s="2397"/>
      <c r="AB41" s="2399"/>
      <c r="AC41" s="2400"/>
      <c r="AD41" s="2395"/>
      <c r="AE41" s="2395"/>
      <c r="AF41" s="2397"/>
      <c r="AG41" s="2399"/>
      <c r="AH41" s="2400"/>
      <c r="AI41" s="2395"/>
      <c r="AJ41" s="2397"/>
      <c r="AK41" s="2267"/>
      <c r="AL41" s="2268"/>
      <c r="AM41" s="2268"/>
      <c r="AN41" s="2269"/>
      <c r="AO41" s="2232"/>
      <c r="AP41" s="2233"/>
      <c r="AQ41" s="2233"/>
      <c r="AR41" s="2234"/>
      <c r="AS41" s="571"/>
      <c r="AT41" s="572" t="str">
        <f>IF(OR(AND(D41&lt;&gt;"",OR(AND(E41&lt;&gt;"",F41&lt;&gt;"",OR(G41&lt;&gt;"",H41&lt;&gt;"")),AND(E41="",F41="バス・カメラマン等"))),AND(D41="",E41="",F41="",OR(G41="",H41=""))),"○","×")</f>
        <v>○</v>
      </c>
      <c r="AU41" s="2204" t="str">
        <f>IF(AND(E41&lt;&gt;"",E41&lt;=2),"2歳児以下","")</f>
        <v/>
      </c>
      <c r="AV41" s="2204" t="str">
        <f>IF(OR(AND(3&lt;=E41,E41&lt;=6),COUNTIF(E41, "幼*"),COUNTIF(E41, "年少"),COUNTIF(E41, "年中"),COUNTIF(E41, "年長")),"3歳-学齢前","")</f>
        <v/>
      </c>
      <c r="AW41" s="2204" t="str">
        <f>IF(OR(AND(6&lt;=E41,E41&lt;=12),COUNTIF(E41, "小*")),"小学生","")</f>
        <v/>
      </c>
      <c r="AX41" s="2204" t="str">
        <f>IF(OR(AND(12&lt;=E41,E41&lt;=15),COUNTIF(E41, "中*")),"中学生","")</f>
        <v/>
      </c>
      <c r="AY41" s="2204" t="str">
        <f>IF(OR(AND(15&lt;=E41,E41&lt;=18),COUNTIF(E41, "高*")),"高校生(～18歳)","")</f>
        <v/>
      </c>
      <c r="AZ41" s="2204" t="str">
        <f>IF(OR(19&lt;=E41,COUNTIF(E41, "大*"),COUNTIF(E41, "*院*"),COUNTIF(E41, "*専*")),"一般(19歳～)","")</f>
        <v/>
      </c>
      <c r="BA41" s="2204" t="s">
        <v>425</v>
      </c>
      <c r="BB41" s="572" t="str">
        <f>IF(OR(AND(D41="",I41="",M41="",R41="",W41="",AB41="",AG41=""),AND(D41&lt;&gt;"",OR(I41&lt;&gt;"",M41&lt;&gt;"",R41&lt;&gt;"",W41&lt;&gt;"",AB41&lt;&gt;"",AG41&lt;&gt;""))),"○","×")</f>
        <v>○</v>
      </c>
      <c r="BC41" s="572" t="str">
        <f>IF(AND(BD41="○",BE41="○",BF41="○",BG41="○",BH41="○",BI41="○"),"○","×")</f>
        <v>○</v>
      </c>
      <c r="BD41" s="573" t="str">
        <f>IF(AND($I$7=" ",OR(I41&lt;&gt;"",K41&lt;&gt;"",L41&lt;&gt;"")),"×","○")</f>
        <v>○</v>
      </c>
      <c r="BE41" s="573" t="str">
        <f>IF(AND($M$7=" ",OR(M41&lt;&gt;"",O41&lt;&gt;"",P41&lt;&gt;"",Q41&lt;&gt;"")),"×","○")</f>
        <v>○</v>
      </c>
      <c r="BF41" s="573" t="str">
        <f>IF(AND($R$7=" ",OR(R41&lt;&gt;"",T41&lt;&gt;"",U41&lt;&gt;"",V41&lt;&gt;"")),"×","○")</f>
        <v>○</v>
      </c>
      <c r="BG41" s="573" t="str">
        <f>IF(AND($W$7=" ",OR(W41&lt;&gt;"",Y41&lt;&gt;"",Z41&lt;&gt;"",AA41&lt;&gt;"")),"×","○")</f>
        <v>○</v>
      </c>
      <c r="BH41" s="573" t="str">
        <f>IF(AND($AB$7=" ",OR(AB41&lt;&gt;"",AD41&lt;&gt;"",AE41&lt;&gt;"",AF41&lt;&gt;"")),"×","○")</f>
        <v>○</v>
      </c>
      <c r="BI41" s="573" t="str">
        <f>IF(AND($AG$7=" ",OR(AG41&lt;&gt;"",AI41&lt;&gt;"",AJ41&lt;&gt;"")),"×","○")</f>
        <v>○</v>
      </c>
      <c r="BJ41" s="2472" t="e">
        <f>SUMPRODUCT(1/COUNTIF(I41:AH41,"宿泊"))</f>
        <v>#DIV/0!</v>
      </c>
      <c r="BK41" s="2473" t="e">
        <f>SUMPRODUCT(1/COUNTIF(I41:AH41,"日帰り"))</f>
        <v>#DIV/0!</v>
      </c>
      <c r="BL41" s="1584">
        <f>COUNT(BJ41)-COUNT(BK41)</f>
        <v>0</v>
      </c>
      <c r="BM41" s="599"/>
      <c r="BN41" s="581"/>
      <c r="BO41" s="2106" t="s">
        <v>286</v>
      </c>
      <c r="BP41" s="2145"/>
      <c r="BQ41" s="2145"/>
      <c r="BR41" s="2146"/>
      <c r="BS41" s="607"/>
      <c r="BT41" s="593"/>
      <c r="BU41" s="596">
        <f>COUNTIFS($K$15:$K$74,"○",$F$15:$F$74,"一般(19歳～)")</f>
        <v>0</v>
      </c>
      <c r="BV41" s="619">
        <f>COUNTIFS($L$15:$L$74,"○",$F$15:$F$74,"一般(19歳～)")</f>
        <v>0</v>
      </c>
      <c r="BW41" s="614"/>
      <c r="BX41" s="596">
        <f>COUNTIFS($O$15:$O$74,"○",$F$15:$F$74,"一般(19歳～)")</f>
        <v>0</v>
      </c>
      <c r="BY41" s="596">
        <f>COUNTIFS($P$15:$P$74,"○",$F$15:$F$74,"一般(19歳～)")</f>
        <v>0</v>
      </c>
      <c r="BZ41" s="619">
        <f>COUNTIFS($Q$15:$Q$74,"○",$F$15:$F$74,"一般(19歳～)")</f>
        <v>0</v>
      </c>
      <c r="CA41" s="614"/>
      <c r="CB41" s="596">
        <f>COUNTIFS($T$15:$T$74,"○",$F$15:$F$74,"一般(19歳～)")</f>
        <v>0</v>
      </c>
      <c r="CC41" s="596">
        <f>COUNTIFS($U$15:$U$74,"○",$F$15:$F$74,"一般(19歳～)")</f>
        <v>0</v>
      </c>
      <c r="CD41" s="619">
        <f>COUNTIFS($V$15:$V$74,"○",$F$15:$F$74,"一般(19歳～)")</f>
        <v>0</v>
      </c>
      <c r="CE41" s="614"/>
      <c r="CF41" s="596">
        <f>COUNTIFS($Y$15:$Y$74,"○",$F$15:$F$74,"一般(19歳～)")</f>
        <v>0</v>
      </c>
      <c r="CG41" s="596">
        <f>COUNTIFS($Z$15:$Z$74,"○",$F$15:$F$74,"一般(19歳～)")</f>
        <v>0</v>
      </c>
      <c r="CH41" s="619">
        <f>COUNTIFS($AA$15:$AA$74,"○",$F$15:$F$74,"一般(19歳～)")</f>
        <v>0</v>
      </c>
      <c r="CI41" s="614"/>
      <c r="CJ41" s="596">
        <f>COUNTIFS($AD$15:$AD$74,"○",$F$15:$F$74,"一般(19歳～)")</f>
        <v>0</v>
      </c>
      <c r="CK41" s="596">
        <f>COUNTIFS($AE$15:$AE$74,"○",$F$15:$F$74,"一般(19歳～)")</f>
        <v>0</v>
      </c>
      <c r="CL41" s="619">
        <f>COUNTIFS($AF$15:$AF$74,"○",$F$15:$F$74,"一般(19歳～)")</f>
        <v>0</v>
      </c>
      <c r="CM41" s="614"/>
      <c r="CN41" s="596">
        <f>COUNTIFS($AI$15:$AI$74,"○",$F$15:$F$74,"一般(19歳～)")</f>
        <v>0</v>
      </c>
      <c r="CO41" s="596">
        <f>COUNTIFS($AJ$15:$AJ$74,"○",$F$15:$F$74,"一般(19歳～)")</f>
        <v>0</v>
      </c>
      <c r="CP41" s="644"/>
    </row>
    <row r="42" spans="1:94" ht="14.1" customHeight="1" thickBot="1" x14ac:dyDescent="0.2">
      <c r="A42" s="572"/>
      <c r="B42" s="2421"/>
      <c r="C42" s="2359"/>
      <c r="D42" s="2231"/>
      <c r="E42" s="2229"/>
      <c r="F42" s="2242"/>
      <c r="G42" s="2363"/>
      <c r="H42" s="2291"/>
      <c r="I42" s="2286"/>
      <c r="J42" s="2287"/>
      <c r="K42" s="2289"/>
      <c r="L42" s="2367"/>
      <c r="M42" s="2286"/>
      <c r="N42" s="2287"/>
      <c r="O42" s="2289"/>
      <c r="P42" s="2289"/>
      <c r="Q42" s="2291"/>
      <c r="R42" s="2286"/>
      <c r="S42" s="2287"/>
      <c r="T42" s="2289"/>
      <c r="U42" s="2289"/>
      <c r="V42" s="2291"/>
      <c r="W42" s="2401"/>
      <c r="X42" s="2402"/>
      <c r="Y42" s="2396"/>
      <c r="Z42" s="2396"/>
      <c r="AA42" s="2398"/>
      <c r="AB42" s="2401"/>
      <c r="AC42" s="2402"/>
      <c r="AD42" s="2396"/>
      <c r="AE42" s="2396"/>
      <c r="AF42" s="2398"/>
      <c r="AG42" s="2401"/>
      <c r="AH42" s="2402"/>
      <c r="AI42" s="2396"/>
      <c r="AJ42" s="2398"/>
      <c r="AK42" s="2235"/>
      <c r="AL42" s="2236"/>
      <c r="AM42" s="2236"/>
      <c r="AN42" s="2237"/>
      <c r="AO42" s="2235"/>
      <c r="AP42" s="2236"/>
      <c r="AQ42" s="2236"/>
      <c r="AR42" s="2237"/>
      <c r="AS42" s="571"/>
      <c r="AT42" s="572"/>
      <c r="AU42" s="2204"/>
      <c r="AV42" s="2204"/>
      <c r="AW42" s="2204"/>
      <c r="AX42" s="2204"/>
      <c r="AY42" s="2204"/>
      <c r="AZ42" s="2204"/>
      <c r="BA42" s="2204"/>
      <c r="BB42" s="574"/>
      <c r="BC42" s="574"/>
      <c r="BD42" s="572"/>
      <c r="BE42" s="572"/>
      <c r="BF42" s="572"/>
      <c r="BG42" s="572"/>
      <c r="BH42" s="572"/>
      <c r="BI42" s="572"/>
      <c r="BJ42" s="2472"/>
      <c r="BK42" s="2473"/>
      <c r="BL42" s="1584"/>
      <c r="BM42" s="599"/>
      <c r="BN42" s="581"/>
      <c r="BO42" s="2147" t="s">
        <v>454</v>
      </c>
      <c r="BP42" s="2148"/>
      <c r="BQ42" s="2148"/>
      <c r="BR42" s="2149"/>
      <c r="BS42" s="608"/>
      <c r="BT42" s="647"/>
      <c r="BU42" s="609">
        <f>COUNTIFS($K$15:$K$74,"○",$F$15:$F$74,"バス・カメラマン等")</f>
        <v>0</v>
      </c>
      <c r="BV42" s="620">
        <f>COUNTIFS($L$15:$L$74,"○",$F$15:$F$74,"バス・カメラマン等")</f>
        <v>0</v>
      </c>
      <c r="BW42" s="615"/>
      <c r="BX42" s="609">
        <f>COUNTIFS($O$15:$O$74,"○",$F$15:$F$74,"バス・カメラマン等")</f>
        <v>0</v>
      </c>
      <c r="BY42" s="609">
        <f>COUNTIFS($P$15:$P$74,"○",$F$15:$F$74,"バス・カメラマン等")</f>
        <v>0</v>
      </c>
      <c r="BZ42" s="620">
        <f>COUNTIFS($Q$15:$Q$74,"○",$F$15:$F$74,"バス・カメラマン等")</f>
        <v>0</v>
      </c>
      <c r="CA42" s="615"/>
      <c r="CB42" s="609">
        <f>COUNTIFS($T$15:$T$74,"○",$F$15:$F$74,"バス・カメラマン等")</f>
        <v>0</v>
      </c>
      <c r="CC42" s="609">
        <f>COUNTIFS($U$15:$U$74,"○",$F$15:$F$74,"バス・カメラマン等")</f>
        <v>0</v>
      </c>
      <c r="CD42" s="620">
        <f>COUNTIFS($V$15:$V$74,"○",$F$15:$F$74,"バス・カメラマン等")</f>
        <v>0</v>
      </c>
      <c r="CE42" s="615"/>
      <c r="CF42" s="609">
        <f>COUNTIFS($Y$15:$Y$74,"○",$F$15:$F$74,"バス・カメラマン等")</f>
        <v>0</v>
      </c>
      <c r="CG42" s="609">
        <f>COUNTIFS($Z$15:$Z$74,"○",$F$15:$F$74,"バス・カメラマン等")</f>
        <v>0</v>
      </c>
      <c r="CH42" s="620">
        <f>COUNTIFS($AA$15:$AA$74,"○",$F$15:$F$74,"バス・カメラマン等")</f>
        <v>0</v>
      </c>
      <c r="CI42" s="615"/>
      <c r="CJ42" s="609">
        <f>COUNTIFS($AD$15:$AD$74,"○",$F$15:$F$74,"バス・カメラマン等")</f>
        <v>0</v>
      </c>
      <c r="CK42" s="609">
        <f>COUNTIFS($AE$15:$AE$74,"○",$F$15:$F$74,"バス・カメラマン等")</f>
        <v>0</v>
      </c>
      <c r="CL42" s="620">
        <f>COUNTIFS($AF$15:$AF$74,"○",$F$15:$F$74,"バス・カメラマン等")</f>
        <v>0</v>
      </c>
      <c r="CM42" s="615"/>
      <c r="CN42" s="609">
        <f>COUNTIFS($AI$15:$AI$74,"○",$F$15:$F$74,"バス・カメラマン等")</f>
        <v>0</v>
      </c>
      <c r="CO42" s="609">
        <f>COUNTIFS($AJ$15:$AJ$74,"○",$F$15:$F$74,"バス・カメラマン等")</f>
        <v>0</v>
      </c>
      <c r="CP42" s="645"/>
    </row>
    <row r="43" spans="1:94" ht="14.1" customHeight="1" x14ac:dyDescent="0.15">
      <c r="A43" s="572" t="str">
        <f>IF(AND(D43="",D45&lt;&gt;""),"×","○")</f>
        <v>○</v>
      </c>
      <c r="B43" s="2421" t="str">
        <f>IF(AND(AT43="○",BB43="○",BC43="○",A43="○"),"○","×")</f>
        <v>○</v>
      </c>
      <c r="C43" s="2390">
        <v>15</v>
      </c>
      <c r="D43" s="2230"/>
      <c r="E43" s="2228"/>
      <c r="F43" s="2241"/>
      <c r="G43" s="2391"/>
      <c r="H43" s="2290"/>
      <c r="I43" s="2284"/>
      <c r="J43" s="2285"/>
      <c r="K43" s="2288"/>
      <c r="L43" s="2392"/>
      <c r="M43" s="2346"/>
      <c r="N43" s="2347"/>
      <c r="O43" s="2288"/>
      <c r="P43" s="2288"/>
      <c r="Q43" s="2290"/>
      <c r="R43" s="2346"/>
      <c r="S43" s="2347"/>
      <c r="T43" s="2288"/>
      <c r="U43" s="2288"/>
      <c r="V43" s="2290"/>
      <c r="W43" s="2399"/>
      <c r="X43" s="2400"/>
      <c r="Y43" s="2395"/>
      <c r="Z43" s="2395"/>
      <c r="AA43" s="2397"/>
      <c r="AB43" s="2399"/>
      <c r="AC43" s="2400"/>
      <c r="AD43" s="2395"/>
      <c r="AE43" s="2395"/>
      <c r="AF43" s="2397"/>
      <c r="AG43" s="2399"/>
      <c r="AH43" s="2400"/>
      <c r="AI43" s="2395"/>
      <c r="AJ43" s="2397"/>
      <c r="AK43" s="2267"/>
      <c r="AL43" s="2268"/>
      <c r="AM43" s="2268"/>
      <c r="AN43" s="2269"/>
      <c r="AO43" s="2232"/>
      <c r="AP43" s="2233"/>
      <c r="AQ43" s="2233"/>
      <c r="AR43" s="2234"/>
      <c r="AS43" s="571"/>
      <c r="AT43" s="572" t="str">
        <f>IF(OR(AND(D43&lt;&gt;"",OR(AND(E43&lt;&gt;"",F43&lt;&gt;"",OR(G43&lt;&gt;"",H43&lt;&gt;"")),AND(E43="",F43="バス・カメラマン等"))),AND(D43="",E43="",F43="",OR(G43="",H43=""))),"○","×")</f>
        <v>○</v>
      </c>
      <c r="AU43" s="2204" t="str">
        <f>IF(AND(E43&lt;&gt;"",E43&lt;=2),"2歳児以下","")</f>
        <v/>
      </c>
      <c r="AV43" s="2204" t="str">
        <f>IF(OR(AND(3&lt;=E43,E43&lt;=6),COUNTIF(E43, "幼*"),COUNTIF(E43, "年少"),COUNTIF(E43, "年中"),COUNTIF(E43, "年長")),"3歳-学齢前","")</f>
        <v/>
      </c>
      <c r="AW43" s="2204" t="str">
        <f>IF(OR(AND(6&lt;=E43,E43&lt;=12),COUNTIF(E43, "小*")),"小学生","")</f>
        <v/>
      </c>
      <c r="AX43" s="2204" t="str">
        <f>IF(OR(AND(12&lt;=E43,E43&lt;=15),COUNTIF(E43, "中*")),"中学生","")</f>
        <v/>
      </c>
      <c r="AY43" s="2204" t="str">
        <f>IF(OR(AND(15&lt;=E43,E43&lt;=18),COUNTIF(E43, "高*")),"高校生(～18歳)","")</f>
        <v/>
      </c>
      <c r="AZ43" s="2204" t="str">
        <f>IF(OR(19&lt;=E43,COUNTIF(E43, "大*"),COUNTIF(E43, "*院*"),COUNTIF(E43, "*専*")),"一般(19歳～)","")</f>
        <v/>
      </c>
      <c r="BA43" s="2204" t="s">
        <v>425</v>
      </c>
      <c r="BB43" s="572" t="str">
        <f>IF(OR(AND(D43="",I43="",M43="",R43="",W43="",AB43="",AG43=""),AND(D43&lt;&gt;"",OR(I43&lt;&gt;"",M43&lt;&gt;"",R43&lt;&gt;"",W43&lt;&gt;"",AB43&lt;&gt;"",AG43&lt;&gt;""))),"○","×")</f>
        <v>○</v>
      </c>
      <c r="BC43" s="572" t="str">
        <f>IF(AND(BD43="○",BE43="○",BF43="○",BG43="○",BH43="○",BI43="○"),"○","×")</f>
        <v>○</v>
      </c>
      <c r="BD43" s="573" t="str">
        <f>IF(AND($I$7=" ",OR(I43&lt;&gt;"",K43&lt;&gt;"",L43&lt;&gt;"")),"×","○")</f>
        <v>○</v>
      </c>
      <c r="BE43" s="573" t="str">
        <f>IF(AND($M$7=" ",OR(M43&lt;&gt;"",O43&lt;&gt;"",P43&lt;&gt;"",Q43&lt;&gt;"")),"×","○")</f>
        <v>○</v>
      </c>
      <c r="BF43" s="573" t="str">
        <f>IF(AND($R$7=" ",OR(R43&lt;&gt;"",T43&lt;&gt;"",U43&lt;&gt;"",V43&lt;&gt;"")),"×","○")</f>
        <v>○</v>
      </c>
      <c r="BG43" s="573" t="str">
        <f>IF(AND($W$7=" ",OR(W43&lt;&gt;"",Y43&lt;&gt;"",Z43&lt;&gt;"",AA43&lt;&gt;"")),"×","○")</f>
        <v>○</v>
      </c>
      <c r="BH43" s="573" t="str">
        <f>IF(AND($AB$7=" ",OR(AB43&lt;&gt;"",AD43&lt;&gt;"",AE43&lt;&gt;"",AF43&lt;&gt;"")),"×","○")</f>
        <v>○</v>
      </c>
      <c r="BI43" s="573" t="str">
        <f>IF(AND($AG$7=" ",OR(AG43&lt;&gt;"",AI43&lt;&gt;"",AJ43&lt;&gt;"")),"×","○")</f>
        <v>○</v>
      </c>
      <c r="BJ43" s="2472" t="e">
        <f>SUMPRODUCT(1/COUNTIF(I43:AH43,"宿泊"))</f>
        <v>#DIV/0!</v>
      </c>
      <c r="BK43" s="2473" t="e">
        <f>SUMPRODUCT(1/COUNTIF(I43:AH43,"日帰り"))</f>
        <v>#DIV/0!</v>
      </c>
      <c r="BL43" s="1584">
        <f>COUNT(BJ43)-COUNT(BK43)</f>
        <v>0</v>
      </c>
      <c r="BM43" s="599"/>
      <c r="BN43" s="581"/>
      <c r="BO43" s="581"/>
      <c r="BP43" s="580"/>
      <c r="BQ43" s="582"/>
      <c r="BR43" s="582"/>
      <c r="BS43" s="580"/>
      <c r="BT43" s="583"/>
      <c r="BU43" s="583"/>
      <c r="BV43" s="583"/>
      <c r="BW43" s="583"/>
      <c r="BX43" s="583"/>
      <c r="BY43" s="583"/>
      <c r="BZ43" s="583"/>
      <c r="CA43" s="583"/>
      <c r="CB43" s="583"/>
      <c r="CC43" s="583"/>
      <c r="CD43" s="583"/>
      <c r="CE43" s="583"/>
      <c r="CF43" s="583"/>
      <c r="CG43" s="583"/>
      <c r="CH43" s="583"/>
      <c r="CI43" s="583"/>
      <c r="CJ43" s="583"/>
      <c r="CK43" s="583"/>
      <c r="CL43" s="583"/>
      <c r="CM43" s="583"/>
      <c r="CN43" s="583"/>
      <c r="CO43" s="583"/>
      <c r="CP43" s="583"/>
    </row>
    <row r="44" spans="1:94" ht="14.1" customHeight="1" x14ac:dyDescent="0.15">
      <c r="A44" s="572"/>
      <c r="B44" s="2421"/>
      <c r="C44" s="2359"/>
      <c r="D44" s="2231"/>
      <c r="E44" s="2229"/>
      <c r="F44" s="2242"/>
      <c r="G44" s="2363"/>
      <c r="H44" s="2291"/>
      <c r="I44" s="2286"/>
      <c r="J44" s="2287"/>
      <c r="K44" s="2289"/>
      <c r="L44" s="2367"/>
      <c r="M44" s="2286"/>
      <c r="N44" s="2287"/>
      <c r="O44" s="2289"/>
      <c r="P44" s="2289"/>
      <c r="Q44" s="2291"/>
      <c r="R44" s="2286"/>
      <c r="S44" s="2287"/>
      <c r="T44" s="2289"/>
      <c r="U44" s="2289"/>
      <c r="V44" s="2291"/>
      <c r="W44" s="2401"/>
      <c r="X44" s="2402"/>
      <c r="Y44" s="2396"/>
      <c r="Z44" s="2396"/>
      <c r="AA44" s="2398"/>
      <c r="AB44" s="2401"/>
      <c r="AC44" s="2402"/>
      <c r="AD44" s="2396"/>
      <c r="AE44" s="2396"/>
      <c r="AF44" s="2398"/>
      <c r="AG44" s="2401"/>
      <c r="AH44" s="2402"/>
      <c r="AI44" s="2396"/>
      <c r="AJ44" s="2398"/>
      <c r="AK44" s="2235"/>
      <c r="AL44" s="2236"/>
      <c r="AM44" s="2236"/>
      <c r="AN44" s="2237"/>
      <c r="AO44" s="2235"/>
      <c r="AP44" s="2236"/>
      <c r="AQ44" s="2236"/>
      <c r="AR44" s="2237"/>
      <c r="AS44" s="571"/>
      <c r="AT44" s="572"/>
      <c r="AU44" s="2204"/>
      <c r="AV44" s="2204"/>
      <c r="AW44" s="2204"/>
      <c r="AX44" s="2204"/>
      <c r="AY44" s="2204"/>
      <c r="AZ44" s="2204"/>
      <c r="BA44" s="2204"/>
      <c r="BB44" s="574"/>
      <c r="BC44" s="574"/>
      <c r="BD44" s="572"/>
      <c r="BE44" s="572"/>
      <c r="BF44" s="572"/>
      <c r="BG44" s="572"/>
      <c r="BH44" s="572"/>
      <c r="BI44" s="572"/>
      <c r="BJ44" s="2472"/>
      <c r="BK44" s="2473"/>
      <c r="BL44" s="1584"/>
      <c r="BM44" s="599"/>
      <c r="BN44" s="581"/>
      <c r="BO44" s="581"/>
      <c r="BP44" s="580"/>
      <c r="BQ44" s="582"/>
      <c r="BR44" s="582"/>
      <c r="BS44" s="580"/>
      <c r="BT44" s="583"/>
      <c r="BU44" s="583"/>
      <c r="BV44" s="583"/>
      <c r="BW44" s="583"/>
      <c r="BX44" s="583"/>
      <c r="BY44" s="583"/>
      <c r="BZ44" s="583"/>
      <c r="CA44" s="583"/>
      <c r="CB44" s="583"/>
      <c r="CC44" s="583"/>
      <c r="CD44" s="583"/>
      <c r="CE44" s="583"/>
      <c r="CF44" s="583"/>
      <c r="CG44" s="583"/>
      <c r="CH44" s="583"/>
      <c r="CI44" s="583"/>
      <c r="CJ44" s="583"/>
      <c r="CK44" s="583"/>
      <c r="CL44" s="583"/>
      <c r="CM44" s="583"/>
      <c r="CN44" s="583"/>
      <c r="CO44" s="583"/>
      <c r="CP44" s="583"/>
    </row>
    <row r="45" spans="1:94" ht="14.1" customHeight="1" x14ac:dyDescent="0.15">
      <c r="A45" s="572" t="str">
        <f>IF(AND(D45="",D47&lt;&gt;""),"×","○")</f>
        <v>○</v>
      </c>
      <c r="B45" s="2421" t="str">
        <f>IF(AND(AT45="○",BB45="○",BC45="○",A45="○"),"○","×")</f>
        <v>○</v>
      </c>
      <c r="C45" s="2393">
        <v>16</v>
      </c>
      <c r="D45" s="2230"/>
      <c r="E45" s="2228"/>
      <c r="F45" s="2241"/>
      <c r="G45" s="2391"/>
      <c r="H45" s="2290"/>
      <c r="I45" s="2284"/>
      <c r="J45" s="2285"/>
      <c r="K45" s="2288"/>
      <c r="L45" s="2392"/>
      <c r="M45" s="2346"/>
      <c r="N45" s="2347"/>
      <c r="O45" s="2288"/>
      <c r="P45" s="2288"/>
      <c r="Q45" s="2290"/>
      <c r="R45" s="2346"/>
      <c r="S45" s="2347"/>
      <c r="T45" s="2288"/>
      <c r="U45" s="2288"/>
      <c r="V45" s="2290"/>
      <c r="W45" s="2399"/>
      <c r="X45" s="2400"/>
      <c r="Y45" s="2395"/>
      <c r="Z45" s="2395"/>
      <c r="AA45" s="2397"/>
      <c r="AB45" s="2399"/>
      <c r="AC45" s="2400"/>
      <c r="AD45" s="2395"/>
      <c r="AE45" s="2395"/>
      <c r="AF45" s="2397"/>
      <c r="AG45" s="2399"/>
      <c r="AH45" s="2400"/>
      <c r="AI45" s="2395"/>
      <c r="AJ45" s="2397"/>
      <c r="AK45" s="2267"/>
      <c r="AL45" s="2268"/>
      <c r="AM45" s="2268"/>
      <c r="AN45" s="2269"/>
      <c r="AO45" s="2232"/>
      <c r="AP45" s="2233"/>
      <c r="AQ45" s="2233"/>
      <c r="AR45" s="2234"/>
      <c r="AS45" s="571"/>
      <c r="AT45" s="572" t="str">
        <f>IF(OR(AND(D45&lt;&gt;"",OR(AND(E45&lt;&gt;"",F45&lt;&gt;"",OR(G45&lt;&gt;"",H45&lt;&gt;"")),AND(E45="",F45="バス・カメラマン等"))),AND(D45="",E45="",F45="",OR(G45="",H45=""))),"○","×")</f>
        <v>○</v>
      </c>
      <c r="AU45" s="2204" t="str">
        <f>IF(AND(E45&lt;&gt;"",E45&lt;=2),"2歳児以下","")</f>
        <v/>
      </c>
      <c r="AV45" s="2204" t="str">
        <f>IF(OR(AND(3&lt;=E45,E45&lt;=6),COUNTIF(E45, "幼*"),COUNTIF(E45, "年少"),COUNTIF(E45, "年中"),COUNTIF(E45, "年長")),"3歳-学齢前","")</f>
        <v/>
      </c>
      <c r="AW45" s="2204" t="str">
        <f>IF(OR(AND(6&lt;=E45,E45&lt;=12),COUNTIF(E45, "小*")),"小学生","")</f>
        <v/>
      </c>
      <c r="AX45" s="2204" t="str">
        <f>IF(OR(AND(12&lt;=E45,E45&lt;=15),COUNTIF(E45, "中*")),"中学生","")</f>
        <v/>
      </c>
      <c r="AY45" s="2204" t="str">
        <f>IF(OR(AND(15&lt;=E45,E45&lt;=18),COUNTIF(E45, "高*")),"高校生(～18歳)","")</f>
        <v/>
      </c>
      <c r="AZ45" s="2204" t="str">
        <f>IF(OR(19&lt;=E45,COUNTIF(E45, "大*"),COUNTIF(E45, "*院*"),COUNTIF(E45, "*専*")),"一般(19歳～)","")</f>
        <v/>
      </c>
      <c r="BA45" s="2204" t="s">
        <v>425</v>
      </c>
      <c r="BB45" s="572" t="str">
        <f>IF(OR(AND(D45="",I45="",M45="",R45="",W45="",AB45="",AG45=""),AND(D45&lt;&gt;"",OR(I45&lt;&gt;"",M45&lt;&gt;"",R45&lt;&gt;"",W45&lt;&gt;"",AB45&lt;&gt;"",AG45&lt;&gt;""))),"○","×")</f>
        <v>○</v>
      </c>
      <c r="BC45" s="572" t="str">
        <f>IF(AND(BD45="○",BE45="○",BF45="○",BG45="○",BH45="○",BI45="○"),"○","×")</f>
        <v>○</v>
      </c>
      <c r="BD45" s="573" t="str">
        <f>IF(AND($I$7=" ",OR(I45&lt;&gt;"",K45&lt;&gt;"",L45&lt;&gt;"")),"×","○")</f>
        <v>○</v>
      </c>
      <c r="BE45" s="573" t="str">
        <f>IF(AND($M$7=" ",OR(M45&lt;&gt;"",O45&lt;&gt;"",P45&lt;&gt;"",Q45&lt;&gt;"")),"×","○")</f>
        <v>○</v>
      </c>
      <c r="BF45" s="573" t="str">
        <f>IF(AND($R$7=" ",OR(R45&lt;&gt;"",T45&lt;&gt;"",U45&lt;&gt;"",V45&lt;&gt;"")),"×","○")</f>
        <v>○</v>
      </c>
      <c r="BG45" s="573" t="str">
        <f>IF(AND($W$7=" ",OR(W45&lt;&gt;"",Y45&lt;&gt;"",Z45&lt;&gt;"",AA45&lt;&gt;"")),"×","○")</f>
        <v>○</v>
      </c>
      <c r="BH45" s="573" t="str">
        <f>IF(AND($AB$7=" ",OR(AB45&lt;&gt;"",AD45&lt;&gt;"",AE45&lt;&gt;"",AF45&lt;&gt;"")),"×","○")</f>
        <v>○</v>
      </c>
      <c r="BI45" s="573" t="str">
        <f>IF(AND($AG$7=" ",OR(AG45&lt;&gt;"",AI45&lt;&gt;"",AJ45&lt;&gt;"")),"×","○")</f>
        <v>○</v>
      </c>
      <c r="BJ45" s="2472" t="e">
        <f>SUMPRODUCT(1/COUNTIF(I45:AH45,"宿泊"))</f>
        <v>#DIV/0!</v>
      </c>
      <c r="BK45" s="2473" t="e">
        <f>SUMPRODUCT(1/COUNTIF(I45:AH45,"日帰り"))</f>
        <v>#DIV/0!</v>
      </c>
      <c r="BL45" s="1584">
        <f>COUNT(BJ45)-COUNT(BK45)</f>
        <v>0</v>
      </c>
      <c r="BM45" s="599"/>
      <c r="CB45" s="584"/>
      <c r="CC45" s="584"/>
      <c r="CD45" s="584"/>
      <c r="CE45" s="584"/>
      <c r="CF45" s="584"/>
      <c r="CG45" s="584"/>
      <c r="CH45" s="584"/>
      <c r="CI45" s="584"/>
      <c r="CJ45" s="584"/>
      <c r="CK45" s="584"/>
      <c r="CL45" s="584"/>
      <c r="CM45" s="584"/>
      <c r="CN45" s="584"/>
      <c r="CO45" s="584"/>
      <c r="CP45" s="584"/>
    </row>
    <row r="46" spans="1:94" ht="14.1" customHeight="1" x14ac:dyDescent="0.15">
      <c r="A46" s="572"/>
      <c r="B46" s="2421"/>
      <c r="C46" s="2394"/>
      <c r="D46" s="2231"/>
      <c r="E46" s="2229"/>
      <c r="F46" s="2242"/>
      <c r="G46" s="2363"/>
      <c r="H46" s="2291"/>
      <c r="I46" s="2286"/>
      <c r="J46" s="2287"/>
      <c r="K46" s="2289"/>
      <c r="L46" s="2367"/>
      <c r="M46" s="2286"/>
      <c r="N46" s="2287"/>
      <c r="O46" s="2289"/>
      <c r="P46" s="2289"/>
      <c r="Q46" s="2291"/>
      <c r="R46" s="2286"/>
      <c r="S46" s="2287"/>
      <c r="T46" s="2289"/>
      <c r="U46" s="2289"/>
      <c r="V46" s="2291"/>
      <c r="W46" s="2401"/>
      <c r="X46" s="2402"/>
      <c r="Y46" s="2396"/>
      <c r="Z46" s="2396"/>
      <c r="AA46" s="2398"/>
      <c r="AB46" s="2401"/>
      <c r="AC46" s="2402"/>
      <c r="AD46" s="2396"/>
      <c r="AE46" s="2396"/>
      <c r="AF46" s="2398"/>
      <c r="AG46" s="2401"/>
      <c r="AH46" s="2402"/>
      <c r="AI46" s="2396"/>
      <c r="AJ46" s="2398"/>
      <c r="AK46" s="2235"/>
      <c r="AL46" s="2236"/>
      <c r="AM46" s="2236"/>
      <c r="AN46" s="2237"/>
      <c r="AO46" s="2235"/>
      <c r="AP46" s="2236"/>
      <c r="AQ46" s="2236"/>
      <c r="AR46" s="2237"/>
      <c r="AS46" s="571"/>
      <c r="AT46" s="572"/>
      <c r="AU46" s="2204"/>
      <c r="AV46" s="2204"/>
      <c r="AW46" s="2204"/>
      <c r="AX46" s="2204"/>
      <c r="AY46" s="2204"/>
      <c r="AZ46" s="2204"/>
      <c r="BA46" s="2204"/>
      <c r="BB46" s="574"/>
      <c r="BC46" s="574"/>
      <c r="BD46" s="572"/>
      <c r="BE46" s="572"/>
      <c r="BF46" s="572"/>
      <c r="BG46" s="572"/>
      <c r="BH46" s="572"/>
      <c r="BI46" s="572"/>
      <c r="BJ46" s="2472"/>
      <c r="BK46" s="2473"/>
      <c r="BL46" s="1584"/>
      <c r="BM46" s="599"/>
      <c r="CB46" s="584"/>
      <c r="CC46" s="584"/>
      <c r="CD46" s="584"/>
      <c r="CE46" s="584"/>
      <c r="CF46" s="584"/>
      <c r="CG46" s="584"/>
      <c r="CH46" s="584"/>
      <c r="CI46" s="584"/>
      <c r="CJ46" s="584"/>
      <c r="CK46" s="584"/>
      <c r="CL46" s="584"/>
      <c r="CM46" s="584"/>
      <c r="CN46" s="584"/>
      <c r="CO46" s="584"/>
      <c r="CP46" s="584"/>
    </row>
    <row r="47" spans="1:94" ht="14.1" customHeight="1" x14ac:dyDescent="0.15">
      <c r="A47" s="572" t="str">
        <f>IF(AND(D47="",D49&lt;&gt;""),"×","○")</f>
        <v>○</v>
      </c>
      <c r="B47" s="2421" t="str">
        <f>IF(AND(AT47="○",BB47="○",BC47="○",A47="○"),"○","×")</f>
        <v>○</v>
      </c>
      <c r="C47" s="2393">
        <v>17</v>
      </c>
      <c r="D47" s="2230"/>
      <c r="E47" s="2228"/>
      <c r="F47" s="2241"/>
      <c r="G47" s="2391"/>
      <c r="H47" s="2290"/>
      <c r="I47" s="2284"/>
      <c r="J47" s="2285"/>
      <c r="K47" s="2288"/>
      <c r="L47" s="2392"/>
      <c r="M47" s="2346"/>
      <c r="N47" s="2347"/>
      <c r="O47" s="2288"/>
      <c r="P47" s="2288"/>
      <c r="Q47" s="2290"/>
      <c r="R47" s="2346"/>
      <c r="S47" s="2347"/>
      <c r="T47" s="2288"/>
      <c r="U47" s="2288"/>
      <c r="V47" s="2290"/>
      <c r="W47" s="2399"/>
      <c r="X47" s="2400"/>
      <c r="Y47" s="2395"/>
      <c r="Z47" s="2395"/>
      <c r="AA47" s="2397"/>
      <c r="AB47" s="2399"/>
      <c r="AC47" s="2400"/>
      <c r="AD47" s="2395"/>
      <c r="AE47" s="2395"/>
      <c r="AF47" s="2397"/>
      <c r="AG47" s="2399"/>
      <c r="AH47" s="2400"/>
      <c r="AI47" s="2395"/>
      <c r="AJ47" s="2397"/>
      <c r="AK47" s="2267"/>
      <c r="AL47" s="2268"/>
      <c r="AM47" s="2268"/>
      <c r="AN47" s="2269"/>
      <c r="AO47" s="2232"/>
      <c r="AP47" s="2233"/>
      <c r="AQ47" s="2233"/>
      <c r="AR47" s="2234"/>
      <c r="AS47" s="571"/>
      <c r="AT47" s="572" t="str">
        <f>IF(OR(AND(D47&lt;&gt;"",OR(AND(E47&lt;&gt;"",F47&lt;&gt;"",OR(G47&lt;&gt;"",H47&lt;&gt;"")),AND(E47="",F47="バス・カメラマン等"))),AND(D47="",E47="",F47="",OR(G47="",H47=""))),"○","×")</f>
        <v>○</v>
      </c>
      <c r="AU47" s="2204" t="str">
        <f>IF(AND(E47&lt;&gt;"",E47&lt;=2),"2歳児以下","")</f>
        <v/>
      </c>
      <c r="AV47" s="2204" t="str">
        <f>IF(OR(AND(3&lt;=E47,E47&lt;=6),COUNTIF(E47, "幼*"),COUNTIF(E47, "年少"),COUNTIF(E47, "年中"),COUNTIF(E47, "年長")),"3歳-学齢前","")</f>
        <v/>
      </c>
      <c r="AW47" s="2204" t="str">
        <f>IF(OR(AND(6&lt;=E47,E47&lt;=12),COUNTIF(E47, "小*")),"小学生","")</f>
        <v/>
      </c>
      <c r="AX47" s="2204" t="str">
        <f>IF(OR(AND(12&lt;=E47,E47&lt;=15),COUNTIF(E47, "中*")),"中学生","")</f>
        <v/>
      </c>
      <c r="AY47" s="2204" t="str">
        <f>IF(OR(AND(15&lt;=E47,E47&lt;=18),COUNTIF(E47, "高*")),"高校生(～18歳)","")</f>
        <v/>
      </c>
      <c r="AZ47" s="2204" t="str">
        <f>IF(OR(19&lt;=E47,COUNTIF(E47, "大*"),COUNTIF(E47, "*院*"),COUNTIF(E47, "*専*")),"一般(19歳～)","")</f>
        <v/>
      </c>
      <c r="BA47" s="2204" t="s">
        <v>425</v>
      </c>
      <c r="BB47" s="572" t="str">
        <f>IF(OR(AND(D47="",I47="",M47="",R47="",W47="",AB47="",AG47=""),AND(D47&lt;&gt;"",OR(I47&lt;&gt;"",M47&lt;&gt;"",R47&lt;&gt;"",W47&lt;&gt;"",AB47&lt;&gt;"",AG47&lt;&gt;""))),"○","×")</f>
        <v>○</v>
      </c>
      <c r="BC47" s="572" t="str">
        <f>IF(AND(BD47="○",BE47="○",BF47="○",BG47="○",BH47="○",BI47="○"),"○","×")</f>
        <v>○</v>
      </c>
      <c r="BD47" s="573" t="str">
        <f>IF(AND($I$7=" ",OR(I47&lt;&gt;"",K47&lt;&gt;"",L47&lt;&gt;"")),"×","○")</f>
        <v>○</v>
      </c>
      <c r="BE47" s="573" t="str">
        <f>IF(AND($M$7=" ",OR(M47&lt;&gt;"",O47&lt;&gt;"",P47&lt;&gt;"",Q47&lt;&gt;"")),"×","○")</f>
        <v>○</v>
      </c>
      <c r="BF47" s="573" t="str">
        <f>IF(AND($R$7=" ",OR(R47&lt;&gt;"",T47&lt;&gt;"",U47&lt;&gt;"",V47&lt;&gt;"")),"×","○")</f>
        <v>○</v>
      </c>
      <c r="BG47" s="573" t="str">
        <f>IF(AND($W$7=" ",OR(W47&lt;&gt;"",Y47&lt;&gt;"",Z47&lt;&gt;"",AA47&lt;&gt;"")),"×","○")</f>
        <v>○</v>
      </c>
      <c r="BH47" s="573" t="str">
        <f>IF(AND($AB$7=" ",OR(AB47&lt;&gt;"",AD47&lt;&gt;"",AE47&lt;&gt;"",AF47&lt;&gt;"")),"×","○")</f>
        <v>○</v>
      </c>
      <c r="BI47" s="573" t="str">
        <f>IF(AND($AG$7=" ",OR(AG47&lt;&gt;"",AI47&lt;&gt;"",AJ47&lt;&gt;"")),"×","○")</f>
        <v>○</v>
      </c>
      <c r="BJ47" s="2472" t="e">
        <f>SUMPRODUCT(1/COUNTIF(I47:AH47,"宿泊"))</f>
        <v>#DIV/0!</v>
      </c>
      <c r="BK47" s="2473" t="e">
        <f>SUMPRODUCT(1/COUNTIF(I47:AH47,"日帰り"))</f>
        <v>#DIV/0!</v>
      </c>
      <c r="BL47" s="1584">
        <f>COUNT(BJ47)-COUNT(BK47)</f>
        <v>0</v>
      </c>
      <c r="BM47" s="599"/>
      <c r="CB47" s="584"/>
      <c r="CC47" s="584"/>
      <c r="CD47" s="584"/>
      <c r="CE47" s="584"/>
      <c r="CF47" s="584"/>
      <c r="CG47" s="584"/>
      <c r="CH47" s="584"/>
      <c r="CI47" s="584"/>
      <c r="CJ47" s="584"/>
      <c r="CK47" s="584"/>
      <c r="CL47" s="584"/>
      <c r="CM47" s="584"/>
      <c r="CN47" s="584"/>
      <c r="CO47" s="584"/>
      <c r="CP47" s="584"/>
    </row>
    <row r="48" spans="1:94" ht="14.1" customHeight="1" x14ac:dyDescent="0.15">
      <c r="A48" s="572"/>
      <c r="B48" s="2421"/>
      <c r="C48" s="2394"/>
      <c r="D48" s="2231"/>
      <c r="E48" s="2229"/>
      <c r="F48" s="2242"/>
      <c r="G48" s="2363"/>
      <c r="H48" s="2291"/>
      <c r="I48" s="2286"/>
      <c r="J48" s="2287"/>
      <c r="K48" s="2289"/>
      <c r="L48" s="2367"/>
      <c r="M48" s="2286"/>
      <c r="N48" s="2287"/>
      <c r="O48" s="2289"/>
      <c r="P48" s="2289"/>
      <c r="Q48" s="2291"/>
      <c r="R48" s="2286"/>
      <c r="S48" s="2287"/>
      <c r="T48" s="2289"/>
      <c r="U48" s="2289"/>
      <c r="V48" s="2291"/>
      <c r="W48" s="2401"/>
      <c r="X48" s="2402"/>
      <c r="Y48" s="2396"/>
      <c r="Z48" s="2396"/>
      <c r="AA48" s="2398"/>
      <c r="AB48" s="2401"/>
      <c r="AC48" s="2402"/>
      <c r="AD48" s="2396"/>
      <c r="AE48" s="2396"/>
      <c r="AF48" s="2398"/>
      <c r="AG48" s="2401"/>
      <c r="AH48" s="2402"/>
      <c r="AI48" s="2396"/>
      <c r="AJ48" s="2398"/>
      <c r="AK48" s="2235"/>
      <c r="AL48" s="2236"/>
      <c r="AM48" s="2236"/>
      <c r="AN48" s="2237"/>
      <c r="AO48" s="2235"/>
      <c r="AP48" s="2236"/>
      <c r="AQ48" s="2236"/>
      <c r="AR48" s="2237"/>
      <c r="AS48" s="571"/>
      <c r="AT48" s="572"/>
      <c r="AU48" s="2204"/>
      <c r="AV48" s="2204"/>
      <c r="AW48" s="2204"/>
      <c r="AX48" s="2204"/>
      <c r="AY48" s="2204"/>
      <c r="AZ48" s="2204"/>
      <c r="BA48" s="2204"/>
      <c r="BB48" s="574"/>
      <c r="BC48" s="574"/>
      <c r="BD48" s="572"/>
      <c r="BE48" s="572"/>
      <c r="BF48" s="572"/>
      <c r="BG48" s="572"/>
      <c r="BH48" s="572"/>
      <c r="BI48" s="572"/>
      <c r="BJ48" s="2472"/>
      <c r="BK48" s="2473"/>
      <c r="BL48" s="1584"/>
      <c r="BM48" s="599"/>
      <c r="CB48" s="584"/>
      <c r="CC48" s="584"/>
      <c r="CD48" s="584"/>
      <c r="CE48" s="584"/>
      <c r="CF48" s="584"/>
      <c r="CG48" s="584"/>
      <c r="CH48" s="584"/>
      <c r="CI48" s="584"/>
      <c r="CJ48" s="584"/>
      <c r="CK48" s="584"/>
      <c r="CL48" s="584"/>
      <c r="CM48" s="584"/>
      <c r="CN48" s="584"/>
      <c r="CO48" s="584"/>
      <c r="CP48" s="584"/>
    </row>
    <row r="49" spans="1:94" ht="14.1" customHeight="1" x14ac:dyDescent="0.15">
      <c r="A49" s="572" t="str">
        <f>IF(AND(D49="",D51&lt;&gt;""),"×","○")</f>
        <v>○</v>
      </c>
      <c r="B49" s="2421" t="str">
        <f>IF(AND(AT49="○",BB49="○",BC49="○",A49="○"),"○","×")</f>
        <v>○</v>
      </c>
      <c r="C49" s="2393">
        <v>18</v>
      </c>
      <c r="D49" s="2230"/>
      <c r="E49" s="2228"/>
      <c r="F49" s="2241"/>
      <c r="G49" s="2391"/>
      <c r="H49" s="2290"/>
      <c r="I49" s="2284"/>
      <c r="J49" s="2285"/>
      <c r="K49" s="2288"/>
      <c r="L49" s="2392"/>
      <c r="M49" s="2346"/>
      <c r="N49" s="2347"/>
      <c r="O49" s="2288"/>
      <c r="P49" s="2288"/>
      <c r="Q49" s="2290"/>
      <c r="R49" s="2346"/>
      <c r="S49" s="2347"/>
      <c r="T49" s="2288"/>
      <c r="U49" s="2288"/>
      <c r="V49" s="2290"/>
      <c r="W49" s="2399"/>
      <c r="X49" s="2400"/>
      <c r="Y49" s="2395"/>
      <c r="Z49" s="2395"/>
      <c r="AA49" s="2397"/>
      <c r="AB49" s="2399"/>
      <c r="AC49" s="2400"/>
      <c r="AD49" s="2395"/>
      <c r="AE49" s="2395"/>
      <c r="AF49" s="2397"/>
      <c r="AG49" s="2399"/>
      <c r="AH49" s="2400"/>
      <c r="AI49" s="2395"/>
      <c r="AJ49" s="2397"/>
      <c r="AK49" s="2267"/>
      <c r="AL49" s="2268"/>
      <c r="AM49" s="2268"/>
      <c r="AN49" s="2269"/>
      <c r="AO49" s="2232"/>
      <c r="AP49" s="2233"/>
      <c r="AQ49" s="2233"/>
      <c r="AR49" s="2234"/>
      <c r="AS49" s="571"/>
      <c r="AT49" s="572" t="str">
        <f>IF(OR(AND(D49&lt;&gt;"",OR(AND(E49&lt;&gt;"",F49&lt;&gt;"",OR(G49&lt;&gt;"",H49&lt;&gt;"")),AND(E49="",F49="バス・カメラマン等"))),AND(D49="",E49="",F49="",OR(G49="",H49=""))),"○","×")</f>
        <v>○</v>
      </c>
      <c r="AU49" s="2204" t="str">
        <f>IF(AND(E49&lt;&gt;"",E49&lt;=2),"2歳児以下","")</f>
        <v/>
      </c>
      <c r="AV49" s="2204" t="str">
        <f>IF(OR(AND(3&lt;=E49,E49&lt;=6),COUNTIF(E49, "幼*"),COUNTIF(E49, "年少"),COUNTIF(E49, "年中"),COUNTIF(E49, "年長")),"3歳-学齢前","")</f>
        <v/>
      </c>
      <c r="AW49" s="2204" t="str">
        <f>IF(OR(AND(6&lt;=E49,E49&lt;=12),COUNTIF(E49, "小*")),"小学生","")</f>
        <v/>
      </c>
      <c r="AX49" s="2204" t="str">
        <f>IF(OR(AND(12&lt;=E49,E49&lt;=15),COUNTIF(E49, "中*")),"中学生","")</f>
        <v/>
      </c>
      <c r="AY49" s="2204" t="str">
        <f>IF(OR(AND(15&lt;=E49,E49&lt;=18),COUNTIF(E49, "高*")),"高校生(～18歳)","")</f>
        <v/>
      </c>
      <c r="AZ49" s="2204" t="str">
        <f>IF(OR(19&lt;=E49,COUNTIF(E49, "大*"),COUNTIF(E49, "*院*"),COUNTIF(E49, "*専*")),"一般(19歳～)","")</f>
        <v/>
      </c>
      <c r="BA49" s="2204" t="s">
        <v>425</v>
      </c>
      <c r="BB49" s="572" t="str">
        <f>IF(OR(AND(D49="",I49="",M49="",R49="",W49="",AB49="",AG49=""),AND(D49&lt;&gt;"",OR(I49&lt;&gt;"",M49&lt;&gt;"",R49&lt;&gt;"",W49&lt;&gt;"",AB49&lt;&gt;"",AG49&lt;&gt;""))),"○","×")</f>
        <v>○</v>
      </c>
      <c r="BC49" s="572" t="str">
        <f>IF(AND(BD49="○",BE49="○",BF49="○",BG49="○",BH49="○",BI49="○"),"○","×")</f>
        <v>○</v>
      </c>
      <c r="BD49" s="573" t="str">
        <f>IF(AND($I$7=" ",OR(I49&lt;&gt;"",K49&lt;&gt;"",L49&lt;&gt;"")),"×","○")</f>
        <v>○</v>
      </c>
      <c r="BE49" s="573" t="str">
        <f>IF(AND($M$7=" ",OR(M49&lt;&gt;"",O49&lt;&gt;"",P49&lt;&gt;"",Q49&lt;&gt;"")),"×","○")</f>
        <v>○</v>
      </c>
      <c r="BF49" s="573" t="str">
        <f>IF(AND($R$7=" ",OR(R49&lt;&gt;"",T49&lt;&gt;"",U49&lt;&gt;"",V49&lt;&gt;"")),"×","○")</f>
        <v>○</v>
      </c>
      <c r="BG49" s="573" t="str">
        <f>IF(AND($W$7=" ",OR(W49&lt;&gt;"",Y49&lt;&gt;"",Z49&lt;&gt;"",AA49&lt;&gt;"")),"×","○")</f>
        <v>○</v>
      </c>
      <c r="BH49" s="573" t="str">
        <f>IF(AND($AB$7=" ",OR(AB49&lt;&gt;"",AD49&lt;&gt;"",AE49&lt;&gt;"",AF49&lt;&gt;"")),"×","○")</f>
        <v>○</v>
      </c>
      <c r="BI49" s="573" t="str">
        <f>IF(AND($AG$7=" ",OR(AG49&lt;&gt;"",AI49&lt;&gt;"",AJ49&lt;&gt;"")),"×","○")</f>
        <v>○</v>
      </c>
      <c r="BJ49" s="2472" t="e">
        <f>SUMPRODUCT(1/COUNTIF(I49:AH49,"宿泊"))</f>
        <v>#DIV/0!</v>
      </c>
      <c r="BK49" s="2473" t="e">
        <f>SUMPRODUCT(1/COUNTIF(I49:AH49,"日帰り"))</f>
        <v>#DIV/0!</v>
      </c>
      <c r="BL49" s="1584">
        <f>COUNT(BJ49)-COUNT(BK49)</f>
        <v>0</v>
      </c>
      <c r="BM49" s="599"/>
      <c r="CB49" s="584"/>
      <c r="CC49" s="584"/>
      <c r="CD49" s="584"/>
      <c r="CE49" s="584"/>
      <c r="CF49" s="584"/>
      <c r="CG49" s="584"/>
      <c r="CH49" s="584"/>
      <c r="CI49" s="583"/>
      <c r="CJ49" s="584"/>
      <c r="CK49" s="584"/>
      <c r="CL49" s="584"/>
      <c r="CM49" s="584"/>
      <c r="CN49" s="584"/>
      <c r="CO49" s="584"/>
      <c r="CP49" s="584"/>
    </row>
    <row r="50" spans="1:94" ht="14.1" customHeight="1" x14ac:dyDescent="0.15">
      <c r="A50" s="572"/>
      <c r="B50" s="2421"/>
      <c r="C50" s="2394"/>
      <c r="D50" s="2231"/>
      <c r="E50" s="2229"/>
      <c r="F50" s="2242"/>
      <c r="G50" s="2363"/>
      <c r="H50" s="2291"/>
      <c r="I50" s="2286"/>
      <c r="J50" s="2287"/>
      <c r="K50" s="2289"/>
      <c r="L50" s="2367"/>
      <c r="M50" s="2286"/>
      <c r="N50" s="2287"/>
      <c r="O50" s="2289"/>
      <c r="P50" s="2289"/>
      <c r="Q50" s="2291"/>
      <c r="R50" s="2286"/>
      <c r="S50" s="2287"/>
      <c r="T50" s="2289"/>
      <c r="U50" s="2289"/>
      <c r="V50" s="2291"/>
      <c r="W50" s="2401"/>
      <c r="X50" s="2402"/>
      <c r="Y50" s="2396"/>
      <c r="Z50" s="2396"/>
      <c r="AA50" s="2398"/>
      <c r="AB50" s="2401"/>
      <c r="AC50" s="2402"/>
      <c r="AD50" s="2396"/>
      <c r="AE50" s="2396"/>
      <c r="AF50" s="2398"/>
      <c r="AG50" s="2401"/>
      <c r="AH50" s="2402"/>
      <c r="AI50" s="2396"/>
      <c r="AJ50" s="2398"/>
      <c r="AK50" s="2235"/>
      <c r="AL50" s="2236"/>
      <c r="AM50" s="2236"/>
      <c r="AN50" s="2237"/>
      <c r="AO50" s="2235"/>
      <c r="AP50" s="2236"/>
      <c r="AQ50" s="2236"/>
      <c r="AR50" s="2237"/>
      <c r="AS50" s="571"/>
      <c r="AT50" s="572"/>
      <c r="AU50" s="2204"/>
      <c r="AV50" s="2204"/>
      <c r="AW50" s="2204"/>
      <c r="AX50" s="2204"/>
      <c r="AY50" s="2204"/>
      <c r="AZ50" s="2204"/>
      <c r="BA50" s="2204"/>
      <c r="BB50" s="574"/>
      <c r="BC50" s="574"/>
      <c r="BD50" s="572"/>
      <c r="BE50" s="572"/>
      <c r="BF50" s="572"/>
      <c r="BG50" s="572"/>
      <c r="BH50" s="572"/>
      <c r="BI50" s="572"/>
      <c r="BJ50" s="2472"/>
      <c r="BK50" s="2473"/>
      <c r="BL50" s="1584"/>
      <c r="BM50" s="599"/>
      <c r="CB50" s="584"/>
      <c r="CC50" s="584"/>
      <c r="CD50" s="584"/>
      <c r="CE50" s="584"/>
      <c r="CF50" s="584"/>
      <c r="CG50" s="584"/>
      <c r="CH50" s="584"/>
      <c r="CI50" s="584"/>
      <c r="CJ50" s="584"/>
      <c r="CK50" s="584"/>
      <c r="CL50" s="584"/>
      <c r="CM50" s="584"/>
      <c r="CN50" s="584"/>
      <c r="CO50" s="584"/>
      <c r="CP50" s="584"/>
    </row>
    <row r="51" spans="1:94" ht="14.1" customHeight="1" x14ac:dyDescent="0.15">
      <c r="A51" s="572" t="str">
        <f>IF(AND(D51="",D53&lt;&gt;""),"×","○")</f>
        <v>○</v>
      </c>
      <c r="B51" s="2421" t="str">
        <f>IF(AND(AT51="○",BB51="○",BC51="○",A51="○"),"○","×")</f>
        <v>○</v>
      </c>
      <c r="C51" s="2393">
        <v>19</v>
      </c>
      <c r="D51" s="2230"/>
      <c r="E51" s="2228"/>
      <c r="F51" s="2241"/>
      <c r="G51" s="2391"/>
      <c r="H51" s="2290"/>
      <c r="I51" s="2284"/>
      <c r="J51" s="2285"/>
      <c r="K51" s="2288"/>
      <c r="L51" s="2392"/>
      <c r="M51" s="2346"/>
      <c r="N51" s="2347"/>
      <c r="O51" s="2288"/>
      <c r="P51" s="2288"/>
      <c r="Q51" s="2290"/>
      <c r="R51" s="2346"/>
      <c r="S51" s="2347"/>
      <c r="T51" s="2288"/>
      <c r="U51" s="2288"/>
      <c r="V51" s="2290"/>
      <c r="W51" s="2399"/>
      <c r="X51" s="2400"/>
      <c r="Y51" s="2395"/>
      <c r="Z51" s="2395"/>
      <c r="AA51" s="2397"/>
      <c r="AB51" s="2399"/>
      <c r="AC51" s="2400"/>
      <c r="AD51" s="2395"/>
      <c r="AE51" s="2395"/>
      <c r="AF51" s="2397"/>
      <c r="AG51" s="2399"/>
      <c r="AH51" s="2400"/>
      <c r="AI51" s="2395"/>
      <c r="AJ51" s="2397"/>
      <c r="AK51" s="2267"/>
      <c r="AL51" s="2268"/>
      <c r="AM51" s="2268"/>
      <c r="AN51" s="2269"/>
      <c r="AO51" s="2232"/>
      <c r="AP51" s="2233"/>
      <c r="AQ51" s="2233"/>
      <c r="AR51" s="2234"/>
      <c r="AS51" s="571"/>
      <c r="AT51" s="572" t="str">
        <f>IF(OR(AND(D51&lt;&gt;"",OR(AND(E51&lt;&gt;"",F51&lt;&gt;"",OR(G51&lt;&gt;"",H51&lt;&gt;"")),AND(E51="",F51="バス・カメラマン等"))),AND(D51="",E51="",F51="",OR(G51="",H51=""))),"○","×")</f>
        <v>○</v>
      </c>
      <c r="AU51" s="2204" t="str">
        <f>IF(AND(E51&lt;&gt;"",E51&lt;=2),"2歳児以下","")</f>
        <v/>
      </c>
      <c r="AV51" s="2204" t="str">
        <f>IF(OR(AND(3&lt;=E51,E51&lt;=6),COUNTIF(E51, "幼*"),COUNTIF(E51, "年少"),COUNTIF(E51, "年中"),COUNTIF(E51, "年長")),"3歳-学齢前","")</f>
        <v/>
      </c>
      <c r="AW51" s="2204" t="str">
        <f>IF(OR(AND(6&lt;=E51,E51&lt;=12),COUNTIF(E51, "小*")),"小学生","")</f>
        <v/>
      </c>
      <c r="AX51" s="2204" t="str">
        <f>IF(OR(AND(12&lt;=E51,E51&lt;=15),COUNTIF(E51, "中*")),"中学生","")</f>
        <v/>
      </c>
      <c r="AY51" s="2204" t="str">
        <f>IF(OR(AND(15&lt;=E51,E51&lt;=18),COUNTIF(E51, "高*")),"高校生(～18歳)","")</f>
        <v/>
      </c>
      <c r="AZ51" s="2204" t="str">
        <f>IF(OR(19&lt;=E51,COUNTIF(E51, "大*"),COUNTIF(E51, "*院*"),COUNTIF(E51, "*専*")),"一般(19歳～)","")</f>
        <v/>
      </c>
      <c r="BA51" s="2204" t="s">
        <v>425</v>
      </c>
      <c r="BB51" s="572" t="str">
        <f>IF(OR(AND(D51="",I51="",M51="",R51="",W51="",AB51="",AG51=""),AND(D51&lt;&gt;"",OR(I51&lt;&gt;"",M51&lt;&gt;"",R51&lt;&gt;"",W51&lt;&gt;"",AB51&lt;&gt;"",AG51&lt;&gt;""))),"○","×")</f>
        <v>○</v>
      </c>
      <c r="BC51" s="572" t="str">
        <f>IF(AND(BD51="○",BE51="○",BF51="○",BG51="○",BH51="○",BI51="○"),"○","×")</f>
        <v>○</v>
      </c>
      <c r="BD51" s="573" t="str">
        <f>IF(AND($I$7=" ",OR(I51&lt;&gt;"",K51&lt;&gt;"",L51&lt;&gt;"")),"×","○")</f>
        <v>○</v>
      </c>
      <c r="BE51" s="573" t="str">
        <f>IF(AND($M$7=" ",OR(M51&lt;&gt;"",O51&lt;&gt;"",P51&lt;&gt;"",Q51&lt;&gt;"")),"×","○")</f>
        <v>○</v>
      </c>
      <c r="BF51" s="573" t="str">
        <f>IF(AND($R$7=" ",OR(R51&lt;&gt;"",T51&lt;&gt;"",U51&lt;&gt;"",V51&lt;&gt;"")),"×","○")</f>
        <v>○</v>
      </c>
      <c r="BG51" s="573" t="str">
        <f>IF(AND($W$7=" ",OR(W51&lt;&gt;"",Y51&lt;&gt;"",Z51&lt;&gt;"",AA51&lt;&gt;"")),"×","○")</f>
        <v>○</v>
      </c>
      <c r="BH51" s="573" t="str">
        <f>IF(AND($AB$7=" ",OR(AB51&lt;&gt;"",AD51&lt;&gt;"",AE51&lt;&gt;"",AF51&lt;&gt;"")),"×","○")</f>
        <v>○</v>
      </c>
      <c r="BI51" s="573" t="str">
        <f>IF(AND($AG$7=" ",OR(AG51&lt;&gt;"",AI51&lt;&gt;"",AJ51&lt;&gt;"")),"×","○")</f>
        <v>○</v>
      </c>
      <c r="BJ51" s="2472" t="e">
        <f>SUMPRODUCT(1/COUNTIF(I51:AH51,"宿泊"))</f>
        <v>#DIV/0!</v>
      </c>
      <c r="BK51" s="2473" t="e">
        <f>SUMPRODUCT(1/COUNTIF(I51:AH51,"日帰り"))</f>
        <v>#DIV/0!</v>
      </c>
      <c r="BL51" s="1584">
        <f>COUNT(BJ51)-COUNT(BK51)</f>
        <v>0</v>
      </c>
      <c r="BM51" s="599"/>
      <c r="CB51" s="584"/>
      <c r="CC51" s="584"/>
      <c r="CD51" s="584"/>
      <c r="CE51" s="584"/>
      <c r="CF51" s="585"/>
      <c r="CG51" s="584"/>
      <c r="CH51" s="584"/>
      <c r="CI51" s="584"/>
      <c r="CJ51" s="584"/>
      <c r="CK51" s="584"/>
      <c r="CL51" s="584"/>
      <c r="CM51" s="584"/>
      <c r="CN51" s="584"/>
      <c r="CO51" s="584"/>
      <c r="CP51" s="584"/>
    </row>
    <row r="52" spans="1:94" ht="14.1" customHeight="1" x14ac:dyDescent="0.15">
      <c r="A52" s="572"/>
      <c r="B52" s="2421"/>
      <c r="C52" s="2394"/>
      <c r="D52" s="2231"/>
      <c r="E52" s="2229"/>
      <c r="F52" s="2242"/>
      <c r="G52" s="2363"/>
      <c r="H52" s="2291"/>
      <c r="I52" s="2286"/>
      <c r="J52" s="2287"/>
      <c r="K52" s="2289"/>
      <c r="L52" s="2367"/>
      <c r="M52" s="2286"/>
      <c r="N52" s="2287"/>
      <c r="O52" s="2289"/>
      <c r="P52" s="2289"/>
      <c r="Q52" s="2291"/>
      <c r="R52" s="2286"/>
      <c r="S52" s="2287"/>
      <c r="T52" s="2289"/>
      <c r="U52" s="2289"/>
      <c r="V52" s="2291"/>
      <c r="W52" s="2401"/>
      <c r="X52" s="2402"/>
      <c r="Y52" s="2396"/>
      <c r="Z52" s="2396"/>
      <c r="AA52" s="2398"/>
      <c r="AB52" s="2401"/>
      <c r="AC52" s="2402"/>
      <c r="AD52" s="2396"/>
      <c r="AE52" s="2396"/>
      <c r="AF52" s="2398"/>
      <c r="AG52" s="2401"/>
      <c r="AH52" s="2402"/>
      <c r="AI52" s="2396"/>
      <c r="AJ52" s="2398"/>
      <c r="AK52" s="2235"/>
      <c r="AL52" s="2236"/>
      <c r="AM52" s="2236"/>
      <c r="AN52" s="2237"/>
      <c r="AO52" s="2235"/>
      <c r="AP52" s="2236"/>
      <c r="AQ52" s="2236"/>
      <c r="AR52" s="2237"/>
      <c r="AS52" s="571"/>
      <c r="AT52" s="572"/>
      <c r="AU52" s="2204"/>
      <c r="AV52" s="2204"/>
      <c r="AW52" s="2204"/>
      <c r="AX52" s="2204"/>
      <c r="AY52" s="2204"/>
      <c r="AZ52" s="2204"/>
      <c r="BA52" s="2204"/>
      <c r="BB52" s="574"/>
      <c r="BC52" s="574"/>
      <c r="BD52" s="572"/>
      <c r="BE52" s="572"/>
      <c r="BF52" s="572"/>
      <c r="BG52" s="572"/>
      <c r="BH52" s="572"/>
      <c r="BI52" s="572"/>
      <c r="BJ52" s="2472"/>
      <c r="BK52" s="2473"/>
      <c r="BL52" s="1584"/>
      <c r="BM52" s="599"/>
      <c r="CB52" s="584"/>
      <c r="CC52" s="584"/>
      <c r="CD52" s="584"/>
      <c r="CE52" s="584"/>
      <c r="CF52" s="584"/>
      <c r="CG52" s="584"/>
      <c r="CH52" s="584"/>
      <c r="CI52" s="584"/>
      <c r="CJ52" s="584"/>
      <c r="CK52" s="584"/>
      <c r="CL52" s="584"/>
      <c r="CM52" s="584"/>
      <c r="CN52" s="584"/>
      <c r="CO52" s="584"/>
      <c r="CP52" s="584"/>
    </row>
    <row r="53" spans="1:94" ht="14.1" customHeight="1" x14ac:dyDescent="0.15">
      <c r="A53" s="572" t="str">
        <f>IF(AND(D53="",D55&lt;&gt;""),"×","○")</f>
        <v>○</v>
      </c>
      <c r="B53" s="2421" t="str">
        <f>IF(AND(AT53="○",BB53="○",BC53="○",A53="○"),"○","×")</f>
        <v>○</v>
      </c>
      <c r="C53" s="2393">
        <v>20</v>
      </c>
      <c r="D53" s="2230"/>
      <c r="E53" s="2228"/>
      <c r="F53" s="2241"/>
      <c r="G53" s="2391"/>
      <c r="H53" s="2290"/>
      <c r="I53" s="2284"/>
      <c r="J53" s="2285"/>
      <c r="K53" s="2288"/>
      <c r="L53" s="2392"/>
      <c r="M53" s="2346"/>
      <c r="N53" s="2347"/>
      <c r="O53" s="2288"/>
      <c r="P53" s="2288"/>
      <c r="Q53" s="2290"/>
      <c r="R53" s="2346"/>
      <c r="S53" s="2347"/>
      <c r="T53" s="2288"/>
      <c r="U53" s="2288"/>
      <c r="V53" s="2290"/>
      <c r="W53" s="2399"/>
      <c r="X53" s="2400"/>
      <c r="Y53" s="2395"/>
      <c r="Z53" s="2395"/>
      <c r="AA53" s="2397"/>
      <c r="AB53" s="2399"/>
      <c r="AC53" s="2400"/>
      <c r="AD53" s="2395"/>
      <c r="AE53" s="2395"/>
      <c r="AF53" s="2397"/>
      <c r="AG53" s="2399"/>
      <c r="AH53" s="2400"/>
      <c r="AI53" s="2395"/>
      <c r="AJ53" s="2397"/>
      <c r="AK53" s="2267"/>
      <c r="AL53" s="2268"/>
      <c r="AM53" s="2268"/>
      <c r="AN53" s="2269"/>
      <c r="AO53" s="2232"/>
      <c r="AP53" s="2233"/>
      <c r="AQ53" s="2233"/>
      <c r="AR53" s="2234"/>
      <c r="AS53" s="571"/>
      <c r="AT53" s="572" t="str">
        <f>IF(OR(AND(D53&lt;&gt;"",OR(AND(E53&lt;&gt;"",F53&lt;&gt;"",OR(G53&lt;&gt;"",H53&lt;&gt;"")),AND(E53="",F53="バス・カメラマン等"))),AND(D53="",E53="",F53="",OR(G53="",H53=""))),"○","×")</f>
        <v>○</v>
      </c>
      <c r="AU53" s="2204" t="str">
        <f>IF(AND(E53&lt;&gt;"",E53&lt;=2),"2歳児以下","")</f>
        <v/>
      </c>
      <c r="AV53" s="2204" t="str">
        <f>IF(OR(AND(3&lt;=E53,E53&lt;=6),COUNTIF(E53, "幼*"),COUNTIF(E53, "年少"),COUNTIF(E53, "年中"),COUNTIF(E53, "年長")),"3歳-学齢前","")</f>
        <v/>
      </c>
      <c r="AW53" s="2204" t="str">
        <f>IF(OR(AND(6&lt;=E53,E53&lt;=12),COUNTIF(E53, "小*")),"小学生","")</f>
        <v/>
      </c>
      <c r="AX53" s="2204" t="str">
        <f>IF(OR(AND(12&lt;=E53,E53&lt;=15),COUNTIF(E53, "中*")),"中学生","")</f>
        <v/>
      </c>
      <c r="AY53" s="2204" t="str">
        <f>IF(OR(AND(15&lt;=E53,E53&lt;=18),COUNTIF(E53, "高*")),"高校生(～18歳)","")</f>
        <v/>
      </c>
      <c r="AZ53" s="2204" t="str">
        <f>IF(OR(19&lt;=E53,COUNTIF(E53, "大*"),COUNTIF(E53, "*院*"),COUNTIF(E53, "*専*")),"一般(19歳～)","")</f>
        <v/>
      </c>
      <c r="BA53" s="2204" t="s">
        <v>425</v>
      </c>
      <c r="BB53" s="572" t="str">
        <f>IF(OR(AND(D53="",I53="",M53="",R53="",W53="",AB53="",AG53=""),AND(D53&lt;&gt;"",OR(I53&lt;&gt;"",M53&lt;&gt;"",R53&lt;&gt;"",W53&lt;&gt;"",AB53&lt;&gt;"",AG53&lt;&gt;""))),"○","×")</f>
        <v>○</v>
      </c>
      <c r="BC53" s="572" t="str">
        <f>IF(AND(BD53="○",BE53="○",BF53="○",BG53="○",BH53="○",BI53="○"),"○","×")</f>
        <v>○</v>
      </c>
      <c r="BD53" s="573" t="str">
        <f>IF(AND($I$7=" ",OR(I53&lt;&gt;"",K53&lt;&gt;"",L53&lt;&gt;"")),"×","○")</f>
        <v>○</v>
      </c>
      <c r="BE53" s="573" t="str">
        <f>IF(AND($M$7=" ",OR(M53&lt;&gt;"",O53&lt;&gt;"",P53&lt;&gt;"",Q53&lt;&gt;"")),"×","○")</f>
        <v>○</v>
      </c>
      <c r="BF53" s="573" t="str">
        <f>IF(AND($R$7=" ",OR(R53&lt;&gt;"",T53&lt;&gt;"",U53&lt;&gt;"",V53&lt;&gt;"")),"×","○")</f>
        <v>○</v>
      </c>
      <c r="BG53" s="573" t="str">
        <f>IF(AND($W$7=" ",OR(W53&lt;&gt;"",Y53&lt;&gt;"",Z53&lt;&gt;"",AA53&lt;&gt;"")),"×","○")</f>
        <v>○</v>
      </c>
      <c r="BH53" s="573" t="str">
        <f>IF(AND($AB$7=" ",OR(AB53&lt;&gt;"",AD53&lt;&gt;"",AE53&lt;&gt;"",AF53&lt;&gt;"")),"×","○")</f>
        <v>○</v>
      </c>
      <c r="BI53" s="573" t="str">
        <f>IF(AND($AG$7=" ",OR(AG53&lt;&gt;"",AI53&lt;&gt;"",AJ53&lt;&gt;"")),"×","○")</f>
        <v>○</v>
      </c>
      <c r="BJ53" s="2472" t="e">
        <f>SUMPRODUCT(1/COUNTIF(I53:AH53,"宿泊"))</f>
        <v>#DIV/0!</v>
      </c>
      <c r="BK53" s="2473" t="e">
        <f>SUMPRODUCT(1/COUNTIF(I53:AH53,"日帰り"))</f>
        <v>#DIV/0!</v>
      </c>
      <c r="BL53" s="1584">
        <f>COUNT(BJ53)-COUNT(BK53)</f>
        <v>0</v>
      </c>
      <c r="BM53" s="599"/>
      <c r="CB53" s="584"/>
      <c r="CC53" s="584"/>
      <c r="CD53" s="584"/>
      <c r="CE53" s="584"/>
      <c r="CF53" s="584"/>
      <c r="CG53" s="584"/>
      <c r="CH53" s="584"/>
      <c r="CI53" s="583"/>
      <c r="CJ53" s="584"/>
      <c r="CK53" s="584"/>
      <c r="CL53" s="584"/>
      <c r="CM53" s="584"/>
      <c r="CN53" s="584"/>
      <c r="CO53" s="584"/>
      <c r="CP53" s="584"/>
    </row>
    <row r="54" spans="1:94" ht="14.1" customHeight="1" x14ac:dyDescent="0.15">
      <c r="A54" s="572"/>
      <c r="B54" s="2421"/>
      <c r="C54" s="2394"/>
      <c r="D54" s="2231"/>
      <c r="E54" s="2229"/>
      <c r="F54" s="2242"/>
      <c r="G54" s="2363"/>
      <c r="H54" s="2291"/>
      <c r="I54" s="2286"/>
      <c r="J54" s="2287"/>
      <c r="K54" s="2289"/>
      <c r="L54" s="2367"/>
      <c r="M54" s="2286"/>
      <c r="N54" s="2287"/>
      <c r="O54" s="2289"/>
      <c r="P54" s="2289"/>
      <c r="Q54" s="2291"/>
      <c r="R54" s="2286"/>
      <c r="S54" s="2287"/>
      <c r="T54" s="2289"/>
      <c r="U54" s="2289"/>
      <c r="V54" s="2291"/>
      <c r="W54" s="2401"/>
      <c r="X54" s="2402"/>
      <c r="Y54" s="2396"/>
      <c r="Z54" s="2396"/>
      <c r="AA54" s="2398"/>
      <c r="AB54" s="2401"/>
      <c r="AC54" s="2402"/>
      <c r="AD54" s="2396"/>
      <c r="AE54" s="2396"/>
      <c r="AF54" s="2398"/>
      <c r="AG54" s="2401"/>
      <c r="AH54" s="2402"/>
      <c r="AI54" s="2396"/>
      <c r="AJ54" s="2398"/>
      <c r="AK54" s="2235"/>
      <c r="AL54" s="2236"/>
      <c r="AM54" s="2236"/>
      <c r="AN54" s="2237"/>
      <c r="AO54" s="2235"/>
      <c r="AP54" s="2236"/>
      <c r="AQ54" s="2236"/>
      <c r="AR54" s="2237"/>
      <c r="AS54" s="571"/>
      <c r="AT54" s="572"/>
      <c r="AU54" s="2204"/>
      <c r="AV54" s="2204"/>
      <c r="AW54" s="2204"/>
      <c r="AX54" s="2204"/>
      <c r="AY54" s="2204"/>
      <c r="AZ54" s="2204"/>
      <c r="BA54" s="2204"/>
      <c r="BB54" s="574"/>
      <c r="BC54" s="574"/>
      <c r="BD54" s="572"/>
      <c r="BE54" s="572"/>
      <c r="BF54" s="572"/>
      <c r="BG54" s="572"/>
      <c r="BH54" s="572"/>
      <c r="BI54" s="572"/>
      <c r="BJ54" s="2472"/>
      <c r="BK54" s="2473"/>
      <c r="BL54" s="1584"/>
      <c r="BM54" s="599"/>
    </row>
    <row r="55" spans="1:94" ht="14.1" customHeight="1" x14ac:dyDescent="0.15">
      <c r="A55" s="572" t="str">
        <f>IF(AND(D55="",D57&lt;&gt;""),"×","○")</f>
        <v>○</v>
      </c>
      <c r="B55" s="2421" t="str">
        <f>IF(AND(AT55="○",BB55="○",BC55="○",A55="○"),"○","×")</f>
        <v>○</v>
      </c>
      <c r="C55" s="2393">
        <v>21</v>
      </c>
      <c r="D55" s="2230"/>
      <c r="E55" s="2228"/>
      <c r="F55" s="2241"/>
      <c r="G55" s="2391"/>
      <c r="H55" s="2290"/>
      <c r="I55" s="2284"/>
      <c r="J55" s="2285"/>
      <c r="K55" s="2288"/>
      <c r="L55" s="2392"/>
      <c r="M55" s="2346"/>
      <c r="N55" s="2347"/>
      <c r="O55" s="2288"/>
      <c r="P55" s="2288"/>
      <c r="Q55" s="2290"/>
      <c r="R55" s="2346"/>
      <c r="S55" s="2347"/>
      <c r="T55" s="2288"/>
      <c r="U55" s="2288"/>
      <c r="V55" s="2290"/>
      <c r="W55" s="2399"/>
      <c r="X55" s="2400"/>
      <c r="Y55" s="2395"/>
      <c r="Z55" s="2395"/>
      <c r="AA55" s="2397"/>
      <c r="AB55" s="2399"/>
      <c r="AC55" s="2400"/>
      <c r="AD55" s="2395"/>
      <c r="AE55" s="2395"/>
      <c r="AF55" s="2397"/>
      <c r="AG55" s="2399"/>
      <c r="AH55" s="2400"/>
      <c r="AI55" s="2395"/>
      <c r="AJ55" s="2397"/>
      <c r="AK55" s="2267"/>
      <c r="AL55" s="2268"/>
      <c r="AM55" s="2268"/>
      <c r="AN55" s="2269"/>
      <c r="AO55" s="2232"/>
      <c r="AP55" s="2233"/>
      <c r="AQ55" s="2233"/>
      <c r="AR55" s="2234"/>
      <c r="AS55" s="571"/>
      <c r="AT55" s="572" t="str">
        <f>IF(OR(AND(D55&lt;&gt;"",OR(AND(E55&lt;&gt;"",F55&lt;&gt;"",OR(G55&lt;&gt;"",H55&lt;&gt;"")),AND(E55="",F55="バス・カメラマン等"))),AND(D55="",E55="",F55="",OR(G55="",H55=""))),"○","×")</f>
        <v>○</v>
      </c>
      <c r="AU55" s="2204" t="str">
        <f>IF(AND(E55&lt;&gt;"",E55&lt;=2),"2歳児以下","")</f>
        <v/>
      </c>
      <c r="AV55" s="2204" t="str">
        <f>IF(OR(AND(3&lt;=E55,E55&lt;=6),COUNTIF(E55, "幼*"),COUNTIF(E55, "年少"),COUNTIF(E55, "年中"),COUNTIF(E55, "年長")),"3歳-学齢前","")</f>
        <v/>
      </c>
      <c r="AW55" s="2204" t="str">
        <f>IF(OR(AND(6&lt;=E55,E55&lt;=12),COUNTIF(E55, "小*")),"小学生","")</f>
        <v/>
      </c>
      <c r="AX55" s="2204" t="str">
        <f>IF(OR(AND(12&lt;=E55,E55&lt;=15),COUNTIF(E55, "中*")),"中学生","")</f>
        <v/>
      </c>
      <c r="AY55" s="2204" t="str">
        <f>IF(OR(AND(15&lt;=E55,E55&lt;=18),COUNTIF(E55, "高*")),"高校生(～18歳)","")</f>
        <v/>
      </c>
      <c r="AZ55" s="2204" t="str">
        <f>IF(OR(19&lt;=E55,COUNTIF(E55, "大*"),COUNTIF(E55, "*院*"),COUNTIF(E55, "*専*")),"一般(19歳～)","")</f>
        <v/>
      </c>
      <c r="BA55" s="2204" t="s">
        <v>425</v>
      </c>
      <c r="BB55" s="572" t="str">
        <f>IF(OR(AND(D55="",I55="",M55="",R55="",W55="",AB55="",AG55=""),AND(D55&lt;&gt;"",OR(I55&lt;&gt;"",M55&lt;&gt;"",R55&lt;&gt;"",W55&lt;&gt;"",AB55&lt;&gt;"",AG55&lt;&gt;""))),"○","×")</f>
        <v>○</v>
      </c>
      <c r="BC55" s="572" t="str">
        <f>IF(AND(BD55="○",BE55="○",BF55="○",BG55="○",BH55="○",BI55="○"),"○","×")</f>
        <v>○</v>
      </c>
      <c r="BD55" s="573" t="str">
        <f>IF(AND($I$7=" ",OR(I55&lt;&gt;"",K55&lt;&gt;"",L55&lt;&gt;"")),"×","○")</f>
        <v>○</v>
      </c>
      <c r="BE55" s="573" t="str">
        <f>IF(AND($M$7=" ",OR(M55&lt;&gt;"",O55&lt;&gt;"",P55&lt;&gt;"",Q55&lt;&gt;"")),"×","○")</f>
        <v>○</v>
      </c>
      <c r="BF55" s="573" t="str">
        <f>IF(AND($R$7=" ",OR(R55&lt;&gt;"",T55&lt;&gt;"",U55&lt;&gt;"",V55&lt;&gt;"")),"×","○")</f>
        <v>○</v>
      </c>
      <c r="BG55" s="573" t="str">
        <f>IF(AND($W$7=" ",OR(W55&lt;&gt;"",Y55&lt;&gt;"",Z55&lt;&gt;"",AA55&lt;&gt;"")),"×","○")</f>
        <v>○</v>
      </c>
      <c r="BH55" s="573" t="str">
        <f>IF(AND($AB$7=" ",OR(AB55&lt;&gt;"",AD55&lt;&gt;"",AE55&lt;&gt;"",AF55&lt;&gt;"")),"×","○")</f>
        <v>○</v>
      </c>
      <c r="BI55" s="573" t="str">
        <f>IF(AND($AG$7=" ",OR(AG55&lt;&gt;"",AI55&lt;&gt;"",AJ55&lt;&gt;"")),"×","○")</f>
        <v>○</v>
      </c>
      <c r="BJ55" s="2472" t="e">
        <f>SUMPRODUCT(1/COUNTIF(I55:AH55,"宿泊"))</f>
        <v>#DIV/0!</v>
      </c>
      <c r="BK55" s="2473" t="e">
        <f>SUMPRODUCT(1/COUNTIF(I55:AH55,"日帰り"))</f>
        <v>#DIV/0!</v>
      </c>
      <c r="BL55" s="1584">
        <f>COUNT(BJ55)-COUNT(BK55)</f>
        <v>0</v>
      </c>
      <c r="BM55" s="599"/>
    </row>
    <row r="56" spans="1:94" ht="14.1" customHeight="1" x14ac:dyDescent="0.15">
      <c r="A56" s="572"/>
      <c r="B56" s="2421"/>
      <c r="C56" s="2394"/>
      <c r="D56" s="2231"/>
      <c r="E56" s="2229"/>
      <c r="F56" s="2242"/>
      <c r="G56" s="2363"/>
      <c r="H56" s="2291"/>
      <c r="I56" s="2286"/>
      <c r="J56" s="2287"/>
      <c r="K56" s="2289"/>
      <c r="L56" s="2367"/>
      <c r="M56" s="2286"/>
      <c r="N56" s="2287"/>
      <c r="O56" s="2289"/>
      <c r="P56" s="2289"/>
      <c r="Q56" s="2291"/>
      <c r="R56" s="2286"/>
      <c r="S56" s="2287"/>
      <c r="T56" s="2289"/>
      <c r="U56" s="2289"/>
      <c r="V56" s="2291"/>
      <c r="W56" s="2401"/>
      <c r="X56" s="2402"/>
      <c r="Y56" s="2396"/>
      <c r="Z56" s="2396"/>
      <c r="AA56" s="2398"/>
      <c r="AB56" s="2401"/>
      <c r="AC56" s="2402"/>
      <c r="AD56" s="2396"/>
      <c r="AE56" s="2396"/>
      <c r="AF56" s="2398"/>
      <c r="AG56" s="2401"/>
      <c r="AH56" s="2402"/>
      <c r="AI56" s="2396"/>
      <c r="AJ56" s="2398"/>
      <c r="AK56" s="2235"/>
      <c r="AL56" s="2236"/>
      <c r="AM56" s="2236"/>
      <c r="AN56" s="2237"/>
      <c r="AO56" s="2235"/>
      <c r="AP56" s="2236"/>
      <c r="AQ56" s="2236"/>
      <c r="AR56" s="2237"/>
      <c r="AS56" s="571"/>
      <c r="AT56" s="572"/>
      <c r="AU56" s="2204"/>
      <c r="AV56" s="2204"/>
      <c r="AW56" s="2204"/>
      <c r="AX56" s="2204"/>
      <c r="AY56" s="2204"/>
      <c r="AZ56" s="2204"/>
      <c r="BA56" s="2204"/>
      <c r="BB56" s="574"/>
      <c r="BC56" s="574"/>
      <c r="BD56" s="572"/>
      <c r="BE56" s="572"/>
      <c r="BF56" s="572"/>
      <c r="BG56" s="572"/>
      <c r="BH56" s="572"/>
      <c r="BI56" s="572"/>
      <c r="BJ56" s="2472"/>
      <c r="BK56" s="2473"/>
      <c r="BL56" s="1584"/>
      <c r="BM56" s="599"/>
    </row>
    <row r="57" spans="1:94" ht="14.1" customHeight="1" x14ac:dyDescent="0.15">
      <c r="A57" s="572" t="str">
        <f>IF(AND(D57="",D59&lt;&gt;""),"×","○")</f>
        <v>○</v>
      </c>
      <c r="B57" s="2421" t="str">
        <f>IF(AND(AT57="○",BB57="○",BC57="○",A57="○"),"○","×")</f>
        <v>○</v>
      </c>
      <c r="C57" s="2393">
        <v>22</v>
      </c>
      <c r="D57" s="2230"/>
      <c r="E57" s="2228"/>
      <c r="F57" s="2241"/>
      <c r="G57" s="2391"/>
      <c r="H57" s="2290"/>
      <c r="I57" s="2284"/>
      <c r="J57" s="2285"/>
      <c r="K57" s="2288"/>
      <c r="L57" s="2392"/>
      <c r="M57" s="2346"/>
      <c r="N57" s="2347"/>
      <c r="O57" s="2288"/>
      <c r="P57" s="2288"/>
      <c r="Q57" s="2290"/>
      <c r="R57" s="2346"/>
      <c r="S57" s="2347"/>
      <c r="T57" s="2288"/>
      <c r="U57" s="2288"/>
      <c r="V57" s="2290"/>
      <c r="W57" s="2399"/>
      <c r="X57" s="2400"/>
      <c r="Y57" s="2395"/>
      <c r="Z57" s="2395"/>
      <c r="AA57" s="2397"/>
      <c r="AB57" s="2399"/>
      <c r="AC57" s="2400"/>
      <c r="AD57" s="2395"/>
      <c r="AE57" s="2395"/>
      <c r="AF57" s="2397"/>
      <c r="AG57" s="2399"/>
      <c r="AH57" s="2400"/>
      <c r="AI57" s="2395"/>
      <c r="AJ57" s="2397"/>
      <c r="AK57" s="2267"/>
      <c r="AL57" s="2268"/>
      <c r="AM57" s="2268"/>
      <c r="AN57" s="2269"/>
      <c r="AO57" s="2232"/>
      <c r="AP57" s="2233"/>
      <c r="AQ57" s="2233"/>
      <c r="AR57" s="2234"/>
      <c r="AS57" s="571"/>
      <c r="AT57" s="572" t="str">
        <f>IF(OR(AND(D57&lt;&gt;"",OR(AND(E57&lt;&gt;"",F57&lt;&gt;"",OR(G57&lt;&gt;"",H57&lt;&gt;"")),AND(E57="",F57="バス・カメラマン等"))),AND(D57="",E57="",F57="",OR(G57="",H57=""))),"○","×")</f>
        <v>○</v>
      </c>
      <c r="AU57" s="2204" t="str">
        <f>IF(AND(E57&lt;&gt;"",E57&lt;=2),"2歳児以下","")</f>
        <v/>
      </c>
      <c r="AV57" s="2204" t="str">
        <f>IF(OR(AND(3&lt;=E57,E57&lt;=6),COUNTIF(E57, "幼*"),COUNTIF(E57, "年少"),COUNTIF(E57, "年中"),COUNTIF(E57, "年長")),"3歳-学齢前","")</f>
        <v/>
      </c>
      <c r="AW57" s="2204" t="str">
        <f>IF(OR(AND(6&lt;=E57,E57&lt;=12),COUNTIF(E57, "小*")),"小学生","")</f>
        <v/>
      </c>
      <c r="AX57" s="2204" t="str">
        <f>IF(OR(AND(12&lt;=E57,E57&lt;=15),COUNTIF(E57, "中*")),"中学生","")</f>
        <v/>
      </c>
      <c r="AY57" s="2204" t="str">
        <f>IF(OR(AND(15&lt;=E57,E57&lt;=18),COUNTIF(E57, "高*")),"高校生(～18歳)","")</f>
        <v/>
      </c>
      <c r="AZ57" s="2204" t="str">
        <f>IF(OR(19&lt;=E57,COUNTIF(E57, "大*"),COUNTIF(E57, "*院*"),COUNTIF(E57, "*専*")),"一般(19歳～)","")</f>
        <v/>
      </c>
      <c r="BA57" s="2204" t="s">
        <v>425</v>
      </c>
      <c r="BB57" s="572" t="str">
        <f>IF(OR(AND(D57="",I57="",M57="",R57="",W57="",AB57="",AG57=""),AND(D57&lt;&gt;"",OR(I57&lt;&gt;"",M57&lt;&gt;"",R57&lt;&gt;"",W57&lt;&gt;"",AB57&lt;&gt;"",AG57&lt;&gt;""))),"○","×")</f>
        <v>○</v>
      </c>
      <c r="BC57" s="572" t="str">
        <f>IF(AND(BD57="○",BE57="○",BF57="○",BG57="○",BH57="○",BI57="○"),"○","×")</f>
        <v>○</v>
      </c>
      <c r="BD57" s="573" t="str">
        <f>IF(AND($I$7=" ",OR(I57&lt;&gt;"",K57&lt;&gt;"",L57&lt;&gt;"")),"×","○")</f>
        <v>○</v>
      </c>
      <c r="BE57" s="573" t="str">
        <f>IF(AND($M$7=" ",OR(M57&lt;&gt;"",O57&lt;&gt;"",P57&lt;&gt;"",Q57&lt;&gt;"")),"×","○")</f>
        <v>○</v>
      </c>
      <c r="BF57" s="573" t="str">
        <f>IF(AND($R$7=" ",OR(R57&lt;&gt;"",T57&lt;&gt;"",U57&lt;&gt;"",V57&lt;&gt;"")),"×","○")</f>
        <v>○</v>
      </c>
      <c r="BG57" s="573" t="str">
        <f>IF(AND($W$7=" ",OR(W57&lt;&gt;"",Y57&lt;&gt;"",Z57&lt;&gt;"",AA57&lt;&gt;"")),"×","○")</f>
        <v>○</v>
      </c>
      <c r="BH57" s="573" t="str">
        <f>IF(AND($AB$7=" ",OR(AB57&lt;&gt;"",AD57&lt;&gt;"",AE57&lt;&gt;"",AF57&lt;&gt;"")),"×","○")</f>
        <v>○</v>
      </c>
      <c r="BI57" s="573" t="str">
        <f>IF(AND($AG$7=" ",OR(AG57&lt;&gt;"",AI57&lt;&gt;"",AJ57&lt;&gt;"")),"×","○")</f>
        <v>○</v>
      </c>
      <c r="BJ57" s="2472" t="e">
        <f>SUMPRODUCT(1/COUNTIF(I57:AH57,"宿泊"))</f>
        <v>#DIV/0!</v>
      </c>
      <c r="BK57" s="2473" t="e">
        <f>SUMPRODUCT(1/COUNTIF(I57:AH57,"日帰り"))</f>
        <v>#DIV/0!</v>
      </c>
      <c r="BL57" s="1584">
        <f>COUNT(BJ57)-COUNT(BK57)</f>
        <v>0</v>
      </c>
      <c r="BM57" s="599"/>
    </row>
    <row r="58" spans="1:94" ht="14.1" customHeight="1" x14ac:dyDescent="0.15">
      <c r="A58" s="572"/>
      <c r="B58" s="2421"/>
      <c r="C58" s="2394"/>
      <c r="D58" s="2231"/>
      <c r="E58" s="2229"/>
      <c r="F58" s="2242"/>
      <c r="G58" s="2363"/>
      <c r="H58" s="2291"/>
      <c r="I58" s="2286"/>
      <c r="J58" s="2287"/>
      <c r="K58" s="2289"/>
      <c r="L58" s="2367"/>
      <c r="M58" s="2286"/>
      <c r="N58" s="2287"/>
      <c r="O58" s="2289"/>
      <c r="P58" s="2289"/>
      <c r="Q58" s="2291"/>
      <c r="R58" s="2286"/>
      <c r="S58" s="2287"/>
      <c r="T58" s="2289"/>
      <c r="U58" s="2289"/>
      <c r="V58" s="2291"/>
      <c r="W58" s="2401"/>
      <c r="X58" s="2402"/>
      <c r="Y58" s="2396"/>
      <c r="Z58" s="2396"/>
      <c r="AA58" s="2398"/>
      <c r="AB58" s="2401"/>
      <c r="AC58" s="2402"/>
      <c r="AD58" s="2396"/>
      <c r="AE58" s="2396"/>
      <c r="AF58" s="2398"/>
      <c r="AG58" s="2401"/>
      <c r="AH58" s="2402"/>
      <c r="AI58" s="2396"/>
      <c r="AJ58" s="2398"/>
      <c r="AK58" s="2235"/>
      <c r="AL58" s="2236"/>
      <c r="AM58" s="2236"/>
      <c r="AN58" s="2237"/>
      <c r="AO58" s="2235"/>
      <c r="AP58" s="2236"/>
      <c r="AQ58" s="2236"/>
      <c r="AR58" s="2237"/>
      <c r="AS58" s="571"/>
      <c r="AT58" s="572"/>
      <c r="AU58" s="2204"/>
      <c r="AV58" s="2204"/>
      <c r="AW58" s="2204"/>
      <c r="AX58" s="2204"/>
      <c r="AY58" s="2204"/>
      <c r="AZ58" s="2204"/>
      <c r="BA58" s="2204"/>
      <c r="BB58" s="574"/>
      <c r="BC58" s="574"/>
      <c r="BD58" s="572"/>
      <c r="BE58" s="572"/>
      <c r="BF58" s="572"/>
      <c r="BG58" s="572"/>
      <c r="BH58" s="572"/>
      <c r="BI58" s="572"/>
      <c r="BJ58" s="2472"/>
      <c r="BK58" s="2473"/>
      <c r="BL58" s="1584"/>
      <c r="BM58" s="599"/>
    </row>
    <row r="59" spans="1:94" ht="14.1" customHeight="1" x14ac:dyDescent="0.15">
      <c r="A59" s="572" t="str">
        <f>IF(AND(D59="",D61&lt;&gt;""),"×","○")</f>
        <v>○</v>
      </c>
      <c r="B59" s="2421" t="str">
        <f>IF(AND(AT59="○",BB59="○",BC59="○",A59="○"),"○","×")</f>
        <v>○</v>
      </c>
      <c r="C59" s="2393">
        <v>23</v>
      </c>
      <c r="D59" s="2230"/>
      <c r="E59" s="2228"/>
      <c r="F59" s="2241"/>
      <c r="G59" s="2391"/>
      <c r="H59" s="2290"/>
      <c r="I59" s="2284"/>
      <c r="J59" s="2285"/>
      <c r="K59" s="2288"/>
      <c r="L59" s="2392"/>
      <c r="M59" s="2346"/>
      <c r="N59" s="2347"/>
      <c r="O59" s="2288"/>
      <c r="P59" s="2288"/>
      <c r="Q59" s="2290"/>
      <c r="R59" s="2346"/>
      <c r="S59" s="2347"/>
      <c r="T59" s="2288"/>
      <c r="U59" s="2288"/>
      <c r="V59" s="2290"/>
      <c r="W59" s="2399"/>
      <c r="X59" s="2400"/>
      <c r="Y59" s="2395"/>
      <c r="Z59" s="2395"/>
      <c r="AA59" s="2397"/>
      <c r="AB59" s="2399"/>
      <c r="AC59" s="2400"/>
      <c r="AD59" s="2395"/>
      <c r="AE59" s="2395"/>
      <c r="AF59" s="2397"/>
      <c r="AG59" s="2399"/>
      <c r="AH59" s="2400"/>
      <c r="AI59" s="2395"/>
      <c r="AJ59" s="2397"/>
      <c r="AK59" s="2267"/>
      <c r="AL59" s="2268"/>
      <c r="AM59" s="2268"/>
      <c r="AN59" s="2269"/>
      <c r="AO59" s="2232"/>
      <c r="AP59" s="2233"/>
      <c r="AQ59" s="2233"/>
      <c r="AR59" s="2234"/>
      <c r="AS59" s="571"/>
      <c r="AT59" s="572" t="str">
        <f>IF(OR(AND(D59&lt;&gt;"",OR(AND(E59&lt;&gt;"",F59&lt;&gt;"",OR(G59&lt;&gt;"",H59&lt;&gt;"")),AND(E59="",F59="バス・カメラマン等"))),AND(D59="",E59="",F59="",OR(G59="",H59=""))),"○","×")</f>
        <v>○</v>
      </c>
      <c r="AU59" s="2204" t="str">
        <f>IF(AND(E59&lt;&gt;"",E59&lt;=2),"2歳児以下","")</f>
        <v/>
      </c>
      <c r="AV59" s="2204" t="str">
        <f>IF(OR(AND(3&lt;=E59,E59&lt;=6),COUNTIF(E59, "幼*"),COUNTIF(E59, "年少"),COUNTIF(E59, "年中"),COUNTIF(E59, "年長")),"3歳-学齢前","")</f>
        <v/>
      </c>
      <c r="AW59" s="2204" t="str">
        <f>IF(OR(AND(6&lt;=E59,E59&lt;=12),COUNTIF(E59, "小*")),"小学生","")</f>
        <v/>
      </c>
      <c r="AX59" s="2204" t="str">
        <f>IF(OR(AND(12&lt;=E59,E59&lt;=15),COUNTIF(E59, "中*")),"中学生","")</f>
        <v/>
      </c>
      <c r="AY59" s="2204" t="str">
        <f>IF(OR(AND(15&lt;=E59,E59&lt;=18),COUNTIF(E59, "高*")),"高校生(～18歳)","")</f>
        <v/>
      </c>
      <c r="AZ59" s="2204" t="str">
        <f>IF(OR(19&lt;=E59,COUNTIF(E59, "大*"),COUNTIF(E59, "*院*"),COUNTIF(E59, "*専*")),"一般(19歳～)","")</f>
        <v/>
      </c>
      <c r="BA59" s="2204" t="s">
        <v>425</v>
      </c>
      <c r="BB59" s="572" t="str">
        <f>IF(OR(AND(D59="",I59="",M59="",R59="",W59="",AB59="",AG59=""),AND(D59&lt;&gt;"",OR(I59&lt;&gt;"",M59&lt;&gt;"",R59&lt;&gt;"",W59&lt;&gt;"",AB59&lt;&gt;"",AG59&lt;&gt;""))),"○","×")</f>
        <v>○</v>
      </c>
      <c r="BC59" s="572" t="str">
        <f>IF(AND(BD59="○",BE59="○",BF59="○",BG59="○",BH59="○",BI59="○"),"○","×")</f>
        <v>○</v>
      </c>
      <c r="BD59" s="573" t="str">
        <f>IF(AND($I$7=" ",OR(I59&lt;&gt;"",K59&lt;&gt;"",L59&lt;&gt;"")),"×","○")</f>
        <v>○</v>
      </c>
      <c r="BE59" s="573" t="str">
        <f>IF(AND($M$7=" ",OR(M59&lt;&gt;"",O59&lt;&gt;"",P59&lt;&gt;"",Q59&lt;&gt;"")),"×","○")</f>
        <v>○</v>
      </c>
      <c r="BF59" s="573" t="str">
        <f>IF(AND($R$7=" ",OR(R59&lt;&gt;"",T59&lt;&gt;"",U59&lt;&gt;"",V59&lt;&gt;"")),"×","○")</f>
        <v>○</v>
      </c>
      <c r="BG59" s="573" t="str">
        <f>IF(AND($W$7=" ",OR(W59&lt;&gt;"",Y59&lt;&gt;"",Z59&lt;&gt;"",AA59&lt;&gt;"")),"×","○")</f>
        <v>○</v>
      </c>
      <c r="BH59" s="573" t="str">
        <f>IF(AND($AB$7=" ",OR(AB59&lt;&gt;"",AD59&lt;&gt;"",AE59&lt;&gt;"",AF59&lt;&gt;"")),"×","○")</f>
        <v>○</v>
      </c>
      <c r="BI59" s="573" t="str">
        <f>IF(AND($AG$7=" ",OR(AG59&lt;&gt;"",AI59&lt;&gt;"",AJ59&lt;&gt;"")),"×","○")</f>
        <v>○</v>
      </c>
      <c r="BJ59" s="2472" t="e">
        <f>SUMPRODUCT(1/COUNTIF(I59:AH59,"宿泊"))</f>
        <v>#DIV/0!</v>
      </c>
      <c r="BK59" s="2473" t="e">
        <f>SUMPRODUCT(1/COUNTIF(I59:AH59,"日帰り"))</f>
        <v>#DIV/0!</v>
      </c>
      <c r="BL59" s="1584">
        <f>COUNT(BJ59)-COUNT(BK59)</f>
        <v>0</v>
      </c>
      <c r="BM59" s="599"/>
    </row>
    <row r="60" spans="1:94" ht="14.1" customHeight="1" x14ac:dyDescent="0.15">
      <c r="A60" s="572"/>
      <c r="B60" s="2421"/>
      <c r="C60" s="2394"/>
      <c r="D60" s="2231"/>
      <c r="E60" s="2229"/>
      <c r="F60" s="2242"/>
      <c r="G60" s="2363"/>
      <c r="H60" s="2291"/>
      <c r="I60" s="2286"/>
      <c r="J60" s="2287"/>
      <c r="K60" s="2289"/>
      <c r="L60" s="2367"/>
      <c r="M60" s="2286"/>
      <c r="N60" s="2287"/>
      <c r="O60" s="2289"/>
      <c r="P60" s="2289"/>
      <c r="Q60" s="2291"/>
      <c r="R60" s="2286"/>
      <c r="S60" s="2287"/>
      <c r="T60" s="2289"/>
      <c r="U60" s="2289"/>
      <c r="V60" s="2291"/>
      <c r="W60" s="2401"/>
      <c r="X60" s="2402"/>
      <c r="Y60" s="2396"/>
      <c r="Z60" s="2396"/>
      <c r="AA60" s="2398"/>
      <c r="AB60" s="2401"/>
      <c r="AC60" s="2402"/>
      <c r="AD60" s="2396"/>
      <c r="AE60" s="2396"/>
      <c r="AF60" s="2398"/>
      <c r="AG60" s="2401"/>
      <c r="AH60" s="2402"/>
      <c r="AI60" s="2396"/>
      <c r="AJ60" s="2398"/>
      <c r="AK60" s="2235"/>
      <c r="AL60" s="2236"/>
      <c r="AM60" s="2236"/>
      <c r="AN60" s="2237"/>
      <c r="AO60" s="2235"/>
      <c r="AP60" s="2236"/>
      <c r="AQ60" s="2236"/>
      <c r="AR60" s="2237"/>
      <c r="AS60" s="571"/>
      <c r="AT60" s="572"/>
      <c r="AU60" s="2204"/>
      <c r="AV60" s="2204"/>
      <c r="AW60" s="2204"/>
      <c r="AX60" s="2204"/>
      <c r="AY60" s="2204"/>
      <c r="AZ60" s="2204"/>
      <c r="BA60" s="2204"/>
      <c r="BB60" s="574"/>
      <c r="BC60" s="574"/>
      <c r="BD60" s="572"/>
      <c r="BE60" s="572"/>
      <c r="BF60" s="572"/>
      <c r="BG60" s="572"/>
      <c r="BH60" s="572"/>
      <c r="BI60" s="572"/>
      <c r="BJ60" s="2472"/>
      <c r="BK60" s="2473"/>
      <c r="BL60" s="1584"/>
      <c r="BM60" s="599"/>
    </row>
    <row r="61" spans="1:94" ht="14.1" customHeight="1" x14ac:dyDescent="0.15">
      <c r="A61" s="572" t="str">
        <f>IF(AND(D61="",D63&lt;&gt;""),"×","○")</f>
        <v>○</v>
      </c>
      <c r="B61" s="2421" t="str">
        <f>IF(AND(AT61="○",BB61="○",BC61="○",A61="○"),"○","×")</f>
        <v>○</v>
      </c>
      <c r="C61" s="2393">
        <v>24</v>
      </c>
      <c r="D61" s="2230"/>
      <c r="E61" s="2228"/>
      <c r="F61" s="2241"/>
      <c r="G61" s="2391"/>
      <c r="H61" s="2290"/>
      <c r="I61" s="2284"/>
      <c r="J61" s="2285"/>
      <c r="K61" s="2288"/>
      <c r="L61" s="2392"/>
      <c r="M61" s="2346"/>
      <c r="N61" s="2347"/>
      <c r="O61" s="2288"/>
      <c r="P61" s="2288"/>
      <c r="Q61" s="2290"/>
      <c r="R61" s="2346"/>
      <c r="S61" s="2347"/>
      <c r="T61" s="2288"/>
      <c r="U61" s="2288"/>
      <c r="V61" s="2290"/>
      <c r="W61" s="2399"/>
      <c r="X61" s="2400"/>
      <c r="Y61" s="2395"/>
      <c r="Z61" s="2395"/>
      <c r="AA61" s="2397"/>
      <c r="AB61" s="2399"/>
      <c r="AC61" s="2400"/>
      <c r="AD61" s="2395"/>
      <c r="AE61" s="2395"/>
      <c r="AF61" s="2397"/>
      <c r="AG61" s="2399"/>
      <c r="AH61" s="2400"/>
      <c r="AI61" s="2395"/>
      <c r="AJ61" s="2397"/>
      <c r="AK61" s="2267"/>
      <c r="AL61" s="2268"/>
      <c r="AM61" s="2268"/>
      <c r="AN61" s="2269"/>
      <c r="AO61" s="2232"/>
      <c r="AP61" s="2233"/>
      <c r="AQ61" s="2233"/>
      <c r="AR61" s="2234"/>
      <c r="AS61" s="571"/>
      <c r="AT61" s="572" t="str">
        <f>IF(OR(AND(D61&lt;&gt;"",OR(AND(E61&lt;&gt;"",F61&lt;&gt;"",OR(G61&lt;&gt;"",H61&lt;&gt;"")),AND(E61="",F61="バス・カメラマン等"))),AND(D61="",E61="",F61="",OR(G61="",H61=""))),"○","×")</f>
        <v>○</v>
      </c>
      <c r="AU61" s="2204" t="str">
        <f>IF(AND(E61&lt;&gt;"",E61&lt;=2),"2歳児以下","")</f>
        <v/>
      </c>
      <c r="AV61" s="2204" t="str">
        <f>IF(OR(AND(3&lt;=E61,E61&lt;=6),COUNTIF(E61, "幼*"),COUNTIF(E61, "年少"),COUNTIF(E61, "年中"),COUNTIF(E61, "年長")),"3歳-学齢前","")</f>
        <v/>
      </c>
      <c r="AW61" s="2204" t="str">
        <f>IF(OR(AND(6&lt;=E61,E61&lt;=12),COUNTIF(E61, "小*")),"小学生","")</f>
        <v/>
      </c>
      <c r="AX61" s="2204" t="str">
        <f>IF(OR(AND(12&lt;=E61,E61&lt;=15),COUNTIF(E61, "中*")),"中学生","")</f>
        <v/>
      </c>
      <c r="AY61" s="2204" t="str">
        <f>IF(OR(AND(15&lt;=E61,E61&lt;=18),COUNTIF(E61, "高*")),"高校生(～18歳)","")</f>
        <v/>
      </c>
      <c r="AZ61" s="2204" t="str">
        <f>IF(OR(19&lt;=E61,COUNTIF(E61, "大*"),COUNTIF(E61, "*院*"),COUNTIF(E61, "*専*")),"一般(19歳～)","")</f>
        <v/>
      </c>
      <c r="BA61" s="2204" t="s">
        <v>425</v>
      </c>
      <c r="BB61" s="572" t="str">
        <f>IF(OR(AND(D61="",I61="",M61="",R61="",W61="",AB61="",AG61=""),AND(D61&lt;&gt;"",OR(I61&lt;&gt;"",M61&lt;&gt;"",R61&lt;&gt;"",W61&lt;&gt;"",AB61&lt;&gt;"",AG61&lt;&gt;""))),"○","×")</f>
        <v>○</v>
      </c>
      <c r="BC61" s="572" t="str">
        <f>IF(AND(BD61="○",BE61="○",BF61="○",BG61="○",BH61="○",BI61="○"),"○","×")</f>
        <v>○</v>
      </c>
      <c r="BD61" s="573" t="str">
        <f>IF(AND($I$7=" ",OR(I61&lt;&gt;"",K61&lt;&gt;"",L61&lt;&gt;"")),"×","○")</f>
        <v>○</v>
      </c>
      <c r="BE61" s="573" t="str">
        <f>IF(AND($M$7=" ",OR(M61&lt;&gt;"",O61&lt;&gt;"",P61&lt;&gt;"",Q61&lt;&gt;"")),"×","○")</f>
        <v>○</v>
      </c>
      <c r="BF61" s="573" t="str">
        <f>IF(AND($R$7=" ",OR(R61&lt;&gt;"",T61&lt;&gt;"",U61&lt;&gt;"",V61&lt;&gt;"")),"×","○")</f>
        <v>○</v>
      </c>
      <c r="BG61" s="573" t="str">
        <f>IF(AND($W$7=" ",OR(W61&lt;&gt;"",Y61&lt;&gt;"",Z61&lt;&gt;"",AA61&lt;&gt;"")),"×","○")</f>
        <v>○</v>
      </c>
      <c r="BH61" s="573" t="str">
        <f>IF(AND($AB$7=" ",OR(AB61&lt;&gt;"",AD61&lt;&gt;"",AE61&lt;&gt;"",AF61&lt;&gt;"")),"×","○")</f>
        <v>○</v>
      </c>
      <c r="BI61" s="573" t="str">
        <f>IF(AND($AG$7=" ",OR(AG61&lt;&gt;"",AI61&lt;&gt;"",AJ61&lt;&gt;"")),"×","○")</f>
        <v>○</v>
      </c>
      <c r="BJ61" s="2472" t="e">
        <f>SUMPRODUCT(1/COUNTIF(I61:AH61,"宿泊"))</f>
        <v>#DIV/0!</v>
      </c>
      <c r="BK61" s="2473" t="e">
        <f>SUMPRODUCT(1/COUNTIF(I61:AH61,"日帰り"))</f>
        <v>#DIV/0!</v>
      </c>
      <c r="BL61" s="1584">
        <f>COUNT(BJ61)-COUNT(BK61)</f>
        <v>0</v>
      </c>
      <c r="BM61" s="599"/>
    </row>
    <row r="62" spans="1:94" ht="14.1" customHeight="1" x14ac:dyDescent="0.15">
      <c r="A62" s="572"/>
      <c r="B62" s="2421"/>
      <c r="C62" s="2394"/>
      <c r="D62" s="2231"/>
      <c r="E62" s="2229"/>
      <c r="F62" s="2242"/>
      <c r="G62" s="2363"/>
      <c r="H62" s="2291"/>
      <c r="I62" s="2286"/>
      <c r="J62" s="2287"/>
      <c r="K62" s="2289"/>
      <c r="L62" s="2367"/>
      <c r="M62" s="2286"/>
      <c r="N62" s="2287"/>
      <c r="O62" s="2289"/>
      <c r="P62" s="2289"/>
      <c r="Q62" s="2291"/>
      <c r="R62" s="2286"/>
      <c r="S62" s="2287"/>
      <c r="T62" s="2289"/>
      <c r="U62" s="2289"/>
      <c r="V62" s="2291"/>
      <c r="W62" s="2401"/>
      <c r="X62" s="2402"/>
      <c r="Y62" s="2396"/>
      <c r="Z62" s="2396"/>
      <c r="AA62" s="2398"/>
      <c r="AB62" s="2401"/>
      <c r="AC62" s="2402"/>
      <c r="AD62" s="2396"/>
      <c r="AE62" s="2396"/>
      <c r="AF62" s="2398"/>
      <c r="AG62" s="2401"/>
      <c r="AH62" s="2402"/>
      <c r="AI62" s="2396"/>
      <c r="AJ62" s="2398"/>
      <c r="AK62" s="2235"/>
      <c r="AL62" s="2236"/>
      <c r="AM62" s="2236"/>
      <c r="AN62" s="2237"/>
      <c r="AO62" s="2235"/>
      <c r="AP62" s="2236"/>
      <c r="AQ62" s="2236"/>
      <c r="AR62" s="2237"/>
      <c r="AS62" s="571"/>
      <c r="AT62" s="572"/>
      <c r="AU62" s="2204"/>
      <c r="AV62" s="2204"/>
      <c r="AW62" s="2204"/>
      <c r="AX62" s="2204"/>
      <c r="AY62" s="2204"/>
      <c r="AZ62" s="2204"/>
      <c r="BA62" s="2204"/>
      <c r="BB62" s="574"/>
      <c r="BC62" s="574"/>
      <c r="BD62" s="572"/>
      <c r="BE62" s="572"/>
      <c r="BF62" s="572"/>
      <c r="BG62" s="572"/>
      <c r="BH62" s="572"/>
      <c r="BI62" s="572"/>
      <c r="BJ62" s="2472"/>
      <c r="BK62" s="2473"/>
      <c r="BL62" s="1584"/>
      <c r="BM62" s="599"/>
    </row>
    <row r="63" spans="1:94" ht="14.1" customHeight="1" x14ac:dyDescent="0.15">
      <c r="A63" s="572" t="str">
        <f>IF(AND(D63="",D65&lt;&gt;""),"×","○")</f>
        <v>○</v>
      </c>
      <c r="B63" s="2421" t="str">
        <f>IF(AND(AT63="○",BB63="○",BC63="○",A63="○"),"○","×")</f>
        <v>○</v>
      </c>
      <c r="C63" s="2393">
        <v>25</v>
      </c>
      <c r="D63" s="2230"/>
      <c r="E63" s="2228"/>
      <c r="F63" s="2241"/>
      <c r="G63" s="2391"/>
      <c r="H63" s="2290"/>
      <c r="I63" s="2284"/>
      <c r="J63" s="2285"/>
      <c r="K63" s="2288"/>
      <c r="L63" s="2392"/>
      <c r="M63" s="2346"/>
      <c r="N63" s="2347"/>
      <c r="O63" s="2288"/>
      <c r="P63" s="2288"/>
      <c r="Q63" s="2290"/>
      <c r="R63" s="2346"/>
      <c r="S63" s="2347"/>
      <c r="T63" s="2288"/>
      <c r="U63" s="2288"/>
      <c r="V63" s="2290"/>
      <c r="W63" s="2399"/>
      <c r="X63" s="2400"/>
      <c r="Y63" s="2395"/>
      <c r="Z63" s="2395"/>
      <c r="AA63" s="2397"/>
      <c r="AB63" s="2399"/>
      <c r="AC63" s="2400"/>
      <c r="AD63" s="2395"/>
      <c r="AE63" s="2395"/>
      <c r="AF63" s="2397"/>
      <c r="AG63" s="2399"/>
      <c r="AH63" s="2400"/>
      <c r="AI63" s="2395"/>
      <c r="AJ63" s="2397"/>
      <c r="AK63" s="2267"/>
      <c r="AL63" s="2268"/>
      <c r="AM63" s="2268"/>
      <c r="AN63" s="2269"/>
      <c r="AO63" s="2232"/>
      <c r="AP63" s="2233"/>
      <c r="AQ63" s="2233"/>
      <c r="AR63" s="2234"/>
      <c r="AS63" s="571"/>
      <c r="AT63" s="572" t="str">
        <f>IF(OR(AND(D63&lt;&gt;"",OR(AND(E63&lt;&gt;"",F63&lt;&gt;"",OR(G63&lt;&gt;"",H63&lt;&gt;"")),AND(E63="",F63="バス・カメラマン等"))),AND(D63="",E63="",F63="",OR(G63="",H63=""))),"○","×")</f>
        <v>○</v>
      </c>
      <c r="AU63" s="2204" t="str">
        <f>IF(AND(E63&lt;&gt;"",E63&lt;=2),"2歳児以下","")</f>
        <v/>
      </c>
      <c r="AV63" s="2204" t="str">
        <f>IF(OR(AND(3&lt;=E63,E63&lt;=6),COUNTIF(E63, "幼*"),COUNTIF(E63, "年少"),COUNTIF(E63, "年中"),COUNTIF(E63, "年長")),"3歳-学齢前","")</f>
        <v/>
      </c>
      <c r="AW63" s="2204" t="str">
        <f>IF(OR(AND(6&lt;=E63,E63&lt;=12),COUNTIF(E63, "小*")),"小学生","")</f>
        <v/>
      </c>
      <c r="AX63" s="2204" t="str">
        <f>IF(OR(AND(12&lt;=E63,E63&lt;=15),COUNTIF(E63, "中*")),"中学生","")</f>
        <v/>
      </c>
      <c r="AY63" s="2204" t="str">
        <f>IF(OR(AND(15&lt;=E63,E63&lt;=18),COUNTIF(E63, "高*")),"高校生(～18歳)","")</f>
        <v/>
      </c>
      <c r="AZ63" s="2204" t="str">
        <f>IF(OR(19&lt;=E63,COUNTIF(E63, "大*"),COUNTIF(E63, "*院*"),COUNTIF(E63, "*専*")),"一般(19歳～)","")</f>
        <v/>
      </c>
      <c r="BA63" s="2204" t="s">
        <v>425</v>
      </c>
      <c r="BB63" s="572" t="str">
        <f>IF(OR(AND(D63="",I63="",M63="",R63="",W63="",AB63="",AG63=""),AND(D63&lt;&gt;"",OR(I63&lt;&gt;"",M63&lt;&gt;"",R63&lt;&gt;"",W63&lt;&gt;"",AB63&lt;&gt;"",AG63&lt;&gt;""))),"○","×")</f>
        <v>○</v>
      </c>
      <c r="BC63" s="572" t="str">
        <f>IF(AND(BD63="○",BE63="○",BF63="○",BG63="○",BH63="○",BI63="○"),"○","×")</f>
        <v>○</v>
      </c>
      <c r="BD63" s="573" t="str">
        <f>IF(AND($I$7=" ",OR(I63&lt;&gt;"",K63&lt;&gt;"",L63&lt;&gt;"")),"×","○")</f>
        <v>○</v>
      </c>
      <c r="BE63" s="573" t="str">
        <f>IF(AND($M$7=" ",OR(M63&lt;&gt;"",O63&lt;&gt;"",P63&lt;&gt;"",Q63&lt;&gt;"")),"×","○")</f>
        <v>○</v>
      </c>
      <c r="BF63" s="573" t="str">
        <f>IF(AND($R$7=" ",OR(R63&lt;&gt;"",T63&lt;&gt;"",U63&lt;&gt;"",V63&lt;&gt;"")),"×","○")</f>
        <v>○</v>
      </c>
      <c r="BG63" s="573" t="str">
        <f>IF(AND($W$7=" ",OR(W63&lt;&gt;"",Y63&lt;&gt;"",Z63&lt;&gt;"",AA63&lt;&gt;"")),"×","○")</f>
        <v>○</v>
      </c>
      <c r="BH63" s="573" t="str">
        <f>IF(AND($AB$7=" ",OR(AB63&lt;&gt;"",AD63&lt;&gt;"",AE63&lt;&gt;"",AF63&lt;&gt;"")),"×","○")</f>
        <v>○</v>
      </c>
      <c r="BI63" s="573" t="str">
        <f>IF(AND($AG$7=" ",OR(AG63&lt;&gt;"",AI63&lt;&gt;"",AJ63&lt;&gt;"")),"×","○")</f>
        <v>○</v>
      </c>
      <c r="BJ63" s="2472" t="e">
        <f>SUMPRODUCT(1/COUNTIF(I63:AH63,"宿泊"))</f>
        <v>#DIV/0!</v>
      </c>
      <c r="BK63" s="2473" t="e">
        <f>SUMPRODUCT(1/COUNTIF(I63:AH63,"日帰り"))</f>
        <v>#DIV/0!</v>
      </c>
      <c r="BL63" s="1584">
        <f>COUNT(BJ63)-COUNT(BK63)</f>
        <v>0</v>
      </c>
      <c r="BM63" s="599"/>
    </row>
    <row r="64" spans="1:94" ht="14.1" customHeight="1" x14ac:dyDescent="0.15">
      <c r="A64" s="572"/>
      <c r="B64" s="2421"/>
      <c r="C64" s="2394"/>
      <c r="D64" s="2231"/>
      <c r="E64" s="2229"/>
      <c r="F64" s="2242"/>
      <c r="G64" s="2363"/>
      <c r="H64" s="2291"/>
      <c r="I64" s="2286"/>
      <c r="J64" s="2287"/>
      <c r="K64" s="2289"/>
      <c r="L64" s="2367"/>
      <c r="M64" s="2286"/>
      <c r="N64" s="2287"/>
      <c r="O64" s="2289"/>
      <c r="P64" s="2289"/>
      <c r="Q64" s="2291"/>
      <c r="R64" s="2286"/>
      <c r="S64" s="2287"/>
      <c r="T64" s="2289"/>
      <c r="U64" s="2289"/>
      <c r="V64" s="2291"/>
      <c r="W64" s="2401"/>
      <c r="X64" s="2402"/>
      <c r="Y64" s="2396"/>
      <c r="Z64" s="2396"/>
      <c r="AA64" s="2398"/>
      <c r="AB64" s="2401"/>
      <c r="AC64" s="2402"/>
      <c r="AD64" s="2396"/>
      <c r="AE64" s="2396"/>
      <c r="AF64" s="2398"/>
      <c r="AG64" s="2401"/>
      <c r="AH64" s="2402"/>
      <c r="AI64" s="2396"/>
      <c r="AJ64" s="2398"/>
      <c r="AK64" s="2235"/>
      <c r="AL64" s="2236"/>
      <c r="AM64" s="2236"/>
      <c r="AN64" s="2237"/>
      <c r="AO64" s="2235"/>
      <c r="AP64" s="2236"/>
      <c r="AQ64" s="2236"/>
      <c r="AR64" s="2237"/>
      <c r="AS64" s="571"/>
      <c r="AT64" s="572"/>
      <c r="AU64" s="2204"/>
      <c r="AV64" s="2204"/>
      <c r="AW64" s="2204"/>
      <c r="AX64" s="2204"/>
      <c r="AY64" s="2204"/>
      <c r="AZ64" s="2204"/>
      <c r="BA64" s="2204"/>
      <c r="BB64" s="574"/>
      <c r="BC64" s="574"/>
      <c r="BD64" s="572"/>
      <c r="BE64" s="572"/>
      <c r="BF64" s="572"/>
      <c r="BG64" s="572"/>
      <c r="BH64" s="572"/>
      <c r="BI64" s="572"/>
      <c r="BJ64" s="2472"/>
      <c r="BK64" s="2473"/>
      <c r="BL64" s="1584"/>
      <c r="BM64" s="599"/>
    </row>
    <row r="65" spans="1:65" ht="14.1" customHeight="1" x14ac:dyDescent="0.15">
      <c r="A65" s="572" t="str">
        <f>IF(AND(D65="",D67&lt;&gt;""),"×","○")</f>
        <v>○</v>
      </c>
      <c r="B65" s="2421" t="str">
        <f>IF(AND(AT65="○",BB65="○",BC65="○",A65="○"),"○","×")</f>
        <v>○</v>
      </c>
      <c r="C65" s="2407">
        <v>26</v>
      </c>
      <c r="D65" s="2230"/>
      <c r="E65" s="2228"/>
      <c r="F65" s="2241"/>
      <c r="G65" s="2362"/>
      <c r="H65" s="2345"/>
      <c r="I65" s="2284"/>
      <c r="J65" s="2285"/>
      <c r="K65" s="2288"/>
      <c r="L65" s="2392"/>
      <c r="M65" s="2346"/>
      <c r="N65" s="2347"/>
      <c r="O65" s="2344"/>
      <c r="P65" s="2344"/>
      <c r="Q65" s="2345"/>
      <c r="R65" s="2346"/>
      <c r="S65" s="2347"/>
      <c r="T65" s="2344"/>
      <c r="U65" s="2344"/>
      <c r="V65" s="2345"/>
      <c r="W65" s="2399"/>
      <c r="X65" s="2400"/>
      <c r="Y65" s="2395"/>
      <c r="Z65" s="2395"/>
      <c r="AA65" s="2397"/>
      <c r="AB65" s="2399"/>
      <c r="AC65" s="2400"/>
      <c r="AD65" s="2395"/>
      <c r="AE65" s="2395"/>
      <c r="AF65" s="2397"/>
      <c r="AG65" s="2399"/>
      <c r="AH65" s="2400"/>
      <c r="AI65" s="2395"/>
      <c r="AJ65" s="2397"/>
      <c r="AK65" s="2267"/>
      <c r="AL65" s="2268"/>
      <c r="AM65" s="2268"/>
      <c r="AN65" s="2269"/>
      <c r="AO65" s="2232"/>
      <c r="AP65" s="2233"/>
      <c r="AQ65" s="2233"/>
      <c r="AR65" s="2234"/>
      <c r="AS65" s="571"/>
      <c r="AT65" s="572" t="str">
        <f>IF(OR(AND(D65&lt;&gt;"",OR(AND(E65&lt;&gt;"",F65&lt;&gt;"",OR(G65&lt;&gt;"",H65&lt;&gt;"")),AND(E65="",F65="バス・カメラマン等"))),AND(D65="",E65="",F65="",OR(G65="",H65=""))),"○","×")</f>
        <v>○</v>
      </c>
      <c r="AU65" s="2204" t="str">
        <f>IF(AND(E65&lt;&gt;"",E65&lt;=2),"2歳児以下","")</f>
        <v/>
      </c>
      <c r="AV65" s="2204" t="str">
        <f>IF(OR(AND(3&lt;=E65,E65&lt;=6),COUNTIF(E65, "幼*"),COUNTIF(E65, "年少"),COUNTIF(E65, "年中"),COUNTIF(E65, "年長")),"3歳-学齢前","")</f>
        <v/>
      </c>
      <c r="AW65" s="2204" t="str">
        <f>IF(OR(AND(6&lt;=E65,E65&lt;=12),COUNTIF(E65, "小*")),"小学生","")</f>
        <v/>
      </c>
      <c r="AX65" s="2204" t="str">
        <f>IF(OR(AND(12&lt;=E65,E65&lt;=15),COUNTIF(E65, "中*")),"中学生","")</f>
        <v/>
      </c>
      <c r="AY65" s="2204" t="str">
        <f>IF(OR(AND(15&lt;=E65,E65&lt;=18),COUNTIF(E65, "高*")),"高校生(～18歳)","")</f>
        <v/>
      </c>
      <c r="AZ65" s="2204" t="str">
        <f>IF(OR(19&lt;=E65,COUNTIF(E65, "大*"),COUNTIF(E65, "*院*"),COUNTIF(E65, "*専*")),"一般(19歳～)","")</f>
        <v/>
      </c>
      <c r="BA65" s="2204" t="s">
        <v>425</v>
      </c>
      <c r="BB65" s="572" t="str">
        <f>IF(OR(AND(D65="",I65="",M65="",R65="",W65="",AB65="",AG65=""),AND(D65&lt;&gt;"",OR(I65&lt;&gt;"",M65&lt;&gt;"",R65&lt;&gt;"",W65&lt;&gt;"",AB65&lt;&gt;"",AG65&lt;&gt;""))),"○","×")</f>
        <v>○</v>
      </c>
      <c r="BC65" s="572" t="str">
        <f>IF(AND(BD65="○",BE65="○",BF65="○",BG65="○",BH65="○",BI65="○"),"○","×")</f>
        <v>○</v>
      </c>
      <c r="BD65" s="573" t="str">
        <f>IF(AND($I$7=" ",OR(I65&lt;&gt;"",K65&lt;&gt;"",L65&lt;&gt;"")),"×","○")</f>
        <v>○</v>
      </c>
      <c r="BE65" s="573" t="str">
        <f>IF(AND($M$7=" ",OR(M65&lt;&gt;"",O65&lt;&gt;"",P65&lt;&gt;"",Q65&lt;&gt;"")),"×","○")</f>
        <v>○</v>
      </c>
      <c r="BF65" s="573" t="str">
        <f>IF(AND($R$7=" ",OR(R65&lt;&gt;"",T65&lt;&gt;"",U65&lt;&gt;"",V65&lt;&gt;"")),"×","○")</f>
        <v>○</v>
      </c>
      <c r="BG65" s="573" t="str">
        <f>IF(AND($W$7=" ",OR(W65&lt;&gt;"",Y65&lt;&gt;"",Z65&lt;&gt;"",AA65&lt;&gt;"")),"×","○")</f>
        <v>○</v>
      </c>
      <c r="BH65" s="573" t="str">
        <f>IF(AND($AB$7=" ",OR(AB65&lt;&gt;"",AD65&lt;&gt;"",AE65&lt;&gt;"",AF65&lt;&gt;"")),"×","○")</f>
        <v>○</v>
      </c>
      <c r="BI65" s="573" t="str">
        <f>IF(AND($AG$7=" ",OR(AG65&lt;&gt;"",AI65&lt;&gt;"",AJ65&lt;&gt;"")),"×","○")</f>
        <v>○</v>
      </c>
      <c r="BJ65" s="2472" t="e">
        <f>SUMPRODUCT(1/COUNTIF(I65:AH65,"宿泊"))</f>
        <v>#DIV/0!</v>
      </c>
      <c r="BK65" s="2473" t="e">
        <f>SUMPRODUCT(1/COUNTIF(I65:AH65,"日帰り"))</f>
        <v>#DIV/0!</v>
      </c>
      <c r="BL65" s="1584">
        <f>COUNT(BJ65)-COUNT(BK65)</f>
        <v>0</v>
      </c>
      <c r="BM65" s="599"/>
    </row>
    <row r="66" spans="1:65" ht="14.1" customHeight="1" x14ac:dyDescent="0.15">
      <c r="A66" s="572"/>
      <c r="B66" s="2421"/>
      <c r="C66" s="2394"/>
      <c r="D66" s="2231"/>
      <c r="E66" s="2229"/>
      <c r="F66" s="2242"/>
      <c r="G66" s="2363"/>
      <c r="H66" s="2291"/>
      <c r="I66" s="2286"/>
      <c r="J66" s="2287"/>
      <c r="K66" s="2289"/>
      <c r="L66" s="2367"/>
      <c r="M66" s="2286"/>
      <c r="N66" s="2287"/>
      <c r="O66" s="2289"/>
      <c r="P66" s="2289"/>
      <c r="Q66" s="2291"/>
      <c r="R66" s="2286"/>
      <c r="S66" s="2287"/>
      <c r="T66" s="2289"/>
      <c r="U66" s="2289"/>
      <c r="V66" s="2291"/>
      <c r="W66" s="2401"/>
      <c r="X66" s="2402"/>
      <c r="Y66" s="2396"/>
      <c r="Z66" s="2396"/>
      <c r="AA66" s="2398"/>
      <c r="AB66" s="2401"/>
      <c r="AC66" s="2402"/>
      <c r="AD66" s="2396"/>
      <c r="AE66" s="2396"/>
      <c r="AF66" s="2398"/>
      <c r="AG66" s="2401"/>
      <c r="AH66" s="2402"/>
      <c r="AI66" s="2396"/>
      <c r="AJ66" s="2398"/>
      <c r="AK66" s="2235"/>
      <c r="AL66" s="2236"/>
      <c r="AM66" s="2236"/>
      <c r="AN66" s="2237"/>
      <c r="AO66" s="2235"/>
      <c r="AP66" s="2236"/>
      <c r="AQ66" s="2236"/>
      <c r="AR66" s="2237"/>
      <c r="AS66" s="571"/>
      <c r="AT66" s="572"/>
      <c r="AU66" s="2204"/>
      <c r="AV66" s="2204"/>
      <c r="AW66" s="2204"/>
      <c r="AX66" s="2204"/>
      <c r="AY66" s="2204"/>
      <c r="AZ66" s="2204"/>
      <c r="BA66" s="2204"/>
      <c r="BB66" s="574"/>
      <c r="BC66" s="574"/>
      <c r="BD66" s="572"/>
      <c r="BE66" s="572"/>
      <c r="BF66" s="572"/>
      <c r="BG66" s="572"/>
      <c r="BH66" s="572"/>
      <c r="BI66" s="572"/>
      <c r="BJ66" s="2472"/>
      <c r="BK66" s="2473"/>
      <c r="BL66" s="1584"/>
      <c r="BM66" s="599"/>
    </row>
    <row r="67" spans="1:65" ht="14.1" customHeight="1" x14ac:dyDescent="0.15">
      <c r="A67" s="572" t="str">
        <f>IF(AND(D67="",D69&lt;&gt;""),"×","○")</f>
        <v>○</v>
      </c>
      <c r="B67" s="2421" t="str">
        <f>IF(AND(AT67="○",BB67="○",BC67="○",A67="○"),"○","×")</f>
        <v>○</v>
      </c>
      <c r="C67" s="2393">
        <v>27</v>
      </c>
      <c r="D67" s="2230"/>
      <c r="E67" s="2228"/>
      <c r="F67" s="2241"/>
      <c r="G67" s="2391"/>
      <c r="H67" s="2290"/>
      <c r="I67" s="2284"/>
      <c r="J67" s="2285"/>
      <c r="K67" s="2288"/>
      <c r="L67" s="2392"/>
      <c r="M67" s="2346"/>
      <c r="N67" s="2347"/>
      <c r="O67" s="2288"/>
      <c r="P67" s="2288"/>
      <c r="Q67" s="2290"/>
      <c r="R67" s="2346"/>
      <c r="S67" s="2347"/>
      <c r="T67" s="2288"/>
      <c r="U67" s="2288"/>
      <c r="V67" s="2290"/>
      <c r="W67" s="2399"/>
      <c r="X67" s="2400"/>
      <c r="Y67" s="2395"/>
      <c r="Z67" s="2395"/>
      <c r="AA67" s="2397"/>
      <c r="AB67" s="2399"/>
      <c r="AC67" s="2400"/>
      <c r="AD67" s="2395"/>
      <c r="AE67" s="2395"/>
      <c r="AF67" s="2397"/>
      <c r="AG67" s="2399"/>
      <c r="AH67" s="2400"/>
      <c r="AI67" s="2395"/>
      <c r="AJ67" s="2397"/>
      <c r="AK67" s="2267"/>
      <c r="AL67" s="2268"/>
      <c r="AM67" s="2268"/>
      <c r="AN67" s="2269"/>
      <c r="AO67" s="2232"/>
      <c r="AP67" s="2233"/>
      <c r="AQ67" s="2233"/>
      <c r="AR67" s="2234"/>
      <c r="AS67" s="571"/>
      <c r="AT67" s="572" t="str">
        <f>IF(OR(AND(D67&lt;&gt;"",OR(AND(E67&lt;&gt;"",F67&lt;&gt;"",OR(G67&lt;&gt;"",H67&lt;&gt;"")),AND(E67="",F67="バス・カメラマン等"))),AND(D67="",E67="",F67="",OR(G67="",H67=""))),"○","×")</f>
        <v>○</v>
      </c>
      <c r="AU67" s="2204" t="str">
        <f>IF(AND(E67&lt;&gt;"",E67&lt;=2),"2歳児以下","")</f>
        <v/>
      </c>
      <c r="AV67" s="2204" t="str">
        <f>IF(OR(AND(3&lt;=E67,E67&lt;=6),COUNTIF(E67, "幼*"),COUNTIF(E67, "年少"),COUNTIF(E67, "年中"),COUNTIF(E67, "年長")),"3歳-学齢前","")</f>
        <v/>
      </c>
      <c r="AW67" s="2204" t="str">
        <f>IF(OR(AND(6&lt;=E67,E67&lt;=12),COUNTIF(E67, "小*")),"小学生","")</f>
        <v/>
      </c>
      <c r="AX67" s="2204" t="str">
        <f>IF(OR(AND(12&lt;=E67,E67&lt;=15),COUNTIF(E67, "中*")),"中学生","")</f>
        <v/>
      </c>
      <c r="AY67" s="2204" t="str">
        <f>IF(OR(AND(15&lt;=E67,E67&lt;=18),COUNTIF(E67, "高*")),"高校生(～18歳)","")</f>
        <v/>
      </c>
      <c r="AZ67" s="2204" t="str">
        <f>IF(OR(19&lt;=E67,COUNTIF(E67, "大*"),COUNTIF(E67, "*院*"),COUNTIF(E67, "*専*")),"一般(19歳～)","")</f>
        <v/>
      </c>
      <c r="BA67" s="2204" t="s">
        <v>425</v>
      </c>
      <c r="BB67" s="572" t="str">
        <f>IF(OR(AND(D67="",I67="",M67="",R67="",W67="",AB67="",AG67=""),AND(D67&lt;&gt;"",OR(I67&lt;&gt;"",M67&lt;&gt;"",R67&lt;&gt;"",W67&lt;&gt;"",AB67&lt;&gt;"",AG67&lt;&gt;""))),"○","×")</f>
        <v>○</v>
      </c>
      <c r="BC67" s="572" t="str">
        <f>IF(AND(BD67="○",BE67="○",BF67="○",BG67="○",BH67="○",BI67="○"),"○","×")</f>
        <v>○</v>
      </c>
      <c r="BD67" s="573" t="str">
        <f>IF(AND($I$7=" ",OR(I67&lt;&gt;"",K67&lt;&gt;"",L67&lt;&gt;"")),"×","○")</f>
        <v>○</v>
      </c>
      <c r="BE67" s="573" t="str">
        <f>IF(AND($M$7=" ",OR(M67&lt;&gt;"",O67&lt;&gt;"",P67&lt;&gt;"",Q67&lt;&gt;"")),"×","○")</f>
        <v>○</v>
      </c>
      <c r="BF67" s="573" t="str">
        <f>IF(AND($R$7=" ",OR(R67&lt;&gt;"",T67&lt;&gt;"",U67&lt;&gt;"",V67&lt;&gt;"")),"×","○")</f>
        <v>○</v>
      </c>
      <c r="BG67" s="573" t="str">
        <f>IF(AND($W$7=" ",OR(W67&lt;&gt;"",Y67&lt;&gt;"",Z67&lt;&gt;"",AA67&lt;&gt;"")),"×","○")</f>
        <v>○</v>
      </c>
      <c r="BH67" s="573" t="str">
        <f>IF(AND($AB$7=" ",OR(AB67&lt;&gt;"",AD67&lt;&gt;"",AE67&lt;&gt;"",AF67&lt;&gt;"")),"×","○")</f>
        <v>○</v>
      </c>
      <c r="BI67" s="573" t="str">
        <f>IF(AND($AG$7=" ",OR(AG67&lt;&gt;"",AI67&lt;&gt;"",AJ67&lt;&gt;"")),"×","○")</f>
        <v>○</v>
      </c>
      <c r="BJ67" s="2472" t="e">
        <f>SUMPRODUCT(1/COUNTIF(I67:AH67,"宿泊"))</f>
        <v>#DIV/0!</v>
      </c>
      <c r="BK67" s="2473" t="e">
        <f>SUMPRODUCT(1/COUNTIF(I67:AH67,"日帰り"))</f>
        <v>#DIV/0!</v>
      </c>
      <c r="BL67" s="1584">
        <f>COUNT(BJ67)-COUNT(BK67)</f>
        <v>0</v>
      </c>
      <c r="BM67" s="599"/>
    </row>
    <row r="68" spans="1:65" ht="14.1" customHeight="1" x14ac:dyDescent="0.15">
      <c r="A68" s="572"/>
      <c r="B68" s="2421"/>
      <c r="C68" s="2394"/>
      <c r="D68" s="2231"/>
      <c r="E68" s="2229"/>
      <c r="F68" s="2242"/>
      <c r="G68" s="2363"/>
      <c r="H68" s="2291"/>
      <c r="I68" s="2286"/>
      <c r="J68" s="2287"/>
      <c r="K68" s="2289"/>
      <c r="L68" s="2367"/>
      <c r="M68" s="2286"/>
      <c r="N68" s="2287"/>
      <c r="O68" s="2289"/>
      <c r="P68" s="2289"/>
      <c r="Q68" s="2291"/>
      <c r="R68" s="2286"/>
      <c r="S68" s="2287"/>
      <c r="T68" s="2289"/>
      <c r="U68" s="2289"/>
      <c r="V68" s="2291"/>
      <c r="W68" s="2401"/>
      <c r="X68" s="2402"/>
      <c r="Y68" s="2396"/>
      <c r="Z68" s="2396"/>
      <c r="AA68" s="2398"/>
      <c r="AB68" s="2401"/>
      <c r="AC68" s="2402"/>
      <c r="AD68" s="2396"/>
      <c r="AE68" s="2396"/>
      <c r="AF68" s="2398"/>
      <c r="AG68" s="2401"/>
      <c r="AH68" s="2402"/>
      <c r="AI68" s="2396"/>
      <c r="AJ68" s="2398"/>
      <c r="AK68" s="2235"/>
      <c r="AL68" s="2236"/>
      <c r="AM68" s="2236"/>
      <c r="AN68" s="2237"/>
      <c r="AO68" s="2235"/>
      <c r="AP68" s="2236"/>
      <c r="AQ68" s="2236"/>
      <c r="AR68" s="2237"/>
      <c r="AS68" s="571"/>
      <c r="AT68" s="572"/>
      <c r="AU68" s="2204"/>
      <c r="AV68" s="2204"/>
      <c r="AW68" s="2204"/>
      <c r="AX68" s="2204"/>
      <c r="AY68" s="2204"/>
      <c r="AZ68" s="2204"/>
      <c r="BA68" s="2204"/>
      <c r="BB68" s="574"/>
      <c r="BC68" s="574"/>
      <c r="BD68" s="572"/>
      <c r="BE68" s="572"/>
      <c r="BF68" s="572"/>
      <c r="BG68" s="572"/>
      <c r="BH68" s="572"/>
      <c r="BI68" s="572"/>
      <c r="BJ68" s="2472"/>
      <c r="BK68" s="2473"/>
      <c r="BL68" s="1584"/>
      <c r="BM68" s="599"/>
    </row>
    <row r="69" spans="1:65" ht="14.1" customHeight="1" x14ac:dyDescent="0.15">
      <c r="A69" s="572" t="str">
        <f>IF(AND(D69="",D71&lt;&gt;""),"×","○")</f>
        <v>○</v>
      </c>
      <c r="B69" s="2421" t="str">
        <f>IF(AND(AT69="○",BB69="○",BC69="○",A69="○"),"○","×")</f>
        <v>○</v>
      </c>
      <c r="C69" s="2393">
        <v>28</v>
      </c>
      <c r="D69" s="2230"/>
      <c r="E69" s="2228"/>
      <c r="F69" s="2241"/>
      <c r="G69" s="2391"/>
      <c r="H69" s="2290"/>
      <c r="I69" s="2284"/>
      <c r="J69" s="2285"/>
      <c r="K69" s="2288"/>
      <c r="L69" s="2392"/>
      <c r="M69" s="2346"/>
      <c r="N69" s="2347"/>
      <c r="O69" s="2288"/>
      <c r="P69" s="2288"/>
      <c r="Q69" s="2290"/>
      <c r="R69" s="2346"/>
      <c r="S69" s="2347"/>
      <c r="T69" s="2288"/>
      <c r="U69" s="2288"/>
      <c r="V69" s="2290"/>
      <c r="W69" s="2399"/>
      <c r="X69" s="2400"/>
      <c r="Y69" s="2395"/>
      <c r="Z69" s="2395"/>
      <c r="AA69" s="2397"/>
      <c r="AB69" s="2399"/>
      <c r="AC69" s="2400"/>
      <c r="AD69" s="2395"/>
      <c r="AE69" s="2395"/>
      <c r="AF69" s="2397"/>
      <c r="AG69" s="2399"/>
      <c r="AH69" s="2400"/>
      <c r="AI69" s="2395"/>
      <c r="AJ69" s="2397"/>
      <c r="AK69" s="2267"/>
      <c r="AL69" s="2268"/>
      <c r="AM69" s="2268"/>
      <c r="AN69" s="2269"/>
      <c r="AO69" s="2232"/>
      <c r="AP69" s="2233"/>
      <c r="AQ69" s="2233"/>
      <c r="AR69" s="2234"/>
      <c r="AS69" s="571"/>
      <c r="AT69" s="572" t="str">
        <f>IF(OR(AND(D69&lt;&gt;"",OR(AND(E69&lt;&gt;"",F69&lt;&gt;"",OR(G69&lt;&gt;"",H69&lt;&gt;"")),AND(E69="",F69="バス・カメラマン等"))),AND(D69="",E69="",F69="",OR(G69="",H69=""))),"○","×")</f>
        <v>○</v>
      </c>
      <c r="AU69" s="2204" t="str">
        <f>IF(AND(E69&lt;&gt;"",E69&lt;=2),"2歳児以下","")</f>
        <v/>
      </c>
      <c r="AV69" s="2204" t="str">
        <f>IF(OR(AND(3&lt;=E69,E69&lt;=6),COUNTIF(E69, "幼*"),COUNTIF(E69, "年少"),COUNTIF(E69, "年中"),COUNTIF(E69, "年長")),"3歳-学齢前","")</f>
        <v/>
      </c>
      <c r="AW69" s="2204" t="str">
        <f>IF(OR(AND(6&lt;=E69,E69&lt;=12),COUNTIF(E69, "小*")),"小学生","")</f>
        <v/>
      </c>
      <c r="AX69" s="2204" t="str">
        <f>IF(OR(AND(12&lt;=E69,E69&lt;=15),COUNTIF(E69, "中*")),"中学生","")</f>
        <v/>
      </c>
      <c r="AY69" s="2204" t="str">
        <f>IF(OR(AND(15&lt;=E69,E69&lt;=18),COUNTIF(E69, "高*")),"高校生(～18歳)","")</f>
        <v/>
      </c>
      <c r="AZ69" s="2204" t="str">
        <f>IF(OR(19&lt;=E69,COUNTIF(E69, "大*"),COUNTIF(E69, "*院*"),COUNTIF(E69, "*専*")),"一般(19歳～)","")</f>
        <v/>
      </c>
      <c r="BA69" s="2204" t="s">
        <v>425</v>
      </c>
      <c r="BB69" s="572" t="str">
        <f>IF(OR(AND(D69="",I69="",M69="",R69="",W69="",AB69="",AG69=""),AND(D69&lt;&gt;"",OR(I69&lt;&gt;"",M69&lt;&gt;"",R69&lt;&gt;"",W69&lt;&gt;"",AB69&lt;&gt;"",AG69&lt;&gt;""))),"○","×")</f>
        <v>○</v>
      </c>
      <c r="BC69" s="572" t="str">
        <f>IF(AND(BD69="○",BE69="○",BF69="○",BG69="○",BH69="○",BI69="○"),"○","×")</f>
        <v>○</v>
      </c>
      <c r="BD69" s="573" t="str">
        <f>IF(AND($I$7=" ",OR(I69&lt;&gt;"",K69&lt;&gt;"",L69&lt;&gt;"")),"×","○")</f>
        <v>○</v>
      </c>
      <c r="BE69" s="573" t="str">
        <f>IF(AND($M$7=" ",OR(M69&lt;&gt;"",O69&lt;&gt;"",P69&lt;&gt;"",Q69&lt;&gt;"")),"×","○")</f>
        <v>○</v>
      </c>
      <c r="BF69" s="573" t="str">
        <f>IF(AND($R$7=" ",OR(R69&lt;&gt;"",T69&lt;&gt;"",U69&lt;&gt;"",V69&lt;&gt;"")),"×","○")</f>
        <v>○</v>
      </c>
      <c r="BG69" s="573" t="str">
        <f>IF(AND($W$7=" ",OR(W69&lt;&gt;"",Y69&lt;&gt;"",Z69&lt;&gt;"",AA69&lt;&gt;"")),"×","○")</f>
        <v>○</v>
      </c>
      <c r="BH69" s="573" t="str">
        <f>IF(AND($AB$7=" ",OR(AB69&lt;&gt;"",AD69&lt;&gt;"",AE69&lt;&gt;"",AF69&lt;&gt;"")),"×","○")</f>
        <v>○</v>
      </c>
      <c r="BI69" s="573" t="str">
        <f>IF(AND($AG$7=" ",OR(AG69&lt;&gt;"",AI69&lt;&gt;"",AJ69&lt;&gt;"")),"×","○")</f>
        <v>○</v>
      </c>
      <c r="BJ69" s="2472" t="e">
        <f>SUMPRODUCT(1/COUNTIF(I69:AH69,"宿泊"))</f>
        <v>#DIV/0!</v>
      </c>
      <c r="BK69" s="2473" t="e">
        <f>SUMPRODUCT(1/COUNTIF(I69:AH69,"日帰り"))</f>
        <v>#DIV/0!</v>
      </c>
      <c r="BL69" s="1584">
        <f>COUNT(BJ69)-COUNT(BK69)</f>
        <v>0</v>
      </c>
      <c r="BM69" s="599"/>
    </row>
    <row r="70" spans="1:65" ht="14.1" customHeight="1" x14ac:dyDescent="0.15">
      <c r="A70" s="572"/>
      <c r="B70" s="2421"/>
      <c r="C70" s="2394"/>
      <c r="D70" s="2231"/>
      <c r="E70" s="2229"/>
      <c r="F70" s="2242"/>
      <c r="G70" s="2363"/>
      <c r="H70" s="2291"/>
      <c r="I70" s="2286"/>
      <c r="J70" s="2287"/>
      <c r="K70" s="2289"/>
      <c r="L70" s="2367"/>
      <c r="M70" s="2286"/>
      <c r="N70" s="2287"/>
      <c r="O70" s="2289"/>
      <c r="P70" s="2289"/>
      <c r="Q70" s="2291"/>
      <c r="R70" s="2286"/>
      <c r="S70" s="2287"/>
      <c r="T70" s="2289"/>
      <c r="U70" s="2289"/>
      <c r="V70" s="2291"/>
      <c r="W70" s="2401"/>
      <c r="X70" s="2402"/>
      <c r="Y70" s="2396"/>
      <c r="Z70" s="2396"/>
      <c r="AA70" s="2398"/>
      <c r="AB70" s="2401"/>
      <c r="AC70" s="2402"/>
      <c r="AD70" s="2396"/>
      <c r="AE70" s="2396"/>
      <c r="AF70" s="2398"/>
      <c r="AG70" s="2401"/>
      <c r="AH70" s="2402"/>
      <c r="AI70" s="2396"/>
      <c r="AJ70" s="2398"/>
      <c r="AK70" s="2235"/>
      <c r="AL70" s="2236"/>
      <c r="AM70" s="2236"/>
      <c r="AN70" s="2237"/>
      <c r="AO70" s="2235"/>
      <c r="AP70" s="2236"/>
      <c r="AQ70" s="2236"/>
      <c r="AR70" s="2237"/>
      <c r="AS70" s="571"/>
      <c r="AT70" s="572"/>
      <c r="AU70" s="2204"/>
      <c r="AV70" s="2204"/>
      <c r="AW70" s="2204"/>
      <c r="AX70" s="2204"/>
      <c r="AY70" s="2204"/>
      <c r="AZ70" s="2204"/>
      <c r="BA70" s="2204"/>
      <c r="BB70" s="574"/>
      <c r="BC70" s="574"/>
      <c r="BD70" s="572"/>
      <c r="BE70" s="572"/>
      <c r="BF70" s="572"/>
      <c r="BG70" s="572"/>
      <c r="BH70" s="572"/>
      <c r="BI70" s="572"/>
      <c r="BJ70" s="2472"/>
      <c r="BK70" s="2473"/>
      <c r="BL70" s="1584"/>
      <c r="BM70" s="599"/>
    </row>
    <row r="71" spans="1:65" ht="14.1" customHeight="1" x14ac:dyDescent="0.15">
      <c r="A71" s="572" t="str">
        <f>IF(AND(D71="",D73&lt;&gt;""),"×","○")</f>
        <v>○</v>
      </c>
      <c r="B71" s="2421" t="str">
        <f>IF(AND(AT71="○",BB71="○",BC71="○",A71="○"),"○","×")</f>
        <v>○</v>
      </c>
      <c r="C71" s="2393">
        <v>29</v>
      </c>
      <c r="D71" s="2230"/>
      <c r="E71" s="2228"/>
      <c r="F71" s="2241"/>
      <c r="G71" s="2391"/>
      <c r="H71" s="2290"/>
      <c r="I71" s="2284"/>
      <c r="J71" s="2285"/>
      <c r="K71" s="2288"/>
      <c r="L71" s="2392"/>
      <c r="M71" s="2346"/>
      <c r="N71" s="2347"/>
      <c r="O71" s="2288"/>
      <c r="P71" s="2288"/>
      <c r="Q71" s="2290"/>
      <c r="R71" s="2346"/>
      <c r="S71" s="2347"/>
      <c r="T71" s="2288"/>
      <c r="U71" s="2288"/>
      <c r="V71" s="2290"/>
      <c r="W71" s="2399"/>
      <c r="X71" s="2400"/>
      <c r="Y71" s="2395"/>
      <c r="Z71" s="2395"/>
      <c r="AA71" s="2397"/>
      <c r="AB71" s="2399"/>
      <c r="AC71" s="2400"/>
      <c r="AD71" s="2395"/>
      <c r="AE71" s="2395"/>
      <c r="AF71" s="2397"/>
      <c r="AG71" s="2399"/>
      <c r="AH71" s="2400"/>
      <c r="AI71" s="2395"/>
      <c r="AJ71" s="2397"/>
      <c r="AK71" s="2267"/>
      <c r="AL71" s="2268"/>
      <c r="AM71" s="2268"/>
      <c r="AN71" s="2269"/>
      <c r="AO71" s="2232"/>
      <c r="AP71" s="2233"/>
      <c r="AQ71" s="2233"/>
      <c r="AR71" s="2234"/>
      <c r="AS71" s="571"/>
      <c r="AT71" s="572" t="str">
        <f>IF(OR(AND(D71&lt;&gt;"",OR(AND(E71&lt;&gt;"",F71&lt;&gt;"",OR(G71&lt;&gt;"",H71&lt;&gt;"")),AND(E71="",F71="バス・カメラマン等"))),AND(D71="",E71="",F71="",OR(G71="",H71=""))),"○","×")</f>
        <v>○</v>
      </c>
      <c r="AU71" s="2204" t="str">
        <f>IF(AND(E71&lt;&gt;"",E71&lt;=2),"2歳児以下","")</f>
        <v/>
      </c>
      <c r="AV71" s="2204" t="str">
        <f>IF(OR(AND(3&lt;=E71,E71&lt;=6),COUNTIF(E71, "幼*"),COUNTIF(E71, "年少"),COUNTIF(E71, "年中"),COUNTIF(E71, "年長")),"3歳-学齢前","")</f>
        <v/>
      </c>
      <c r="AW71" s="2204" t="str">
        <f>IF(OR(AND(6&lt;=E71,E71&lt;=12),COUNTIF(E71, "小*")),"小学生","")</f>
        <v/>
      </c>
      <c r="AX71" s="2204" t="str">
        <f>IF(OR(AND(12&lt;=E71,E71&lt;=15),COUNTIF(E71, "中*")),"中学生","")</f>
        <v/>
      </c>
      <c r="AY71" s="2204" t="str">
        <f>IF(OR(AND(15&lt;=E71,E71&lt;=18),COUNTIF(E71, "高*")),"高校生(～18歳)","")</f>
        <v/>
      </c>
      <c r="AZ71" s="2204" t="str">
        <f>IF(OR(19&lt;=E71,COUNTIF(E71, "大*"),COUNTIF(E71, "*院*"),COUNTIF(E71, "*専*")),"一般(19歳～)","")</f>
        <v/>
      </c>
      <c r="BA71" s="2204" t="s">
        <v>425</v>
      </c>
      <c r="BB71" s="572" t="str">
        <f>IF(OR(AND(D71="",I71="",M71="",R71="",W71="",AB71="",AG71=""),AND(D71&lt;&gt;"",OR(I71&lt;&gt;"",M71&lt;&gt;"",R71&lt;&gt;"",W71&lt;&gt;"",AB71&lt;&gt;"",AG71&lt;&gt;""))),"○","×")</f>
        <v>○</v>
      </c>
      <c r="BC71" s="572" t="str">
        <f>IF(AND(BD71="○",BE71="○",BF71="○",BG71="○",BH71="○",BI71="○"),"○","×")</f>
        <v>○</v>
      </c>
      <c r="BD71" s="573" t="str">
        <f>IF(AND($I$7=" ",OR(I71&lt;&gt;"",K71&lt;&gt;"",L71&lt;&gt;"")),"×","○")</f>
        <v>○</v>
      </c>
      <c r="BE71" s="573" t="str">
        <f>IF(AND($M$7=" ",OR(M71&lt;&gt;"",O71&lt;&gt;"",P71&lt;&gt;"",Q71&lt;&gt;"")),"×","○")</f>
        <v>○</v>
      </c>
      <c r="BF71" s="573" t="str">
        <f>IF(AND($R$7=" ",OR(R71&lt;&gt;"",T71&lt;&gt;"",U71&lt;&gt;"",V71&lt;&gt;"")),"×","○")</f>
        <v>○</v>
      </c>
      <c r="BG71" s="573" t="str">
        <f>IF(AND($W$7=" ",OR(W71&lt;&gt;"",Y71&lt;&gt;"",Z71&lt;&gt;"",AA71&lt;&gt;"")),"×","○")</f>
        <v>○</v>
      </c>
      <c r="BH71" s="573" t="str">
        <f>IF(AND($AB$7=" ",OR(AB71&lt;&gt;"",AD71&lt;&gt;"",AE71&lt;&gt;"",AF71&lt;&gt;"")),"×","○")</f>
        <v>○</v>
      </c>
      <c r="BI71" s="573" t="str">
        <f>IF(AND($AG$7=" ",OR(AG71&lt;&gt;"",AI71&lt;&gt;"",AJ71&lt;&gt;"")),"×","○")</f>
        <v>○</v>
      </c>
      <c r="BJ71" s="2472" t="e">
        <f>SUMPRODUCT(1/COUNTIF(I71:AH71,"宿泊"))</f>
        <v>#DIV/0!</v>
      </c>
      <c r="BK71" s="2473" t="e">
        <f>SUMPRODUCT(1/COUNTIF(I71:AH71,"日帰り"))</f>
        <v>#DIV/0!</v>
      </c>
      <c r="BL71" s="1584">
        <f>COUNT(BJ71)-COUNT(BK71)</f>
        <v>0</v>
      </c>
      <c r="BM71" s="599"/>
    </row>
    <row r="72" spans="1:65" ht="14.1" customHeight="1" x14ac:dyDescent="0.15">
      <c r="A72" s="572"/>
      <c r="B72" s="2421"/>
      <c r="C72" s="2394"/>
      <c r="D72" s="2231"/>
      <c r="E72" s="2229"/>
      <c r="F72" s="2242"/>
      <c r="G72" s="2363"/>
      <c r="H72" s="2291"/>
      <c r="I72" s="2286"/>
      <c r="J72" s="2287"/>
      <c r="K72" s="2289"/>
      <c r="L72" s="2367"/>
      <c r="M72" s="2286"/>
      <c r="N72" s="2287"/>
      <c r="O72" s="2289"/>
      <c r="P72" s="2289"/>
      <c r="Q72" s="2291"/>
      <c r="R72" s="2286"/>
      <c r="S72" s="2287"/>
      <c r="T72" s="2289"/>
      <c r="U72" s="2289"/>
      <c r="V72" s="2291"/>
      <c r="W72" s="2401"/>
      <c r="X72" s="2402"/>
      <c r="Y72" s="2396"/>
      <c r="Z72" s="2396"/>
      <c r="AA72" s="2398"/>
      <c r="AB72" s="2401"/>
      <c r="AC72" s="2402"/>
      <c r="AD72" s="2396"/>
      <c r="AE72" s="2396"/>
      <c r="AF72" s="2398"/>
      <c r="AG72" s="2401"/>
      <c r="AH72" s="2402"/>
      <c r="AI72" s="2396"/>
      <c r="AJ72" s="2398"/>
      <c r="AK72" s="2235"/>
      <c r="AL72" s="2236"/>
      <c r="AM72" s="2236"/>
      <c r="AN72" s="2237"/>
      <c r="AO72" s="2235"/>
      <c r="AP72" s="2236"/>
      <c r="AQ72" s="2236"/>
      <c r="AR72" s="2237"/>
      <c r="AS72" s="571"/>
      <c r="AT72" s="572"/>
      <c r="AU72" s="2204"/>
      <c r="AV72" s="2204"/>
      <c r="AW72" s="2204"/>
      <c r="AX72" s="2204"/>
      <c r="AY72" s="2204"/>
      <c r="AZ72" s="2204"/>
      <c r="BA72" s="2204"/>
      <c r="BB72" s="574"/>
      <c r="BC72" s="574"/>
      <c r="BD72" s="572"/>
      <c r="BE72" s="572"/>
      <c r="BF72" s="572"/>
      <c r="BG72" s="572"/>
      <c r="BH72" s="572"/>
      <c r="BI72" s="572"/>
      <c r="BJ72" s="2472"/>
      <c r="BK72" s="2473"/>
      <c r="BL72" s="1584"/>
      <c r="BM72" s="599"/>
    </row>
    <row r="73" spans="1:65" ht="14.1" customHeight="1" x14ac:dyDescent="0.15">
      <c r="A73" s="572"/>
      <c r="B73" s="2421" t="str">
        <f>IF(AND(AT73="○",BB73="○",BC73="○"),"○","×")</f>
        <v>○</v>
      </c>
      <c r="C73" s="2393">
        <v>30</v>
      </c>
      <c r="D73" s="2230"/>
      <c r="E73" s="2228"/>
      <c r="F73" s="2282"/>
      <c r="G73" s="2391"/>
      <c r="H73" s="2290"/>
      <c r="I73" s="2284"/>
      <c r="J73" s="2285"/>
      <c r="K73" s="2288"/>
      <c r="L73" s="2392"/>
      <c r="M73" s="2284"/>
      <c r="N73" s="2285"/>
      <c r="O73" s="2288"/>
      <c r="P73" s="2288"/>
      <c r="Q73" s="2290"/>
      <c r="R73" s="2284"/>
      <c r="S73" s="2285"/>
      <c r="T73" s="2288"/>
      <c r="U73" s="2288"/>
      <c r="V73" s="2290"/>
      <c r="W73" s="2399"/>
      <c r="X73" s="2400"/>
      <c r="Y73" s="2395"/>
      <c r="Z73" s="2395"/>
      <c r="AA73" s="2397"/>
      <c r="AB73" s="2399"/>
      <c r="AC73" s="2400"/>
      <c r="AD73" s="2395"/>
      <c r="AE73" s="2395"/>
      <c r="AF73" s="2397"/>
      <c r="AG73" s="2399"/>
      <c r="AH73" s="2400"/>
      <c r="AI73" s="2395"/>
      <c r="AJ73" s="2397"/>
      <c r="AK73" s="2232"/>
      <c r="AL73" s="2233"/>
      <c r="AM73" s="2233"/>
      <c r="AN73" s="2234"/>
      <c r="AO73" s="2232"/>
      <c r="AP73" s="2233"/>
      <c r="AQ73" s="2233"/>
      <c r="AR73" s="2234"/>
      <c r="AS73" s="571"/>
      <c r="AT73" s="572" t="str">
        <f>IF(OR(AND(D73&lt;&gt;"",OR(AND(E73&lt;&gt;"",F73&lt;&gt;"",OR(G73&lt;&gt;"",H73&lt;&gt;"")),AND(E73="",F73="バス・カメラマン等"))),AND(D73="",E73="",F73="",OR(G73="",H73=""))),"○","×")</f>
        <v>○</v>
      </c>
      <c r="AU73" s="2204" t="str">
        <f>IF(AND(E73&lt;&gt;"",E73&lt;=2),"2歳児以下","")</f>
        <v/>
      </c>
      <c r="AV73" s="2204" t="str">
        <f>IF(OR(AND(3&lt;=E73,E73&lt;=6),COUNTIF(E73, "幼*"),COUNTIF(E73, "年少"),COUNTIF(E73, "年中"),COUNTIF(E73, "年長")),"3歳-学齢前","")</f>
        <v/>
      </c>
      <c r="AW73" s="2204" t="str">
        <f>IF(OR(AND(6&lt;=E73,E73&lt;=12),COUNTIF(E73, "小*")),"小学生","")</f>
        <v/>
      </c>
      <c r="AX73" s="2204" t="str">
        <f>IF(OR(AND(12&lt;=E73,E73&lt;=15),COUNTIF(E73, "中*")),"中学生","")</f>
        <v/>
      </c>
      <c r="AY73" s="2204" t="str">
        <f>IF(OR(AND(15&lt;=E73,E73&lt;=18),COUNTIF(E73, "高*")),"高校生(～18歳)","")</f>
        <v/>
      </c>
      <c r="AZ73" s="2204" t="str">
        <f>IF(OR(19&lt;=E73,COUNTIF(E73, "大*"),COUNTIF(E73, "*院*"),COUNTIF(E73, "*専*")),"一般(19歳～)","")</f>
        <v/>
      </c>
      <c r="BA73" s="2204" t="s">
        <v>425</v>
      </c>
      <c r="BB73" s="572" t="str">
        <f>IF(OR(AND(D73="",I73="",M73="",R73="",W73="",AB73="",AG73=""),AND(D73&lt;&gt;"",OR(I73&lt;&gt;"",M73&lt;&gt;"",R73&lt;&gt;"",W73&lt;&gt;"",AB73&lt;&gt;"",AG73&lt;&gt;""))),"○","×")</f>
        <v>○</v>
      </c>
      <c r="BC73" s="572" t="str">
        <f>IF(AND(BD73="○",BE73="○",BF73="○",BG73="○",BH73="○",BI73="○"),"○","×")</f>
        <v>○</v>
      </c>
      <c r="BD73" s="573" t="str">
        <f>IF(AND($I$7=" ",OR(I73&lt;&gt;"",K73&lt;&gt;"",L73&lt;&gt;"")),"×","○")</f>
        <v>○</v>
      </c>
      <c r="BE73" s="573" t="str">
        <f>IF(AND($M$7=" ",OR(M73&lt;&gt;"",O73&lt;&gt;"",P73&lt;&gt;"",Q73&lt;&gt;"")),"×","○")</f>
        <v>○</v>
      </c>
      <c r="BF73" s="573" t="str">
        <f>IF(AND($R$7=" ",OR(R73&lt;&gt;"",T73&lt;&gt;"",U73&lt;&gt;"",V73&lt;&gt;"")),"×","○")</f>
        <v>○</v>
      </c>
      <c r="BG73" s="573" t="str">
        <f>IF(AND($W$7=" ",OR(W73&lt;&gt;"",Y73&lt;&gt;"",Z73&lt;&gt;"",AA73&lt;&gt;"")),"×","○")</f>
        <v>○</v>
      </c>
      <c r="BH73" s="573" t="str">
        <f>IF(AND($AB$7=" ",OR(AB73&lt;&gt;"",AD73&lt;&gt;"",AE73&lt;&gt;"",AF73&lt;&gt;"")),"×","○")</f>
        <v>○</v>
      </c>
      <c r="BI73" s="573" t="str">
        <f>IF(AND($AG$7=" ",OR(AG73&lt;&gt;"",AI73&lt;&gt;"",AJ73&lt;&gt;"")),"×","○")</f>
        <v>○</v>
      </c>
      <c r="BJ73" s="2472" t="e">
        <f>SUMPRODUCT(1/COUNTIF(I73:AH73,"宿泊"))</f>
        <v>#DIV/0!</v>
      </c>
      <c r="BK73" s="2473" t="e">
        <f>SUMPRODUCT(1/COUNTIF(I73:AH73,"日帰り"))</f>
        <v>#DIV/0!</v>
      </c>
      <c r="BL73" s="1584">
        <f>COUNT(BJ73)-COUNT(BK73)</f>
        <v>0</v>
      </c>
      <c r="BM73" s="599"/>
    </row>
    <row r="74" spans="1:65" ht="14.1" customHeight="1" thickBot="1" x14ac:dyDescent="0.2">
      <c r="A74" s="572"/>
      <c r="B74" s="2422"/>
      <c r="C74" s="2408"/>
      <c r="D74" s="2409"/>
      <c r="E74" s="2410"/>
      <c r="F74" s="2283"/>
      <c r="G74" s="2411"/>
      <c r="H74" s="2412"/>
      <c r="I74" s="2413"/>
      <c r="J74" s="2414"/>
      <c r="K74" s="2415"/>
      <c r="L74" s="2416"/>
      <c r="M74" s="2413"/>
      <c r="N74" s="2414"/>
      <c r="O74" s="2415"/>
      <c r="P74" s="2415"/>
      <c r="Q74" s="2412"/>
      <c r="R74" s="2413"/>
      <c r="S74" s="2414"/>
      <c r="T74" s="2415"/>
      <c r="U74" s="2415"/>
      <c r="V74" s="2412"/>
      <c r="W74" s="2417"/>
      <c r="X74" s="2418"/>
      <c r="Y74" s="2420"/>
      <c r="Z74" s="2420"/>
      <c r="AA74" s="2419"/>
      <c r="AB74" s="2417"/>
      <c r="AC74" s="2418"/>
      <c r="AD74" s="2420"/>
      <c r="AE74" s="2420"/>
      <c r="AF74" s="2419"/>
      <c r="AG74" s="2417"/>
      <c r="AH74" s="2418"/>
      <c r="AI74" s="2420"/>
      <c r="AJ74" s="2419"/>
      <c r="AK74" s="2238"/>
      <c r="AL74" s="2239"/>
      <c r="AM74" s="2239"/>
      <c r="AN74" s="2240"/>
      <c r="AO74" s="2238"/>
      <c r="AP74" s="2239"/>
      <c r="AQ74" s="2239"/>
      <c r="AR74" s="2240"/>
      <c r="AS74" s="571"/>
      <c r="AT74" s="572"/>
      <c r="AU74" s="2204"/>
      <c r="AV74" s="2204"/>
      <c r="AW74" s="2204"/>
      <c r="AX74" s="2204"/>
      <c r="AY74" s="2204"/>
      <c r="AZ74" s="2204"/>
      <c r="BA74" s="2204"/>
      <c r="BB74" s="574"/>
      <c r="BC74" s="574"/>
      <c r="BD74" s="572"/>
      <c r="BE74" s="572"/>
      <c r="BF74" s="572"/>
      <c r="BG74" s="572"/>
      <c r="BH74" s="572"/>
      <c r="BI74" s="572"/>
      <c r="BJ74" s="2472"/>
      <c r="BK74" s="2473"/>
      <c r="BL74" s="1584"/>
      <c r="BM74" s="599"/>
    </row>
    <row r="75" spans="1:65" x14ac:dyDescent="0.15">
      <c r="B75" s="979">
        <f>COUNTIF(B15:B74,"×")</f>
        <v>2</v>
      </c>
      <c r="C75" s="979"/>
      <c r="D75" s="979"/>
      <c r="E75" s="979"/>
      <c r="F75" s="979">
        <f>COUNTIF(F15:F74,"一般(19歳～)")</f>
        <v>0</v>
      </c>
      <c r="G75" s="979"/>
      <c r="H75" s="979"/>
      <c r="I75" s="979"/>
      <c r="J75" s="979"/>
      <c r="K75" s="980" t="str">
        <f>IF(入力1!AA24="","",IF(入力1!L64&lt;&gt;"昼","","1昼"))</f>
        <v/>
      </c>
      <c r="L75" s="980" t="str">
        <f>IF(入力1!AA24="","",IF(入力1!F23=0,"","1夕"))</f>
        <v/>
      </c>
      <c r="M75" s="979"/>
      <c r="N75" s="979"/>
      <c r="O75" s="980" t="str">
        <f>IF(入力1!AA24="","",IF(入力1!H23&lt;=1,"","2朝"))</f>
        <v/>
      </c>
      <c r="P75" s="980" t="str">
        <f>IF(入力1!AA24="","",IF(OR(入力1!AA29&lt;&gt;"",AND(入力1!O22=入力1!K22+1,入力1!R22="昼")),"2昼",""))</f>
        <v/>
      </c>
      <c r="Q75" s="980" t="str">
        <f>IF(入力1!AA24="","",IF(OR(入力1!F23&lt;=1,入力1!M66=""),"","2夕"))</f>
        <v/>
      </c>
      <c r="R75" s="979"/>
      <c r="S75" s="979"/>
      <c r="T75" s="980" t="str">
        <f>IF(入力1!AA24="","",IF(入力1!H23&lt;=2,"","3朝"))</f>
        <v/>
      </c>
      <c r="U75" s="980" t="str">
        <f>IF(入力1!AA24="","",IF(OR(入力1!AB29&lt;&gt;"",AND(入力1!O22=入力1!K22+2,入力1!R22="昼")),"3昼",""))</f>
        <v/>
      </c>
      <c r="V75" s="980" t="str">
        <f>IF(入力1!AA24="","",IF(OR(入力1!F23&lt;=2,入力1!Q66=""),"","3夕"))</f>
        <v/>
      </c>
      <c r="W75" s="979"/>
      <c r="X75" s="979"/>
      <c r="Y75" s="980" t="str">
        <f>IF(入力1!AA24="","",IF(入力1!H23&lt;=3,"","4朝"))</f>
        <v/>
      </c>
      <c r="Z75" s="980" t="str">
        <f>IF(入力1!AA24="","",IF(OR(入力1!AC29&lt;&gt;"",AND(入力1!O22=入力1!K22+3,入力1!R22="昼")),"4昼",""))</f>
        <v/>
      </c>
      <c r="AA75" s="980" t="str">
        <f>IF(入力1!AA24="","",IF(OR(入力1!F23&lt;=3,入力1!U66=""),"","4夕"))</f>
        <v/>
      </c>
      <c r="AB75" s="979"/>
      <c r="AC75" s="979"/>
      <c r="AD75" s="980" t="str">
        <f>IF(入力1!AA24="","",IF(入力1!H23&lt;=4,"","5朝"))</f>
        <v/>
      </c>
      <c r="AE75" s="980" t="str">
        <f>IF(入力1!AA24="","",IF(OR(入力1!AD29&lt;&gt;"",AND(入力1!O22=入力1!K22+4,入力1!R22="昼")),"5昼",""))</f>
        <v/>
      </c>
      <c r="AF75" s="980" t="str">
        <f>IF(入力1!AA24="","",IF(OR(入力1!F23&lt;=4,入力1!U66=""),"","5夕"))</f>
        <v/>
      </c>
      <c r="AG75" s="979"/>
      <c r="AH75" s="979"/>
      <c r="AI75" s="980" t="str">
        <f>IF(入力1!AA24="","",IF(入力1!H23&lt;=5,"","6朝"))</f>
        <v/>
      </c>
      <c r="AJ75" s="980" t="str">
        <f>IF(入力1!AA24="","",IF(OR(入力1!H23&lt;=5,入力1!R22&lt;&gt;"昼",入力1!AC66=""),"","6昼"))</f>
        <v/>
      </c>
      <c r="AK75" s="979"/>
      <c r="AL75" s="979"/>
      <c r="AM75" s="572"/>
      <c r="AN75" s="572"/>
      <c r="AO75" s="572"/>
      <c r="AP75" s="572"/>
      <c r="AQ75" s="572"/>
      <c r="AR75" s="572"/>
      <c r="BK75" s="113"/>
      <c r="BL75" s="113"/>
    </row>
    <row r="76" spans="1:65" x14ac:dyDescent="0.15">
      <c r="B76" s="979"/>
      <c r="C76" s="979"/>
      <c r="D76" s="979"/>
      <c r="E76" s="979"/>
      <c r="F76" s="979"/>
      <c r="G76" s="979"/>
      <c r="H76" s="979"/>
      <c r="I76" s="979"/>
      <c r="J76" s="979"/>
      <c r="K76" s="572" t="str">
        <f>IF(OR(K10=0,AND(COUNTA(K15:K74)=0,K10="")),"○","×")</f>
        <v>○</v>
      </c>
      <c r="L76" s="572" t="str">
        <f>IF(OR(L10=0,AND(COUNTA(L15:L74)=0,L10="")),"○","×")</f>
        <v>○</v>
      </c>
      <c r="M76" s="979"/>
      <c r="N76" s="979"/>
      <c r="O76" s="572" t="str">
        <f>IF(OR(O10=0,AND(COUNTA(O15:O74)=0,O10="")),"○","×")</f>
        <v>○</v>
      </c>
      <c r="P76" s="572" t="str">
        <f>IF(OR(P10=0,AND(COUNTA(P15:P74)=0,P10="")),"○","×")</f>
        <v>○</v>
      </c>
      <c r="Q76" s="572" t="str">
        <f>IF(OR(Q10=0,AND(COUNTA(Q15:Q74)=0,Q10="")),"○","×")</f>
        <v>○</v>
      </c>
      <c r="R76" s="979"/>
      <c r="S76" s="979"/>
      <c r="T76" s="572" t="str">
        <f>IF(OR(T10=0,AND(COUNTA(T15:T74)=0,T10="")),"○","×")</f>
        <v>○</v>
      </c>
      <c r="U76" s="572" t="str">
        <f>IF(OR(U10=0,AND(COUNTA(U15:U74)=0,U10="")),"○","×")</f>
        <v>○</v>
      </c>
      <c r="V76" s="572" t="str">
        <f>IF(OR(V10=0,AND(COUNTA(V15:V74)=0,V10="")),"○","×")</f>
        <v>○</v>
      </c>
      <c r="W76" s="979"/>
      <c r="X76" s="979"/>
      <c r="Y76" s="572" t="str">
        <f>IF(OR(Y10=0,AND(COUNTA(Y15:Y74)=0,Y10="")),"○","×")</f>
        <v>○</v>
      </c>
      <c r="Z76" s="572" t="str">
        <f>IF(OR(Z10=0,AND(COUNTA(Z15:Z74)=0,Z10="")),"○","×")</f>
        <v>○</v>
      </c>
      <c r="AA76" s="572" t="str">
        <f>IF(OR(AA10=0,AND(COUNTA(AA15:AA74)=0,AA10="")),"○","×")</f>
        <v>○</v>
      </c>
      <c r="AB76" s="979"/>
      <c r="AC76" s="979"/>
      <c r="AD76" s="572" t="str">
        <f>IF(OR(AD10=0,AND(COUNTA(AD15:AD74)=0,AD10="")),"○","×")</f>
        <v>○</v>
      </c>
      <c r="AE76" s="572" t="str">
        <f>IF(OR(AE10=0,AND(COUNTA(AE15:AE74)=0,AE10="")),"○","×")</f>
        <v>○</v>
      </c>
      <c r="AF76" s="572" t="str">
        <f>IF(OR(AF10=0,AND(COUNTA(AF15:AF74)=0,AF10="")),"○","×")</f>
        <v>○</v>
      </c>
      <c r="AG76" s="979"/>
      <c r="AH76" s="979"/>
      <c r="AI76" s="572" t="str">
        <f>IF(OR(AI10=0,AND(COUNTA(AI15:AI74)=0,AI10="")),"○","×")</f>
        <v>○</v>
      </c>
      <c r="AJ76" s="572" t="str">
        <f>IF(OR(AJ10=0,AND(COUNTA(AJ15:AJ74)=0,AJ10="")),"○","×")</f>
        <v>○</v>
      </c>
      <c r="AK76" s="979"/>
      <c r="AL76" s="979"/>
      <c r="AM76" s="572"/>
      <c r="AN76" s="572"/>
      <c r="AO76" s="572"/>
      <c r="AP76" s="572"/>
      <c r="AQ76" s="572"/>
      <c r="AR76" s="572"/>
      <c r="BK76" s="113"/>
      <c r="BL76" s="113"/>
    </row>
    <row r="77" spans="1:65" x14ac:dyDescent="0.15">
      <c r="BK77" s="113"/>
      <c r="BL77" s="113"/>
    </row>
    <row r="78" spans="1:65" x14ac:dyDescent="0.15">
      <c r="BK78" s="113"/>
      <c r="BL78" s="113"/>
    </row>
    <row r="79" spans="1:65" x14ac:dyDescent="0.15">
      <c r="BK79" s="113"/>
      <c r="BL79" s="113"/>
    </row>
    <row r="80" spans="1:65" x14ac:dyDescent="0.15">
      <c r="BK80" s="113"/>
      <c r="BL80" s="113"/>
    </row>
    <row r="81" spans="63:64" x14ac:dyDescent="0.15">
      <c r="BK81" s="113"/>
      <c r="BL81" s="113"/>
    </row>
    <row r="82" spans="63:64" x14ac:dyDescent="0.15">
      <c r="BK82" s="113"/>
      <c r="BL82" s="113"/>
    </row>
    <row r="83" spans="63:64" x14ac:dyDescent="0.15">
      <c r="BK83" s="113"/>
      <c r="BL83" s="113"/>
    </row>
    <row r="84" spans="63:64" x14ac:dyDescent="0.15">
      <c r="BK84" s="113"/>
      <c r="BL84" s="113"/>
    </row>
    <row r="85" spans="63:64" x14ac:dyDescent="0.15">
      <c r="BK85" s="113"/>
      <c r="BL85" s="113"/>
    </row>
    <row r="86" spans="63:64" x14ac:dyDescent="0.15">
      <c r="BK86" s="113"/>
      <c r="BL86" s="113"/>
    </row>
    <row r="87" spans="63:64" x14ac:dyDescent="0.15">
      <c r="BK87" s="113"/>
      <c r="BL87" s="113"/>
    </row>
    <row r="88" spans="63:64" x14ac:dyDescent="0.15">
      <c r="BK88" s="113"/>
      <c r="BL88" s="113"/>
    </row>
    <row r="89" spans="63:64" x14ac:dyDescent="0.15">
      <c r="BK89" s="113"/>
      <c r="BL89" s="113"/>
    </row>
    <row r="90" spans="63:64" x14ac:dyDescent="0.15">
      <c r="BK90" s="113"/>
      <c r="BL90" s="113"/>
    </row>
    <row r="91" spans="63:64" x14ac:dyDescent="0.15">
      <c r="BK91" s="113"/>
      <c r="BL91" s="113"/>
    </row>
    <row r="92" spans="63:64" x14ac:dyDescent="0.15">
      <c r="BK92" s="113"/>
      <c r="BL92" s="113"/>
    </row>
    <row r="93" spans="63:64" x14ac:dyDescent="0.15">
      <c r="BK93" s="113"/>
      <c r="BL93" s="113"/>
    </row>
    <row r="94" spans="63:64" x14ac:dyDescent="0.15">
      <c r="BK94" s="113"/>
      <c r="BL94" s="113"/>
    </row>
    <row r="95" spans="63:64" x14ac:dyDescent="0.15">
      <c r="BK95" s="113"/>
      <c r="BL95" s="113"/>
    </row>
    <row r="96" spans="63:64" x14ac:dyDescent="0.15">
      <c r="BK96" s="113"/>
      <c r="BL96" s="113"/>
    </row>
    <row r="97" spans="63:64" x14ac:dyDescent="0.15">
      <c r="BK97" s="113"/>
      <c r="BL97" s="113"/>
    </row>
    <row r="98" spans="63:64" x14ac:dyDescent="0.15">
      <c r="BK98" s="113"/>
      <c r="BL98" s="113"/>
    </row>
    <row r="99" spans="63:64" x14ac:dyDescent="0.15">
      <c r="BK99" s="113"/>
      <c r="BL99" s="113"/>
    </row>
    <row r="100" spans="63:64" x14ac:dyDescent="0.15">
      <c r="BK100" s="113"/>
      <c r="BL100" s="113"/>
    </row>
    <row r="101" spans="63:64" x14ac:dyDescent="0.15">
      <c r="BK101" s="113"/>
      <c r="BL101" s="113"/>
    </row>
    <row r="102" spans="63:64" x14ac:dyDescent="0.15">
      <c r="BK102" s="113"/>
      <c r="BL102" s="113"/>
    </row>
    <row r="103" spans="63:64" x14ac:dyDescent="0.15">
      <c r="BK103" s="113"/>
      <c r="BL103" s="113"/>
    </row>
    <row r="104" spans="63:64" x14ac:dyDescent="0.15">
      <c r="BK104" s="113"/>
      <c r="BL104" s="113"/>
    </row>
    <row r="105" spans="63:64" x14ac:dyDescent="0.15">
      <c r="BK105" s="113"/>
      <c r="BL105" s="113"/>
    </row>
    <row r="106" spans="63:64" x14ac:dyDescent="0.15">
      <c r="BK106" s="113"/>
      <c r="BL106" s="113"/>
    </row>
    <row r="107" spans="63:64" x14ac:dyDescent="0.15">
      <c r="BK107" s="113"/>
      <c r="BL107" s="113"/>
    </row>
    <row r="108" spans="63:64" x14ac:dyDescent="0.15">
      <c r="BK108" s="113"/>
      <c r="BL108" s="113"/>
    </row>
    <row r="109" spans="63:64" x14ac:dyDescent="0.15">
      <c r="BK109" s="113"/>
      <c r="BL109" s="113"/>
    </row>
    <row r="110" spans="63:64" x14ac:dyDescent="0.15">
      <c r="BK110" s="113"/>
      <c r="BL110" s="113"/>
    </row>
    <row r="111" spans="63:64" x14ac:dyDescent="0.15">
      <c r="BK111" s="113"/>
      <c r="BL111" s="113"/>
    </row>
    <row r="112" spans="63:64" x14ac:dyDescent="0.15">
      <c r="BK112" s="113"/>
      <c r="BL112" s="113"/>
    </row>
    <row r="113" spans="63:64" x14ac:dyDescent="0.15">
      <c r="BK113" s="113"/>
      <c r="BL113" s="113"/>
    </row>
    <row r="114" spans="63:64" x14ac:dyDescent="0.15">
      <c r="BK114" s="113"/>
      <c r="BL114" s="113"/>
    </row>
    <row r="115" spans="63:64" x14ac:dyDescent="0.15">
      <c r="BK115" s="113"/>
      <c r="BL115" s="113"/>
    </row>
    <row r="116" spans="63:64" x14ac:dyDescent="0.15">
      <c r="BK116" s="113"/>
      <c r="BL116" s="113"/>
    </row>
    <row r="117" spans="63:64" x14ac:dyDescent="0.15">
      <c r="BK117" s="113"/>
      <c r="BL117" s="113"/>
    </row>
    <row r="118" spans="63:64" x14ac:dyDescent="0.15">
      <c r="BK118" s="113"/>
      <c r="BL118" s="113"/>
    </row>
    <row r="119" spans="63:64" x14ac:dyDescent="0.15">
      <c r="BK119" s="113"/>
      <c r="BL119" s="113"/>
    </row>
    <row r="120" spans="63:64" x14ac:dyDescent="0.15">
      <c r="BK120" s="113"/>
      <c r="BL120" s="113"/>
    </row>
    <row r="121" spans="63:64" x14ac:dyDescent="0.15">
      <c r="BK121" s="113"/>
      <c r="BL121" s="113"/>
    </row>
  </sheetData>
  <sheetProtection algorithmName="SHA-512" hashValue="pik0ITj8z6QN5N047eCfg3MoxHUUb23zk2tLxzpyFoE+DXEijr3PPl5vj8a3RI+QLwJXw6bGOG6DmVpL5rCp+w==" saltValue="u5tch8Q5+jQ8mTlHqE3oSA==" spinCount="100000" sheet="1" selectLockedCells="1"/>
  <dataConsolidate link="1"/>
  <mergeCells count="1673">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3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CW99"/>
  <sheetViews>
    <sheetView showGridLines="0" view="pageBreakPreview" zoomScale="55" zoomScaleNormal="86" zoomScaleSheetLayoutView="55" zoomScalePageLayoutView="59" workbookViewId="0">
      <pane ySplit="7" topLeftCell="A23" activePane="bottomLeft" state="frozen"/>
      <selection activeCell="H74" sqref="H74:I74"/>
      <selection pane="bottomLeft" activeCell="AG23" sqref="AG23:AH25"/>
    </sheetView>
  </sheetViews>
  <sheetFormatPr defaultRowHeight="13.5" x14ac:dyDescent="0.1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1:101" ht="1.5" customHeight="1" thickBot="1" x14ac:dyDescent="0.4">
      <c r="B1" s="111"/>
      <c r="C1" s="112"/>
      <c r="D1" s="112"/>
      <c r="E1" s="111"/>
      <c r="F1" s="111"/>
      <c r="G1" s="111"/>
      <c r="H1" s="111"/>
      <c r="I1" s="111"/>
      <c r="J1" s="111"/>
      <c r="K1" s="111"/>
      <c r="L1" s="111"/>
      <c r="M1" s="111"/>
      <c r="N1" s="111"/>
      <c r="O1" s="111"/>
      <c r="S1" s="1093"/>
      <c r="T1" s="1094"/>
      <c r="U1" s="111"/>
      <c r="V1" s="111"/>
      <c r="W1" s="111"/>
      <c r="X1" s="111"/>
      <c r="AD1" s="111"/>
      <c r="AE1" s="111"/>
      <c r="AF1" s="112"/>
      <c r="AG1" s="113"/>
      <c r="AH1" s="113"/>
      <c r="AI1" s="113"/>
      <c r="AJ1" s="1079"/>
      <c r="AK1" s="1079"/>
      <c r="AL1" s="1080"/>
      <c r="AM1" s="1080"/>
      <c r="AN1" s="1077"/>
      <c r="AO1" s="1077"/>
      <c r="AP1" s="1077"/>
      <c r="AR1" s="1077"/>
      <c r="AS1" s="1077"/>
      <c r="AT1" s="1077"/>
      <c r="AU1" s="1077"/>
      <c r="AX1" s="48" t="s">
        <v>609</v>
      </c>
    </row>
    <row r="2" spans="1:101" ht="19.5" customHeight="1" thickBot="1" x14ac:dyDescent="0.4">
      <c r="B2" s="2750" t="s">
        <v>441</v>
      </c>
      <c r="C2" s="2751"/>
      <c r="D2" s="2751"/>
      <c r="E2" s="2551" t="str">
        <f>IF(AND(M2="○",O2="○",M3="○"),"ＯＫ","未完成")</f>
        <v>未完成</v>
      </c>
      <c r="F2" s="2552"/>
      <c r="G2" s="2552"/>
      <c r="H2" s="2552"/>
      <c r="I2" s="2553"/>
      <c r="J2" s="1168"/>
      <c r="K2" s="2528" t="s">
        <v>549</v>
      </c>
      <c r="L2" s="2529"/>
      <c r="M2" s="1203" t="str">
        <f>IF(AND(B6="○",AE5="○"),"○","×")</f>
        <v>×</v>
      </c>
      <c r="N2" s="1172" t="s">
        <v>442</v>
      </c>
      <c r="O2" s="1173" t="str">
        <f>IF(AND(AB12&lt;&gt;"",AE12&lt;&gt;"",AH12&lt;&gt;""),"○","×")</f>
        <v>×</v>
      </c>
      <c r="P2" s="1162" t="s">
        <v>443</v>
      </c>
      <c r="Q2" s="1162"/>
      <c r="R2" s="1162"/>
      <c r="S2" s="1162"/>
      <c r="T2" s="1162"/>
      <c r="U2" s="1162"/>
      <c r="V2" s="1162"/>
      <c r="W2" s="1162"/>
      <c r="X2" s="1162"/>
      <c r="Y2" s="1162"/>
      <c r="Z2" s="1162"/>
      <c r="AA2" s="1162"/>
      <c r="AB2" s="1162"/>
      <c r="AC2" s="1162"/>
      <c r="AD2" s="1162"/>
      <c r="AE2" s="1162"/>
      <c r="AF2" s="1162"/>
      <c r="AG2" s="1162"/>
      <c r="AH2" s="1162"/>
      <c r="AI2" s="1161"/>
      <c r="AJ2" s="1080"/>
      <c r="AK2" s="1080"/>
      <c r="AL2" s="1080"/>
      <c r="AM2" s="1077"/>
      <c r="AN2" s="1077"/>
      <c r="AO2" s="1077"/>
      <c r="AP2" s="1077"/>
      <c r="AZ2" s="125"/>
      <c r="BA2" s="125"/>
    </row>
    <row r="3" spans="1:101" ht="18.75" customHeight="1" thickBot="1" x14ac:dyDescent="0.2">
      <c r="B3" s="2752"/>
      <c r="C3" s="2753"/>
      <c r="D3" s="2753"/>
      <c r="E3" s="2554"/>
      <c r="F3" s="2555"/>
      <c r="G3" s="2555"/>
      <c r="H3" s="2555"/>
      <c r="I3" s="2556"/>
      <c r="J3" s="1168"/>
      <c r="K3" s="1169" t="s">
        <v>550</v>
      </c>
      <c r="L3" s="1170"/>
      <c r="M3" s="1204" t="str">
        <f>AO9</f>
        <v>×</v>
      </c>
      <c r="N3" s="2769" t="s">
        <v>446</v>
      </c>
      <c r="O3" s="2769"/>
      <c r="P3" s="2769"/>
      <c r="Q3" s="2769"/>
      <c r="R3" s="2769"/>
      <c r="S3" s="2769"/>
      <c r="T3" s="2769"/>
      <c r="U3" s="2769"/>
      <c r="V3" s="2769"/>
      <c r="W3" s="2769"/>
      <c r="X3" s="2769"/>
      <c r="Y3" s="2769"/>
      <c r="Z3" s="2769"/>
      <c r="AA3" s="2769"/>
      <c r="AB3" s="2769"/>
      <c r="AC3" s="2769"/>
      <c r="AD3" s="2769"/>
      <c r="AE3" s="2769"/>
      <c r="AF3" s="2769"/>
      <c r="AG3" s="2769"/>
      <c r="AH3" s="2769"/>
      <c r="AI3" s="2769"/>
      <c r="AJ3" s="1092"/>
      <c r="AK3" s="1092"/>
      <c r="AL3" s="1092"/>
      <c r="AM3" s="1092"/>
      <c r="AN3" s="1092"/>
      <c r="AO3" s="1092"/>
      <c r="AP3" s="1092"/>
      <c r="AQ3" s="1092"/>
      <c r="AR3" s="1092"/>
      <c r="AS3" s="1092"/>
      <c r="AT3" s="1092"/>
      <c r="AU3" s="1078"/>
      <c r="AV3" s="561"/>
      <c r="AW3" s="561"/>
      <c r="AX3" s="561"/>
      <c r="AY3" s="561"/>
      <c r="AZ3" s="561"/>
      <c r="BA3" s="561"/>
      <c r="BB3" s="561"/>
      <c r="BC3" s="561"/>
    </row>
    <row r="4" spans="1:101" s="208" customFormat="1" ht="41.25" customHeight="1" x14ac:dyDescent="0.15">
      <c r="B4" s="2708" t="s">
        <v>559</v>
      </c>
      <c r="C4" s="2708"/>
      <c r="D4" s="2708"/>
      <c r="E4" s="2708"/>
      <c r="F4" s="2708"/>
      <c r="G4" s="2708"/>
      <c r="H4" s="2708"/>
      <c r="I4" s="2708"/>
      <c r="J4" s="2708"/>
      <c r="K4" s="2708"/>
      <c r="L4" s="2708"/>
      <c r="M4" s="2708"/>
      <c r="N4" s="2708"/>
      <c r="O4" s="2708"/>
      <c r="P4" s="2708"/>
      <c r="Q4" s="2708"/>
      <c r="R4" s="2708"/>
      <c r="S4" s="2708"/>
      <c r="T4" s="2708"/>
      <c r="U4" s="2708"/>
      <c r="V4" s="2708"/>
      <c r="W4" s="2708"/>
      <c r="X4" s="2708"/>
      <c r="Y4" s="2708"/>
      <c r="Z4" s="2708"/>
      <c r="AA4" s="2708"/>
      <c r="AB4" s="2708"/>
      <c r="AC4" s="2708"/>
      <c r="AD4" s="2708"/>
      <c r="AE4" s="1163"/>
      <c r="AF4" s="1163"/>
      <c r="AG4" s="1163"/>
      <c r="AH4" s="1163"/>
      <c r="AI4" s="1163"/>
      <c r="AJ4" s="1163"/>
      <c r="AK4" s="1163"/>
      <c r="AL4" s="1163"/>
      <c r="AM4" s="1092"/>
      <c r="AN4" s="1092"/>
      <c r="AO4" s="1092"/>
      <c r="AP4" s="1092"/>
      <c r="AQ4" s="1092"/>
      <c r="AR4" s="1092"/>
      <c r="AS4" s="1092"/>
      <c r="AT4" s="1092"/>
      <c r="AU4" s="1078"/>
      <c r="AV4" s="561"/>
      <c r="AW4" s="561"/>
      <c r="AX4" s="561"/>
      <c r="AY4" s="561"/>
      <c r="AZ4" s="561"/>
      <c r="BA4" s="561"/>
      <c r="BB4" s="561"/>
      <c r="BC4" s="561"/>
      <c r="BD4" s="561"/>
    </row>
    <row r="5" spans="1:101" s="22" customFormat="1" ht="30" customHeight="1" x14ac:dyDescent="0.15">
      <c r="B5" s="2709" t="s">
        <v>445</v>
      </c>
      <c r="C5" s="2709"/>
      <c r="D5" s="2709"/>
      <c r="E5" s="2709"/>
      <c r="F5" s="2709"/>
      <c r="G5" s="2709"/>
      <c r="H5" s="2709"/>
      <c r="I5" s="2709"/>
      <c r="J5" s="2709"/>
      <c r="K5" s="2709"/>
      <c r="L5" s="2709"/>
      <c r="M5" s="2709"/>
      <c r="N5" s="2709"/>
      <c r="O5" s="2709"/>
      <c r="P5" s="2709"/>
      <c r="Q5" s="2709"/>
      <c r="R5" s="2709"/>
      <c r="S5" s="2709"/>
      <c r="T5" s="2709"/>
      <c r="U5" s="2709"/>
      <c r="V5" s="2709"/>
      <c r="W5" s="2709"/>
      <c r="X5" s="2709"/>
      <c r="Y5" s="2709"/>
      <c r="Z5" s="2709"/>
      <c r="AA5" s="2709"/>
      <c r="AB5" s="2709"/>
      <c r="AC5" s="2709"/>
      <c r="AD5" s="2709"/>
      <c r="AE5" s="2711" t="str">
        <f>IF(OR(AH7="×",AJ7="×",AL7="×"),"×","○")</f>
        <v>×</v>
      </c>
      <c r="AF5" s="2710" t="s">
        <v>640</v>
      </c>
      <c r="AG5" s="2710"/>
      <c r="AH5" s="2784" t="s">
        <v>639</v>
      </c>
      <c r="AI5" s="2784"/>
      <c r="AJ5" s="2784" t="s">
        <v>641</v>
      </c>
      <c r="AK5" s="2784"/>
      <c r="AL5" s="2784" t="s">
        <v>642</v>
      </c>
      <c r="AM5" s="2784"/>
      <c r="AN5" s="1167"/>
      <c r="AO5" s="1164"/>
      <c r="AP5" s="1164"/>
      <c r="AQ5" s="1164"/>
      <c r="AR5" s="1164"/>
      <c r="AS5" s="1164"/>
      <c r="AT5" s="1164"/>
      <c r="AU5" s="1164"/>
      <c r="AV5" s="1164"/>
      <c r="AW5" s="1091"/>
      <c r="AX5" s="1091"/>
      <c r="AY5" s="1091"/>
      <c r="AZ5" s="1091"/>
      <c r="BA5" s="1091"/>
      <c r="BB5" s="1091"/>
      <c r="BC5" s="1091"/>
      <c r="BD5" s="1091"/>
      <c r="BE5" s="1091"/>
      <c r="BF5" s="1091"/>
      <c r="BG5" s="1091"/>
      <c r="BH5" s="1091"/>
      <c r="BI5" s="1091"/>
      <c r="BJ5" s="1091"/>
      <c r="BK5" s="1091"/>
      <c r="BL5" s="1091"/>
      <c r="BM5" s="1091"/>
      <c r="BN5" s="1091"/>
      <c r="BO5" s="1091"/>
      <c r="BP5" s="1091"/>
      <c r="BQ5" s="1091"/>
      <c r="BR5" s="1091"/>
      <c r="BS5" s="1091"/>
      <c r="BT5" s="1091"/>
      <c r="BU5" s="1091"/>
      <c r="BV5" s="1091"/>
      <c r="BW5" s="1091"/>
      <c r="BX5" s="1091"/>
      <c r="BY5" s="1091"/>
      <c r="BZ5" s="1091"/>
      <c r="CA5" s="1091"/>
      <c r="CB5" s="1091"/>
      <c r="CC5" s="1091"/>
      <c r="CD5" s="1091"/>
      <c r="CE5" s="1091"/>
      <c r="CF5" s="1091"/>
      <c r="CG5" s="1091"/>
      <c r="CH5" s="1091"/>
      <c r="CI5" s="1091"/>
      <c r="CJ5" s="1091"/>
      <c r="CK5" s="1091"/>
      <c r="CL5" s="1091"/>
      <c r="CM5" s="1091"/>
      <c r="CN5" s="1091"/>
      <c r="CO5" s="1091"/>
      <c r="CP5" s="1091"/>
      <c r="CQ5" s="1091"/>
      <c r="CR5" s="1091"/>
      <c r="CS5" s="1091"/>
      <c r="CT5" s="1091"/>
      <c r="CU5" s="1091"/>
      <c r="CV5" s="1091"/>
      <c r="CW5" s="1091"/>
    </row>
    <row r="6" spans="1:101" s="22" customFormat="1" ht="33.75" customHeight="1" x14ac:dyDescent="0.15">
      <c r="B6" s="524" t="str">
        <f>IF(T6="","×","○")</f>
        <v>×</v>
      </c>
      <c r="C6" s="2706" t="s">
        <v>563</v>
      </c>
      <c r="D6" s="2707"/>
      <c r="E6" s="2707"/>
      <c r="F6" s="2707"/>
      <c r="G6" s="2707"/>
      <c r="H6" s="2707"/>
      <c r="I6" s="2707"/>
      <c r="J6" s="2707"/>
      <c r="K6" s="2707"/>
      <c r="L6" s="2707"/>
      <c r="M6" s="2707"/>
      <c r="N6" s="2707"/>
      <c r="O6" s="2707"/>
      <c r="P6" s="2707"/>
      <c r="Q6" s="2707"/>
      <c r="R6" s="2707"/>
      <c r="S6" s="2707"/>
      <c r="T6" s="1217"/>
      <c r="U6" s="1166"/>
      <c r="V6" s="1166"/>
      <c r="W6" s="1166"/>
      <c r="X6" s="1166"/>
      <c r="Y6" s="1166"/>
      <c r="Z6" s="1166"/>
      <c r="AA6" s="1166"/>
      <c r="AB6" s="1166"/>
      <c r="AC6" s="1166"/>
      <c r="AD6" s="1166"/>
      <c r="AE6" s="2711"/>
      <c r="AF6" s="2710"/>
      <c r="AG6" s="2710"/>
      <c r="AH6" s="2712"/>
      <c r="AI6" s="2712"/>
      <c r="AJ6" s="2786"/>
      <c r="AK6" s="2786"/>
      <c r="AL6" s="2785"/>
      <c r="AM6" s="2785"/>
      <c r="AN6" s="1167"/>
      <c r="AO6" s="1165"/>
      <c r="AP6" s="1165"/>
      <c r="AQ6" s="1165"/>
      <c r="AR6" s="1165"/>
      <c r="AS6" s="1165"/>
      <c r="AT6" s="1165"/>
      <c r="AU6" s="1165"/>
      <c r="AV6" s="1165"/>
      <c r="AW6" s="561"/>
      <c r="AX6" s="1131"/>
      <c r="AY6" s="561"/>
      <c r="AZ6" s="561"/>
      <c r="BA6" s="561"/>
      <c r="BB6" s="561"/>
      <c r="BC6" s="561"/>
      <c r="BD6" s="561"/>
    </row>
    <row r="7" spans="1:101" s="322" customFormat="1" ht="40.5" customHeight="1" x14ac:dyDescent="0.15">
      <c r="T7" s="1317"/>
      <c r="U7" s="1317"/>
      <c r="V7" s="1317"/>
      <c r="W7" s="1317"/>
      <c r="X7" s="1317"/>
      <c r="Y7" s="1317"/>
      <c r="Z7" s="1317"/>
      <c r="AA7" s="1317"/>
      <c r="AB7" s="1317"/>
      <c r="AC7" s="1317"/>
      <c r="AD7" s="1317"/>
      <c r="AE7" s="1317"/>
      <c r="AF7" s="1317"/>
      <c r="AG7" s="1318"/>
      <c r="AH7" s="1319" t="str">
        <f>IF(AH6="","×","○")</f>
        <v>×</v>
      </c>
      <c r="AI7" s="1318"/>
      <c r="AJ7" s="1319" t="str">
        <f>IF(OR(AND(AJ5=" ",AJ6=""),AND(AJ5&lt;&gt;"",AJ6&lt;&gt;"")),"○","×")</f>
        <v>×</v>
      </c>
      <c r="AK7" s="981"/>
      <c r="AL7" s="1319" t="str">
        <f>IF(OR(AND(AL5=" ",AL6=""),AND(AL5&lt;&gt;"",AL6&lt;&gt;"")),"○","×")</f>
        <v>×</v>
      </c>
      <c r="AM7" s="981"/>
      <c r="AN7" s="981"/>
      <c r="AO7" s="982"/>
      <c r="AP7" s="982"/>
      <c r="AQ7" s="982"/>
      <c r="AR7" s="982"/>
    </row>
    <row r="8" spans="1:101" ht="41.25" customHeight="1" x14ac:dyDescent="0.25">
      <c r="A8" s="121"/>
      <c r="B8" s="2550" t="s">
        <v>689</v>
      </c>
      <c r="C8" s="2550"/>
      <c r="D8" s="2550"/>
      <c r="E8" s="2550"/>
      <c r="F8" s="2550"/>
      <c r="G8" s="2550"/>
      <c r="H8" s="2550"/>
      <c r="I8" s="2550"/>
      <c r="J8" s="2550"/>
      <c r="K8" s="2550"/>
      <c r="L8" s="2550"/>
      <c r="M8" s="2550"/>
      <c r="N8" s="2550"/>
      <c r="O8" s="2550"/>
      <c r="P8" s="2550"/>
      <c r="Q8" s="2550"/>
      <c r="R8" s="2550"/>
      <c r="S8" s="2550"/>
      <c r="T8" s="2550"/>
      <c r="U8" s="2550"/>
      <c r="V8" s="2550"/>
      <c r="W8" s="2550"/>
      <c r="X8" s="2550"/>
      <c r="Y8" s="2550"/>
      <c r="Z8" s="2550"/>
      <c r="AA8" s="2550"/>
      <c r="AB8" s="2549" t="s">
        <v>520</v>
      </c>
      <c r="AC8" s="2549"/>
      <c r="AD8" s="2549"/>
      <c r="AE8" s="2549"/>
      <c r="AF8" s="2549"/>
      <c r="AG8" s="2549"/>
      <c r="AH8" s="2549"/>
      <c r="AI8" s="2549"/>
      <c r="AJ8" s="2549"/>
      <c r="AK8" s="2549"/>
      <c r="AL8" s="1178" t="s">
        <v>190</v>
      </c>
      <c r="AM8" s="1179">
        <v>1</v>
      </c>
      <c r="AN8" s="1180" t="s">
        <v>191</v>
      </c>
      <c r="AO8" s="905"/>
      <c r="AT8" s="48" t="s">
        <v>657</v>
      </c>
      <c r="AU8" s="905"/>
      <c r="AV8" s="541"/>
      <c r="AY8" s="541"/>
    </row>
    <row r="9" spans="1:101" ht="24.75" customHeight="1" x14ac:dyDescent="0.2">
      <c r="B9" s="2716" t="s">
        <v>65</v>
      </c>
      <c r="C9" s="2717"/>
      <c r="D9" s="2722">
        <f>入力1!F13</f>
        <v>0</v>
      </c>
      <c r="E9" s="2510"/>
      <c r="F9" s="2510"/>
      <c r="G9" s="2510"/>
      <c r="H9" s="2510"/>
      <c r="I9" s="2522" t="str">
        <f>IF(入力1!E11="グループ","","ファミリー")</f>
        <v>ファミリー</v>
      </c>
      <c r="J9" s="2737"/>
      <c r="K9" s="2726" t="str">
        <f>入力1!L18&amp;入力1!N18&amp;" 　"</f>
        <v>県 　</v>
      </c>
      <c r="L9" s="2523"/>
      <c r="M9" s="2727"/>
      <c r="N9" s="2742"/>
      <c r="O9" s="2524"/>
      <c r="P9" s="2745" t="s">
        <v>438</v>
      </c>
      <c r="Q9" s="2722" t="s">
        <v>187</v>
      </c>
      <c r="R9" s="2510"/>
      <c r="S9" s="2525">
        <f>入力1!G24</f>
        <v>0</v>
      </c>
      <c r="T9" s="2509" t="s">
        <v>3</v>
      </c>
      <c r="U9" s="2525">
        <f>入力1!J24</f>
        <v>0</v>
      </c>
      <c r="V9" s="2509" t="s">
        <v>0</v>
      </c>
      <c r="W9" s="2525">
        <f>入力1!L24</f>
        <v>0</v>
      </c>
      <c r="X9" s="2509" t="s">
        <v>644</v>
      </c>
      <c r="Y9" s="2509" t="str">
        <f>入力1!O24</f>
        <v/>
      </c>
      <c r="Z9" s="2509" t="s">
        <v>645</v>
      </c>
      <c r="AA9" s="2526" t="str">
        <f>入力1!T24</f>
        <v/>
      </c>
      <c r="AB9" s="2509" t="s">
        <v>0</v>
      </c>
      <c r="AC9" s="2527" t="str">
        <f>入力1!V24</f>
        <v/>
      </c>
      <c r="AD9" s="2509" t="s">
        <v>644</v>
      </c>
      <c r="AE9" s="2509" t="str">
        <f>入力1!Y24</f>
        <v/>
      </c>
      <c r="AF9" s="2509" t="s">
        <v>646</v>
      </c>
      <c r="AG9" s="2509">
        <f>入力1!F23</f>
        <v>0</v>
      </c>
      <c r="AH9" s="2509" t="s">
        <v>472</v>
      </c>
      <c r="AI9" s="2509" t="str">
        <f>入力1!H23</f>
        <v/>
      </c>
      <c r="AJ9" s="2748" t="s">
        <v>529</v>
      </c>
      <c r="AK9" s="2510" t="s">
        <v>189</v>
      </c>
      <c r="AL9" s="2510"/>
      <c r="AM9" s="1322">
        <f>入力1!F33</f>
        <v>0</v>
      </c>
      <c r="AN9" s="1323" t="s">
        <v>188</v>
      </c>
      <c r="AO9" s="1087" t="str">
        <f>IF(OR(O9="",AP9="×"),"×","○")</f>
        <v>×</v>
      </c>
      <c r="AP9" s="572" t="str">
        <f>IF(OR(AQ9="×",AR9="×",AS9="×",AU9="×"),"×","○")</f>
        <v>○</v>
      </c>
      <c r="AQ9" s="572"/>
      <c r="AR9" s="572"/>
      <c r="AS9" s="572"/>
      <c r="AT9" s="572" t="s">
        <v>656</v>
      </c>
      <c r="AU9" s="572"/>
    </row>
    <row r="10" spans="1:101" ht="22.5" customHeight="1" x14ac:dyDescent="0.15">
      <c r="B10" s="2718"/>
      <c r="C10" s="2719"/>
      <c r="D10" s="2724"/>
      <c r="E10" s="2542"/>
      <c r="F10" s="2542"/>
      <c r="G10" s="2542"/>
      <c r="H10" s="2542"/>
      <c r="I10" s="2738" t="str">
        <f>IF(入力1!E11="ファミリー","","グループ")</f>
        <v>グループ</v>
      </c>
      <c r="J10" s="2739"/>
      <c r="K10" s="2728"/>
      <c r="L10" s="2729"/>
      <c r="M10" s="2730"/>
      <c r="N10" s="2743"/>
      <c r="O10" s="2744"/>
      <c r="P10" s="2746"/>
      <c r="Q10" s="2724"/>
      <c r="R10" s="2542"/>
      <c r="S10" s="2747"/>
      <c r="T10" s="2533"/>
      <c r="U10" s="2747"/>
      <c r="V10" s="2533"/>
      <c r="W10" s="2747"/>
      <c r="X10" s="2533"/>
      <c r="Y10" s="2533"/>
      <c r="Z10" s="2533"/>
      <c r="AA10" s="2534"/>
      <c r="AB10" s="2533"/>
      <c r="AC10" s="2535"/>
      <c r="AD10" s="2533"/>
      <c r="AE10" s="2533"/>
      <c r="AF10" s="2533"/>
      <c r="AG10" s="2533"/>
      <c r="AH10" s="2533"/>
      <c r="AI10" s="2533"/>
      <c r="AJ10" s="2749"/>
      <c r="AK10" s="2542" t="s">
        <v>538</v>
      </c>
      <c r="AL10" s="2542"/>
      <c r="AM10" s="1176">
        <f>入力1!M33</f>
        <v>0</v>
      </c>
      <c r="AN10" s="1177" t="s">
        <v>532</v>
      </c>
      <c r="AO10" s="113"/>
      <c r="AP10" s="113"/>
      <c r="AT10" s="48" t="s">
        <v>606</v>
      </c>
    </row>
    <row r="11" spans="1:101" ht="19.5" customHeight="1" x14ac:dyDescent="0.15">
      <c r="B11" s="2714" t="s">
        <v>186</v>
      </c>
      <c r="C11" s="2715"/>
      <c r="D11" s="2740" t="s">
        <v>185</v>
      </c>
      <c r="E11" s="2783"/>
      <c r="F11" s="2740" t="str">
        <f>入力1!Q15</f>
        <v/>
      </c>
      <c r="G11" s="2741"/>
      <c r="H11" s="2741"/>
      <c r="I11" s="2741"/>
      <c r="J11" s="2741"/>
      <c r="K11" s="2741"/>
      <c r="L11" s="2741"/>
      <c r="M11" s="2741"/>
      <c r="N11" s="2741"/>
      <c r="O11" s="2741"/>
      <c r="P11" s="2741"/>
      <c r="Q11" s="2741"/>
      <c r="R11" s="2536" t="s">
        <v>184</v>
      </c>
      <c r="S11" s="2537"/>
      <c r="T11" s="2537"/>
      <c r="U11" s="2537"/>
      <c r="V11" s="2537"/>
      <c r="W11" s="2537"/>
      <c r="X11" s="2537"/>
      <c r="Y11" s="2537"/>
      <c r="Z11" s="2537"/>
      <c r="AA11" s="2538"/>
      <c r="AB11" s="2536" t="s">
        <v>638</v>
      </c>
      <c r="AC11" s="2537"/>
      <c r="AD11" s="2537"/>
      <c r="AE11" s="2537"/>
      <c r="AF11" s="2537"/>
      <c r="AG11" s="2537"/>
      <c r="AH11" s="2514"/>
      <c r="AI11" s="2537"/>
      <c r="AJ11" s="2514"/>
      <c r="AK11" s="2538"/>
      <c r="AL11" s="2731" t="s">
        <v>647</v>
      </c>
      <c r="AM11" s="2732"/>
      <c r="AN11" s="2733"/>
      <c r="AO11" s="1009"/>
      <c r="AP11" s="1009"/>
      <c r="AQ11" s="1009"/>
      <c r="AR11" s="1009"/>
      <c r="AS11" s="1009"/>
      <c r="AT11" s="1009"/>
      <c r="AU11" s="564"/>
    </row>
    <row r="12" spans="1:101" ht="5.25" customHeight="1" x14ac:dyDescent="0.15">
      <c r="B12" s="2716"/>
      <c r="C12" s="2717"/>
      <c r="D12" s="2720" t="s">
        <v>183</v>
      </c>
      <c r="E12" s="2721"/>
      <c r="F12" s="2720">
        <f>入力1!Q16</f>
        <v>0</v>
      </c>
      <c r="G12" s="2782"/>
      <c r="H12" s="2782"/>
      <c r="I12" s="2782"/>
      <c r="J12" s="2782"/>
      <c r="K12" s="2782"/>
      <c r="L12" s="2782"/>
      <c r="M12" s="2782"/>
      <c r="N12" s="2782"/>
      <c r="O12" s="2782"/>
      <c r="P12" s="2782"/>
      <c r="Q12" s="2782"/>
      <c r="R12" s="2539">
        <f>入力1!Q21</f>
        <v>0</v>
      </c>
      <c r="S12" s="2516"/>
      <c r="T12" s="2516"/>
      <c r="U12" s="2510" t="s">
        <v>15</v>
      </c>
      <c r="V12" s="2517">
        <f>入力1!T21</f>
        <v>0</v>
      </c>
      <c r="W12" s="2517"/>
      <c r="X12" s="2510" t="s">
        <v>16</v>
      </c>
      <c r="Y12" s="2517">
        <f>入力1!W21</f>
        <v>0</v>
      </c>
      <c r="Z12" s="2517"/>
      <c r="AA12" s="2544"/>
      <c r="AB12" s="2546"/>
      <c r="AC12" s="2518"/>
      <c r="AD12" s="2518"/>
      <c r="AE12" s="2510" t="s">
        <v>210</v>
      </c>
      <c r="AF12" s="2519"/>
      <c r="AG12" s="2519"/>
      <c r="AH12" s="2510" t="s">
        <v>57</v>
      </c>
      <c r="AI12" s="2519"/>
      <c r="AJ12" s="2519"/>
      <c r="AK12" s="2530"/>
      <c r="AL12" s="2734"/>
      <c r="AM12" s="2735"/>
      <c r="AN12" s="2736"/>
      <c r="AO12" s="1009"/>
      <c r="AP12" s="1009"/>
      <c r="AQ12" s="1009"/>
      <c r="AR12" s="1009"/>
      <c r="AS12" s="1009"/>
      <c r="AT12" s="1009"/>
      <c r="AU12" s="558"/>
    </row>
    <row r="13" spans="1:101" ht="21" customHeight="1" x14ac:dyDescent="0.15">
      <c r="B13" s="2716"/>
      <c r="C13" s="2717"/>
      <c r="D13" s="2722"/>
      <c r="E13" s="2723"/>
      <c r="F13" s="2722"/>
      <c r="G13" s="2510"/>
      <c r="H13" s="2510"/>
      <c r="I13" s="2510"/>
      <c r="J13" s="2510"/>
      <c r="K13" s="2510"/>
      <c r="L13" s="2510"/>
      <c r="M13" s="2510"/>
      <c r="N13" s="2510"/>
      <c r="O13" s="2510"/>
      <c r="P13" s="2510"/>
      <c r="Q13" s="2510"/>
      <c r="R13" s="2539"/>
      <c r="S13" s="2516"/>
      <c r="T13" s="2516"/>
      <c r="U13" s="2510"/>
      <c r="V13" s="2517"/>
      <c r="W13" s="2517"/>
      <c r="X13" s="2510"/>
      <c r="Y13" s="2517"/>
      <c r="Z13" s="2517"/>
      <c r="AA13" s="2544"/>
      <c r="AB13" s="2546"/>
      <c r="AC13" s="2518"/>
      <c r="AD13" s="2518"/>
      <c r="AE13" s="2510"/>
      <c r="AF13" s="2519"/>
      <c r="AG13" s="2519"/>
      <c r="AH13" s="2510"/>
      <c r="AI13" s="2519"/>
      <c r="AJ13" s="2519"/>
      <c r="AK13" s="2530"/>
      <c r="AL13" s="1181" t="str">
        <f>IF(入力1!F26="生活館","○","")</f>
        <v/>
      </c>
      <c r="AM13" s="2765" t="s">
        <v>536</v>
      </c>
      <c r="AN13" s="2766"/>
      <c r="AO13" s="1011" t="str">
        <f>IF(AND(入力1!F23&lt;&gt;0,入力1!$F$26="ロッジ"),"○","")</f>
        <v/>
      </c>
      <c r="AQ13" s="2754"/>
      <c r="AR13" s="2754"/>
      <c r="AS13" s="2754"/>
      <c r="AT13" s="2754"/>
      <c r="AU13" s="2754"/>
      <c r="AV13" s="2754"/>
    </row>
    <row r="14" spans="1:101" ht="21" customHeight="1" x14ac:dyDescent="0.15">
      <c r="B14" s="2718"/>
      <c r="C14" s="2719"/>
      <c r="D14" s="2724"/>
      <c r="E14" s="2725"/>
      <c r="F14" s="2724"/>
      <c r="G14" s="2542"/>
      <c r="H14" s="2542"/>
      <c r="I14" s="2542"/>
      <c r="J14" s="2542"/>
      <c r="K14" s="2542"/>
      <c r="L14" s="2542"/>
      <c r="M14" s="2542"/>
      <c r="N14" s="2542"/>
      <c r="O14" s="2542"/>
      <c r="P14" s="2542"/>
      <c r="Q14" s="2542"/>
      <c r="R14" s="2540"/>
      <c r="S14" s="2541"/>
      <c r="T14" s="2541"/>
      <c r="U14" s="2542"/>
      <c r="V14" s="2543"/>
      <c r="W14" s="2543"/>
      <c r="X14" s="2542"/>
      <c r="Y14" s="2543"/>
      <c r="Z14" s="2543"/>
      <c r="AA14" s="2545"/>
      <c r="AB14" s="2547"/>
      <c r="AC14" s="2548"/>
      <c r="AD14" s="2548"/>
      <c r="AE14" s="2542"/>
      <c r="AF14" s="2531"/>
      <c r="AG14" s="2531"/>
      <c r="AH14" s="2542"/>
      <c r="AI14" s="2531"/>
      <c r="AJ14" s="2531"/>
      <c r="AK14" s="2532"/>
      <c r="AL14" s="1182" t="str">
        <f>IF(入力1!F26="ロッジ","○","")</f>
        <v/>
      </c>
      <c r="AM14" s="2765" t="s">
        <v>537</v>
      </c>
      <c r="AN14" s="2766"/>
      <c r="AO14" s="1008"/>
      <c r="AP14" s="1010"/>
      <c r="AQ14" s="1089"/>
      <c r="AR14" s="1089"/>
      <c r="AS14" s="1089"/>
      <c r="AT14" s="1089"/>
      <c r="AU14" s="1088"/>
      <c r="AV14" s="2756"/>
      <c r="AW14" s="2756"/>
      <c r="AX14" s="1130"/>
    </row>
    <row r="15" spans="1:101" ht="21" customHeight="1" x14ac:dyDescent="0.15">
      <c r="B15" s="2684"/>
      <c r="C15" s="2684"/>
      <c r="D15" s="2684"/>
      <c r="E15" s="1193"/>
      <c r="F15" s="1194"/>
      <c r="G15" s="1194"/>
      <c r="H15" s="1194"/>
      <c r="I15" s="1195"/>
      <c r="J15" s="1195"/>
      <c r="K15" s="1195"/>
      <c r="L15" s="1195"/>
      <c r="M15" s="1195"/>
      <c r="N15" s="1195"/>
      <c r="O15" s="1195"/>
      <c r="P15" s="1195"/>
      <c r="Q15" s="1195"/>
      <c r="R15" s="1195"/>
      <c r="S15" s="1195"/>
      <c r="T15" s="1195"/>
      <c r="U15" s="1195"/>
      <c r="V15" s="1196"/>
      <c r="W15" s="1196"/>
      <c r="X15" s="1196"/>
      <c r="Y15" s="1194"/>
      <c r="Z15" s="1194"/>
      <c r="AA15" s="1194"/>
      <c r="AB15" s="1194"/>
      <c r="AC15" s="1194"/>
      <c r="AD15" s="1194"/>
      <c r="AE15" s="1194"/>
      <c r="AF15" s="1194"/>
      <c r="AG15" s="1194"/>
      <c r="AH15" s="1194"/>
      <c r="AI15" s="1194" t="s">
        <v>690</v>
      </c>
      <c r="AJ15" s="1195"/>
      <c r="AK15" s="1195"/>
      <c r="AL15" s="1195"/>
      <c r="AM15" s="1195"/>
      <c r="AN15" s="1197"/>
      <c r="AO15" s="557"/>
      <c r="AQ15" s="1126"/>
      <c r="AR15" s="1090"/>
      <c r="AS15" s="1090"/>
      <c r="AT15" s="1090"/>
      <c r="AU15" s="1090"/>
    </row>
    <row r="16" spans="1:101" ht="21" customHeight="1" x14ac:dyDescent="0.15">
      <c r="B16" s="2713"/>
      <c r="C16" s="2713"/>
      <c r="D16" s="2713"/>
      <c r="E16" s="2678">
        <v>6</v>
      </c>
      <c r="F16" s="2602"/>
      <c r="G16" s="2602">
        <v>7</v>
      </c>
      <c r="H16" s="2602"/>
      <c r="I16" s="2602">
        <v>8</v>
      </c>
      <c r="J16" s="2602"/>
      <c r="K16" s="2602">
        <v>9</v>
      </c>
      <c r="L16" s="2602"/>
      <c r="M16" s="2602">
        <v>10</v>
      </c>
      <c r="N16" s="2602"/>
      <c r="O16" s="2602">
        <v>11</v>
      </c>
      <c r="P16" s="2602"/>
      <c r="Q16" s="2602">
        <v>12</v>
      </c>
      <c r="R16" s="2602"/>
      <c r="S16" s="2602">
        <v>13</v>
      </c>
      <c r="T16" s="2602"/>
      <c r="U16" s="2602">
        <v>14</v>
      </c>
      <c r="V16" s="2602"/>
      <c r="W16" s="2602">
        <v>15</v>
      </c>
      <c r="X16" s="2602"/>
      <c r="Y16" s="2602">
        <v>16</v>
      </c>
      <c r="Z16" s="2602"/>
      <c r="AA16" s="2602">
        <v>17</v>
      </c>
      <c r="AB16" s="2602"/>
      <c r="AC16" s="2602">
        <v>18</v>
      </c>
      <c r="AD16" s="2602"/>
      <c r="AE16" s="2602">
        <v>19</v>
      </c>
      <c r="AF16" s="2602"/>
      <c r="AG16" s="2602">
        <v>20</v>
      </c>
      <c r="AH16" s="2602"/>
      <c r="AI16" s="2602">
        <v>21</v>
      </c>
      <c r="AJ16" s="2602"/>
      <c r="AK16" s="1198"/>
      <c r="AL16" s="2663" t="s">
        <v>181</v>
      </c>
      <c r="AM16" s="2664"/>
      <c r="AN16" s="2665"/>
      <c r="AQ16" s="1126"/>
      <c r="AR16" s="1090"/>
      <c r="AS16" s="1090"/>
      <c r="AT16" s="1090"/>
      <c r="AU16" s="1090"/>
    </row>
    <row r="17" spans="2:47" ht="12" customHeight="1" x14ac:dyDescent="0.15">
      <c r="B17" s="2713"/>
      <c r="C17" s="2713"/>
      <c r="D17" s="2713"/>
      <c r="E17" s="1199"/>
      <c r="F17" s="1200"/>
      <c r="G17" s="1199"/>
      <c r="H17" s="1200"/>
      <c r="I17" s="1199"/>
      <c r="J17" s="1200"/>
      <c r="K17" s="1199"/>
      <c r="L17" s="1200"/>
      <c r="M17" s="1199"/>
      <c r="N17" s="1200"/>
      <c r="O17" s="1200"/>
      <c r="P17" s="1201"/>
      <c r="Q17" s="1200"/>
      <c r="R17" s="1201"/>
      <c r="S17" s="1199"/>
      <c r="T17" s="1201"/>
      <c r="U17" s="1199"/>
      <c r="V17" s="1200"/>
      <c r="W17" s="1200"/>
      <c r="X17" s="1201"/>
      <c r="Y17" s="1199"/>
      <c r="Z17" s="1200"/>
      <c r="AA17" s="1200"/>
      <c r="AB17" s="1201"/>
      <c r="AC17" s="1200"/>
      <c r="AD17" s="1201"/>
      <c r="AE17" s="1199"/>
      <c r="AF17" s="1201"/>
      <c r="AG17" s="1200"/>
      <c r="AH17" s="1201"/>
      <c r="AI17" s="1199"/>
      <c r="AJ17" s="1200"/>
      <c r="AK17" s="1200"/>
      <c r="AL17" s="2666"/>
      <c r="AM17" s="2667"/>
      <c r="AN17" s="2668"/>
      <c r="AO17" s="575"/>
      <c r="AQ17" s="2755"/>
      <c r="AR17" s="1090"/>
      <c r="AS17" s="1090"/>
      <c r="AT17" s="1090"/>
      <c r="AU17" s="1090"/>
    </row>
    <row r="18" spans="2:47" ht="25.5" customHeight="1" thickBot="1" x14ac:dyDescent="0.2">
      <c r="B18" s="2675" t="s">
        <v>535</v>
      </c>
      <c r="C18" s="2650" t="s">
        <v>526</v>
      </c>
      <c r="D18" s="2651"/>
      <c r="E18" s="1018"/>
      <c r="F18" s="1019"/>
      <c r="G18" s="1019"/>
      <c r="H18" s="1019"/>
      <c r="I18" s="1019"/>
      <c r="J18" s="1020"/>
      <c r="K18" s="1020"/>
      <c r="L18" s="2702" t="s">
        <v>621</v>
      </c>
      <c r="M18" s="2703"/>
      <c r="N18" s="2638"/>
      <c r="O18" s="2617"/>
      <c r="P18" s="2617"/>
      <c r="Q18" s="2639"/>
      <c r="R18" s="2572" t="s">
        <v>566</v>
      </c>
      <c r="S18" s="2573"/>
      <c r="T18" s="2635"/>
      <c r="U18" s="2635"/>
      <c r="V18" s="2638"/>
      <c r="W18" s="2617"/>
      <c r="X18" s="2617"/>
      <c r="Y18" s="2617"/>
      <c r="Z18" s="2639"/>
      <c r="AA18" s="2589"/>
      <c r="AB18" s="2589"/>
      <c r="AC18" s="2572" t="s">
        <v>524</v>
      </c>
      <c r="AD18" s="2573"/>
      <c r="AE18" s="2635"/>
      <c r="AF18" s="2635"/>
      <c r="AG18" s="2568"/>
      <c r="AH18" s="2569"/>
      <c r="AI18" s="2645" t="s">
        <v>619</v>
      </c>
      <c r="AJ18" s="2669" t="s">
        <v>179</v>
      </c>
      <c r="AK18" s="2670"/>
      <c r="AL18" s="1183"/>
      <c r="AM18" s="1184" t="s">
        <v>133</v>
      </c>
      <c r="AN18" s="1185" t="s">
        <v>180</v>
      </c>
      <c r="AO18" s="576"/>
      <c r="AQ18" s="2755"/>
      <c r="AR18" s="1123"/>
      <c r="AS18" s="1090"/>
      <c r="AT18" s="1090"/>
      <c r="AU18" s="1090"/>
    </row>
    <row r="19" spans="2:47" ht="25.5" customHeight="1" x14ac:dyDescent="0.15">
      <c r="B19" s="2676"/>
      <c r="C19" s="2652"/>
      <c r="D19" s="2653"/>
      <c r="E19" s="1133"/>
      <c r="F19" s="2687" t="s">
        <v>540</v>
      </c>
      <c r="G19" s="2688"/>
      <c r="H19" s="2688"/>
      <c r="I19" s="2689"/>
      <c r="J19" s="1135"/>
      <c r="K19" s="1135"/>
      <c r="L19" s="2704"/>
      <c r="M19" s="2705"/>
      <c r="N19" s="2640"/>
      <c r="O19" s="2495"/>
      <c r="P19" s="2495"/>
      <c r="Q19" s="2641"/>
      <c r="R19" s="2574"/>
      <c r="S19" s="2575"/>
      <c r="T19" s="2478"/>
      <c r="U19" s="2478"/>
      <c r="V19" s="2640"/>
      <c r="W19" s="2495"/>
      <c r="X19" s="2495"/>
      <c r="Y19" s="2495"/>
      <c r="Z19" s="2641"/>
      <c r="AA19" s="2484"/>
      <c r="AB19" s="2484"/>
      <c r="AC19" s="2574"/>
      <c r="AD19" s="2575"/>
      <c r="AE19" s="2478"/>
      <c r="AF19" s="2478"/>
      <c r="AG19" s="2570"/>
      <c r="AH19" s="2571"/>
      <c r="AI19" s="2646"/>
      <c r="AJ19" s="2671"/>
      <c r="AK19" s="2672"/>
      <c r="AL19" s="1186" t="s">
        <v>178</v>
      </c>
      <c r="AM19" s="1187" t="str">
        <f>IF(AND(入力1!AB3&lt;&gt;"",SUM(入力1!P44:R47)&gt;=1),"○",IF(AND(入力1!AB3&lt;&gt;"",SUM(入力1!P44:R47)=0),"-",""))</f>
        <v/>
      </c>
      <c r="AN19" s="1188" t="str">
        <f>IF(AND(入力1!AC3&lt;&gt;"",SUM(入力1!Q44:S47)&gt;=1),"○",IF(AND(入力1!AC3&lt;&gt;"",SUM(入力1!Q44:S47)=0),"-",""))</f>
        <v/>
      </c>
      <c r="AO19" s="576"/>
      <c r="AQ19" s="2755"/>
      <c r="AR19" s="1125"/>
      <c r="AS19" s="1125"/>
      <c r="AT19" s="1125"/>
      <c r="AU19" s="1090"/>
    </row>
    <row r="20" spans="2:47" ht="25.5" customHeight="1" x14ac:dyDescent="0.15">
      <c r="B20" s="2676"/>
      <c r="C20" s="2652"/>
      <c r="D20" s="2653"/>
      <c r="E20" s="1133"/>
      <c r="F20" s="2690"/>
      <c r="G20" s="2691"/>
      <c r="H20" s="2691"/>
      <c r="I20" s="2692"/>
      <c r="J20" s="1135"/>
      <c r="K20" s="1135"/>
      <c r="L20" s="2704"/>
      <c r="M20" s="2705"/>
      <c r="N20" s="2640"/>
      <c r="O20" s="2495"/>
      <c r="P20" s="2495"/>
      <c r="Q20" s="2641"/>
      <c r="R20" s="2574"/>
      <c r="S20" s="2575"/>
      <c r="T20" s="2478"/>
      <c r="U20" s="2478"/>
      <c r="V20" s="2640"/>
      <c r="W20" s="2495"/>
      <c r="X20" s="2495"/>
      <c r="Y20" s="2495"/>
      <c r="Z20" s="2641"/>
      <c r="AA20" s="2484"/>
      <c r="AB20" s="2484"/>
      <c r="AC20" s="2574"/>
      <c r="AD20" s="2575"/>
      <c r="AE20" s="2478"/>
      <c r="AF20" s="2478"/>
      <c r="AG20" s="2570"/>
      <c r="AH20" s="2571"/>
      <c r="AI20" s="2646"/>
      <c r="AJ20" s="2671"/>
      <c r="AK20" s="2672"/>
      <c r="AL20" s="1186" t="s">
        <v>177</v>
      </c>
      <c r="AM20" s="1187" t="str">
        <f>IF(AND(入力1!Z28&lt;&gt;"",SUM(入力1!H72:J75)&gt;=1),"○",IF(AND(入力1!Z28&lt;&gt;"",SUM(入力1!H72:J75)=0),"-",""))</f>
        <v/>
      </c>
      <c r="AN20" s="1187" t="str">
        <f>IF(AND(入力1!Z28&lt;&gt;"",SUM(入力1!H76)&gt;=1),"○",IF(入力1!Z28&lt;&gt;"","-",""))</f>
        <v/>
      </c>
      <c r="AO20" s="576"/>
      <c r="AQ20" s="2755"/>
      <c r="AR20" s="1125"/>
      <c r="AS20" s="1125"/>
      <c r="AT20" s="1125"/>
      <c r="AU20" s="1090"/>
    </row>
    <row r="21" spans="2:47" ht="25.5" customHeight="1" thickBot="1" x14ac:dyDescent="0.2">
      <c r="B21" s="2676"/>
      <c r="C21" s="2652"/>
      <c r="D21" s="2653"/>
      <c r="E21" s="1133"/>
      <c r="F21" s="2693"/>
      <c r="G21" s="2694"/>
      <c r="H21" s="2694"/>
      <c r="I21" s="2695"/>
      <c r="J21" s="1135"/>
      <c r="K21" s="1135"/>
      <c r="L21" s="2704"/>
      <c r="M21" s="2705"/>
      <c r="N21" s="2640"/>
      <c r="O21" s="2495"/>
      <c r="P21" s="2495"/>
      <c r="Q21" s="2641"/>
      <c r="R21" s="2574"/>
      <c r="S21" s="2575"/>
      <c r="T21" s="2478"/>
      <c r="U21" s="2478"/>
      <c r="V21" s="2640"/>
      <c r="W21" s="2495"/>
      <c r="X21" s="2495"/>
      <c r="Y21" s="2495"/>
      <c r="Z21" s="2641"/>
      <c r="AA21" s="2484"/>
      <c r="AB21" s="2484"/>
      <c r="AC21" s="2574"/>
      <c r="AD21" s="2575"/>
      <c r="AE21" s="2478"/>
      <c r="AF21" s="2478"/>
      <c r="AG21" s="2570"/>
      <c r="AH21" s="2571"/>
      <c r="AI21" s="2646"/>
      <c r="AJ21" s="2671"/>
      <c r="AK21" s="2672"/>
      <c r="AL21" s="1189" t="s">
        <v>637</v>
      </c>
      <c r="AM21" s="1190" t="str">
        <f>IF(AND(入力1!Z29&lt;&gt;"",SUM(入力1!H77:J80)&gt;=1),"○",IF(AND(入力1!Z29&lt;&gt;"",SUM(入力1!H77:J80)=0),"-",""))</f>
        <v/>
      </c>
      <c r="AN21" s="1188" t="str">
        <f>IF(AND(入力1!Z29&lt;&gt;"",SUM(入力1!H81)&gt;=1),"○",IF(入力1!Z29&lt;&gt;"","-",""))</f>
        <v/>
      </c>
      <c r="AO21" s="577"/>
      <c r="AQ21" s="1090"/>
      <c r="AR21" s="1125"/>
      <c r="AS21" s="1125"/>
      <c r="AT21" s="1125"/>
      <c r="AU21" s="1090"/>
    </row>
    <row r="22" spans="2:47" ht="25.5" customHeight="1" x14ac:dyDescent="0.15">
      <c r="B22" s="2676"/>
      <c r="C22" s="2652"/>
      <c r="D22" s="2653"/>
      <c r="E22" s="1133"/>
      <c r="F22" s="2683" t="str">
        <f>IF(入力1!F23=0,"日帰り利用","")</f>
        <v>日帰り利用</v>
      </c>
      <c r="G22" s="2683"/>
      <c r="H22" s="2683"/>
      <c r="I22" s="2683"/>
      <c r="J22" s="1134"/>
      <c r="K22" s="1134"/>
      <c r="L22" s="2704"/>
      <c r="M22" s="2705"/>
      <c r="N22" s="2642"/>
      <c r="O22" s="2643"/>
      <c r="P22" s="2643"/>
      <c r="Q22" s="2644"/>
      <c r="R22" s="2574"/>
      <c r="S22" s="2575"/>
      <c r="T22" s="2478"/>
      <c r="U22" s="2478"/>
      <c r="V22" s="2640"/>
      <c r="W22" s="2495"/>
      <c r="X22" s="2495"/>
      <c r="Y22" s="2495"/>
      <c r="Z22" s="2641"/>
      <c r="AA22" s="2484"/>
      <c r="AB22" s="2484"/>
      <c r="AC22" s="2574"/>
      <c r="AD22" s="2575"/>
      <c r="AE22" s="2478"/>
      <c r="AF22" s="2478"/>
      <c r="AG22" s="2570"/>
      <c r="AH22" s="2571"/>
      <c r="AI22" s="2647"/>
      <c r="AJ22" s="2671"/>
      <c r="AK22" s="2672"/>
      <c r="AL22" s="2678" t="s">
        <v>176</v>
      </c>
      <c r="AM22" s="2602"/>
      <c r="AN22" s="2757"/>
      <c r="AO22" s="577"/>
      <c r="AQ22" s="1090"/>
      <c r="AR22" s="1125"/>
      <c r="AS22" s="1125"/>
      <c r="AT22" s="1125"/>
      <c r="AU22" s="1090"/>
    </row>
    <row r="23" spans="2:47" ht="25.5" customHeight="1" x14ac:dyDescent="0.15">
      <c r="B23" s="1208" t="str">
        <f>入力1!I66</f>
        <v/>
      </c>
      <c r="C23" s="2659" t="s">
        <v>523</v>
      </c>
      <c r="D23" s="2660"/>
      <c r="E23" s="1021"/>
      <c r="F23" s="1020"/>
      <c r="G23" s="1020"/>
      <c r="H23" s="1020"/>
      <c r="I23" s="1020"/>
      <c r="J23" s="1020"/>
      <c r="K23" s="1020"/>
      <c r="L23" s="2696" t="s">
        <v>620</v>
      </c>
      <c r="M23" s="2697"/>
      <c r="N23" s="2594"/>
      <c r="O23" s="2595"/>
      <c r="P23" s="2595"/>
      <c r="Q23" s="2596"/>
      <c r="R23" s="2580" t="s">
        <v>525</v>
      </c>
      <c r="S23" s="2631"/>
      <c r="T23" s="2589"/>
      <c r="U23" s="2589"/>
      <c r="V23" s="2638"/>
      <c r="W23" s="2617"/>
      <c r="X23" s="2617"/>
      <c r="Y23" s="2617"/>
      <c r="Z23" s="2639"/>
      <c r="AA23" s="2589"/>
      <c r="AB23" s="2589"/>
      <c r="AC23" s="2580" t="s">
        <v>525</v>
      </c>
      <c r="AD23" s="2631"/>
      <c r="AE23" s="2576"/>
      <c r="AF23" s="2577"/>
      <c r="AG23" s="2576"/>
      <c r="AH23" s="2577"/>
      <c r="AI23" s="2777" t="s">
        <v>530</v>
      </c>
      <c r="AJ23" s="2671"/>
      <c r="AK23" s="2672"/>
      <c r="AL23" s="2758"/>
      <c r="AM23" s="2496"/>
      <c r="AN23" s="2759"/>
      <c r="AO23" s="1012"/>
      <c r="AR23" s="1125"/>
      <c r="AS23" s="1125"/>
      <c r="AT23" s="1125"/>
    </row>
    <row r="24" spans="2:47" ht="25.5" customHeight="1" x14ac:dyDescent="0.15">
      <c r="B24" s="1209" t="s">
        <v>0</v>
      </c>
      <c r="C24" s="2661"/>
      <c r="D24" s="2662"/>
      <c r="E24" s="1018"/>
      <c r="F24" s="1019"/>
      <c r="G24" s="1019"/>
      <c r="H24" s="1019"/>
      <c r="I24" s="1019"/>
      <c r="J24" s="1019"/>
      <c r="K24" s="1019"/>
      <c r="L24" s="2698"/>
      <c r="M24" s="2699"/>
      <c r="N24" s="2597"/>
      <c r="O24" s="2494"/>
      <c r="P24" s="2494"/>
      <c r="Q24" s="2598"/>
      <c r="R24" s="2582"/>
      <c r="S24" s="2632"/>
      <c r="T24" s="2484"/>
      <c r="U24" s="2484"/>
      <c r="V24" s="2640"/>
      <c r="W24" s="2495"/>
      <c r="X24" s="2495"/>
      <c r="Y24" s="2495"/>
      <c r="Z24" s="2641"/>
      <c r="AA24" s="2484"/>
      <c r="AB24" s="2484"/>
      <c r="AC24" s="2582"/>
      <c r="AD24" s="2632"/>
      <c r="AE24" s="2578"/>
      <c r="AF24" s="2579"/>
      <c r="AG24" s="2578"/>
      <c r="AH24" s="2579"/>
      <c r="AI24" s="2778"/>
      <c r="AJ24" s="2671"/>
      <c r="AK24" s="2672"/>
      <c r="AL24" s="2758"/>
      <c r="AM24" s="2496"/>
      <c r="AN24" s="2759"/>
      <c r="AO24" s="1012"/>
      <c r="AR24" s="1125"/>
      <c r="AS24" s="1125"/>
      <c r="AT24" s="1125"/>
    </row>
    <row r="25" spans="2:47" ht="25.5" customHeight="1" thickBot="1" x14ac:dyDescent="0.2">
      <c r="B25" s="1210" t="str">
        <f>入力1!I66</f>
        <v/>
      </c>
      <c r="C25" s="2661"/>
      <c r="D25" s="2662"/>
      <c r="E25" s="1018"/>
      <c r="F25" s="1019"/>
      <c r="G25" s="1019"/>
      <c r="H25" s="1019"/>
      <c r="I25" s="1019"/>
      <c r="J25" s="1019"/>
      <c r="K25" s="1019"/>
      <c r="L25" s="2700"/>
      <c r="M25" s="2701"/>
      <c r="N25" s="2599"/>
      <c r="O25" s="2600"/>
      <c r="P25" s="2600"/>
      <c r="Q25" s="2601"/>
      <c r="R25" s="2582"/>
      <c r="S25" s="2632"/>
      <c r="T25" s="2484"/>
      <c r="U25" s="2484"/>
      <c r="V25" s="2640"/>
      <c r="W25" s="2495"/>
      <c r="X25" s="2495"/>
      <c r="Y25" s="2495"/>
      <c r="Z25" s="2641"/>
      <c r="AA25" s="2484"/>
      <c r="AB25" s="2484"/>
      <c r="AC25" s="2636"/>
      <c r="AD25" s="2634"/>
      <c r="AE25" s="2615"/>
      <c r="AF25" s="2616"/>
      <c r="AG25" s="2578"/>
      <c r="AH25" s="2579"/>
      <c r="AI25" s="2779"/>
      <c r="AJ25" s="2671"/>
      <c r="AK25" s="2672"/>
      <c r="AL25" s="2758"/>
      <c r="AM25" s="2496"/>
      <c r="AN25" s="2759"/>
      <c r="AO25" s="1012"/>
      <c r="AR25" s="1125"/>
      <c r="AS25" s="1125"/>
      <c r="AT25" s="1125"/>
    </row>
    <row r="26" spans="2:47" ht="25.5" customHeight="1" thickTop="1" x14ac:dyDescent="0.15">
      <c r="B26" s="2654" t="s">
        <v>529</v>
      </c>
      <c r="C26" s="2655" t="s">
        <v>175</v>
      </c>
      <c r="D26" s="2656"/>
      <c r="E26" s="1014"/>
      <c r="F26" s="1015"/>
      <c r="G26" s="1015"/>
      <c r="H26" s="1015"/>
      <c r="I26" s="1015"/>
      <c r="J26" s="1015"/>
      <c r="K26" s="1015"/>
      <c r="L26" s="2582"/>
      <c r="M26" s="2485"/>
      <c r="N26" s="2591"/>
      <c r="O26" s="2592"/>
      <c r="P26" s="2592"/>
      <c r="Q26" s="2593"/>
      <c r="R26" s="2603"/>
      <c r="S26" s="2604"/>
      <c r="T26" s="2591"/>
      <c r="U26" s="2593"/>
      <c r="V26" s="2591"/>
      <c r="W26" s="2592"/>
      <c r="X26" s="2592"/>
      <c r="Y26" s="2592"/>
      <c r="Z26" s="2593"/>
      <c r="AA26" s="2591"/>
      <c r="AB26" s="2593"/>
      <c r="AC26" s="1154"/>
      <c r="AD26" s="1207"/>
      <c r="AE26" s="2591"/>
      <c r="AF26" s="2593"/>
      <c r="AG26" s="2767"/>
      <c r="AH26" s="2768"/>
      <c r="AI26" s="1191"/>
      <c r="AJ26" s="2671"/>
      <c r="AK26" s="2672"/>
      <c r="AL26" s="2760" t="s">
        <v>528</v>
      </c>
      <c r="AM26" s="2477"/>
      <c r="AN26" s="2761"/>
      <c r="AO26" s="1013"/>
      <c r="AR26" s="1125"/>
      <c r="AS26" s="1125"/>
      <c r="AT26" s="1125"/>
    </row>
    <row r="27" spans="2:47" ht="25.5" customHeight="1" x14ac:dyDescent="0.15">
      <c r="B27" s="2654"/>
      <c r="C27" s="2685"/>
      <c r="D27" s="2686"/>
      <c r="E27" s="1016"/>
      <c r="F27" s="1017"/>
      <c r="G27" s="1017"/>
      <c r="H27" s="1017"/>
      <c r="I27" s="1017"/>
      <c r="J27" s="1017"/>
      <c r="K27" s="1017"/>
      <c r="L27" s="2563"/>
      <c r="M27" s="2648"/>
      <c r="N27" s="2565"/>
      <c r="O27" s="2566"/>
      <c r="P27" s="2566"/>
      <c r="Q27" s="2567"/>
      <c r="R27" s="2605"/>
      <c r="S27" s="2606"/>
      <c r="T27" s="2565"/>
      <c r="U27" s="2567"/>
      <c r="V27" s="2565"/>
      <c r="W27" s="2566"/>
      <c r="X27" s="2566"/>
      <c r="Y27" s="2566"/>
      <c r="Z27" s="2567"/>
      <c r="AA27" s="2565"/>
      <c r="AB27" s="2567"/>
      <c r="AC27" s="1157"/>
      <c r="AD27" s="1142"/>
      <c r="AE27" s="2565"/>
      <c r="AF27" s="2567"/>
      <c r="AG27" s="2682"/>
      <c r="AH27" s="2560"/>
      <c r="AI27" s="1192"/>
      <c r="AJ27" s="2673"/>
      <c r="AK27" s="2674"/>
      <c r="AL27" s="2762"/>
      <c r="AM27" s="2763"/>
      <c r="AN27" s="2764"/>
      <c r="AO27" s="1013"/>
      <c r="AR27" s="1125"/>
      <c r="AS27" s="1125"/>
      <c r="AT27" s="1125"/>
    </row>
    <row r="28" spans="2:47" ht="21" customHeight="1" x14ac:dyDescent="0.15">
      <c r="B28" s="2677" t="s">
        <v>61</v>
      </c>
      <c r="C28" s="2677" t="s">
        <v>527</v>
      </c>
      <c r="D28" s="2677"/>
      <c r="E28" s="2678">
        <v>6</v>
      </c>
      <c r="F28" s="2602"/>
      <c r="G28" s="2602">
        <v>7</v>
      </c>
      <c r="H28" s="2602"/>
      <c r="I28" s="2602">
        <v>8</v>
      </c>
      <c r="J28" s="2602"/>
      <c r="K28" s="2602">
        <v>9</v>
      </c>
      <c r="L28" s="2602"/>
      <c r="M28" s="2602">
        <v>10</v>
      </c>
      <c r="N28" s="2602"/>
      <c r="O28" s="2602">
        <v>11</v>
      </c>
      <c r="P28" s="2602"/>
      <c r="Q28" s="2602">
        <v>12</v>
      </c>
      <c r="R28" s="2602"/>
      <c r="S28" s="2602">
        <v>13</v>
      </c>
      <c r="T28" s="2602"/>
      <c r="U28" s="2602">
        <v>14</v>
      </c>
      <c r="V28" s="2602"/>
      <c r="W28" s="2602">
        <v>15</v>
      </c>
      <c r="X28" s="2602"/>
      <c r="Y28" s="2602">
        <v>16</v>
      </c>
      <c r="Z28" s="2602"/>
      <c r="AA28" s="2602">
        <v>17</v>
      </c>
      <c r="AB28" s="2602"/>
      <c r="AC28" s="2602">
        <v>18</v>
      </c>
      <c r="AD28" s="2602"/>
      <c r="AE28" s="2602">
        <v>19</v>
      </c>
      <c r="AF28" s="2602"/>
      <c r="AG28" s="2602">
        <v>20</v>
      </c>
      <c r="AH28" s="2602"/>
      <c r="AI28" s="2602">
        <v>21</v>
      </c>
      <c r="AJ28" s="2602"/>
      <c r="AK28" s="1198"/>
      <c r="AL28" s="2663" t="s">
        <v>181</v>
      </c>
      <c r="AM28" s="2664"/>
      <c r="AN28" s="2665"/>
      <c r="AQ28" s="113"/>
      <c r="AR28" s="1125"/>
      <c r="AS28" s="1125"/>
      <c r="AT28" s="1125"/>
    </row>
    <row r="29" spans="2:47" ht="12" customHeight="1" x14ac:dyDescent="0.15">
      <c r="B29" s="2677"/>
      <c r="C29" s="2677"/>
      <c r="D29" s="2677"/>
      <c r="E29" s="1199"/>
      <c r="F29" s="1200"/>
      <c r="G29" s="1199"/>
      <c r="H29" s="1200"/>
      <c r="I29" s="1199"/>
      <c r="J29" s="1200"/>
      <c r="K29" s="1202"/>
      <c r="L29" s="1200"/>
      <c r="M29" s="1199"/>
      <c r="N29" s="1200"/>
      <c r="O29" s="1200"/>
      <c r="P29" s="1201"/>
      <c r="Q29" s="1200"/>
      <c r="R29" s="1201"/>
      <c r="S29" s="1199"/>
      <c r="T29" s="1201"/>
      <c r="U29" s="1199"/>
      <c r="V29" s="1200"/>
      <c r="W29" s="1200"/>
      <c r="X29" s="1201"/>
      <c r="Y29" s="1199"/>
      <c r="Z29" s="1200"/>
      <c r="AA29" s="1200"/>
      <c r="AB29" s="1201"/>
      <c r="AC29" s="1200"/>
      <c r="AD29" s="1201"/>
      <c r="AE29" s="1199"/>
      <c r="AF29" s="1201"/>
      <c r="AG29" s="1200"/>
      <c r="AH29" s="1201"/>
      <c r="AI29" s="1199"/>
      <c r="AJ29" s="1200"/>
      <c r="AK29" s="1200"/>
      <c r="AL29" s="2666"/>
      <c r="AM29" s="2667"/>
      <c r="AN29" s="2668"/>
      <c r="AO29" s="575"/>
      <c r="AQ29" s="113"/>
      <c r="AR29" s="1125"/>
      <c r="AS29" s="1125"/>
      <c r="AT29" s="1125"/>
    </row>
    <row r="30" spans="2:47" ht="25.5" customHeight="1" x14ac:dyDescent="0.15">
      <c r="B30" s="2675" t="s">
        <v>534</v>
      </c>
      <c r="C30" s="2650" t="s">
        <v>526</v>
      </c>
      <c r="D30" s="2651"/>
      <c r="E30" s="1153"/>
      <c r="F30" s="2568"/>
      <c r="G30" s="2569"/>
      <c r="H30" s="2572" t="s">
        <v>531</v>
      </c>
      <c r="I30" s="2573"/>
      <c r="J30" s="2637"/>
      <c r="K30" s="2586"/>
      <c r="L30" s="2576"/>
      <c r="M30" s="2577"/>
      <c r="N30" s="2638"/>
      <c r="O30" s="2617"/>
      <c r="P30" s="2617"/>
      <c r="Q30" s="2639"/>
      <c r="R30" s="2568"/>
      <c r="S30" s="2569"/>
      <c r="T30" s="2635"/>
      <c r="U30" s="2635"/>
      <c r="V30" s="2638"/>
      <c r="W30" s="2617"/>
      <c r="X30" s="2617"/>
      <c r="Y30" s="2617"/>
      <c r="Z30" s="2639"/>
      <c r="AA30" s="2589"/>
      <c r="AB30" s="2589"/>
      <c r="AC30" s="2572" t="s">
        <v>524</v>
      </c>
      <c r="AD30" s="2573"/>
      <c r="AE30" s="2635"/>
      <c r="AF30" s="2635"/>
      <c r="AG30" s="2568"/>
      <c r="AH30" s="2569"/>
      <c r="AI30" s="2645" t="s">
        <v>619</v>
      </c>
      <c r="AJ30" s="2669" t="s">
        <v>179</v>
      </c>
      <c r="AK30" s="2670"/>
      <c r="AL30" s="1183"/>
      <c r="AM30" s="1184" t="s">
        <v>133</v>
      </c>
      <c r="AN30" s="1185" t="s">
        <v>180</v>
      </c>
      <c r="AO30" s="576"/>
      <c r="AR30" s="1124"/>
      <c r="AS30" s="1124"/>
      <c r="AT30" s="1124"/>
    </row>
    <row r="31" spans="2:47" ht="25.5" customHeight="1" x14ac:dyDescent="0.15">
      <c r="B31" s="2676"/>
      <c r="C31" s="2652"/>
      <c r="D31" s="2653"/>
      <c r="E31" s="1154"/>
      <c r="F31" s="2570"/>
      <c r="G31" s="2571"/>
      <c r="H31" s="2574"/>
      <c r="I31" s="2575"/>
      <c r="J31" s="2483"/>
      <c r="K31" s="2587"/>
      <c r="L31" s="2578"/>
      <c r="M31" s="2579"/>
      <c r="N31" s="2640"/>
      <c r="O31" s="2495"/>
      <c r="P31" s="2495"/>
      <c r="Q31" s="2641"/>
      <c r="R31" s="2570"/>
      <c r="S31" s="2571"/>
      <c r="T31" s="2478"/>
      <c r="U31" s="2478"/>
      <c r="V31" s="2640"/>
      <c r="W31" s="2495"/>
      <c r="X31" s="2495"/>
      <c r="Y31" s="2495"/>
      <c r="Z31" s="2641"/>
      <c r="AA31" s="2484"/>
      <c r="AB31" s="2484"/>
      <c r="AC31" s="2574"/>
      <c r="AD31" s="2575"/>
      <c r="AE31" s="2478"/>
      <c r="AF31" s="2478"/>
      <c r="AG31" s="2570"/>
      <c r="AH31" s="2571"/>
      <c r="AI31" s="2646"/>
      <c r="AJ31" s="2671"/>
      <c r="AK31" s="2672"/>
      <c r="AL31" s="1186" t="s">
        <v>178</v>
      </c>
      <c r="AM31" s="1187" t="str">
        <f>IF(AND(入力1!AA27&lt;&gt;"",SUM(入力1!L68:N71)&gt;=1),"○",IF(AND(入力1!AA27&lt;&gt;"",SUM(入力1!L68:N71)=0),"-",""))</f>
        <v/>
      </c>
      <c r="AN31" s="1188" t="str">
        <f>IF(AND(入力1!AC15&lt;&gt;"",SUM(入力1!Q56:S59)&gt;=1),"○",IF(AND(入力1!AC15&lt;&gt;"",SUM(入力1!Q56:S59)=0),"-",""))</f>
        <v/>
      </c>
      <c r="AO31" s="576"/>
      <c r="AR31" s="2649"/>
      <c r="AS31" s="2649"/>
      <c r="AT31" s="1205"/>
    </row>
    <row r="32" spans="2:47" ht="25.5" customHeight="1" x14ac:dyDescent="0.15">
      <c r="B32" s="2676"/>
      <c r="C32" s="2652"/>
      <c r="D32" s="2653"/>
      <c r="E32" s="1154"/>
      <c r="F32" s="2570"/>
      <c r="G32" s="2571"/>
      <c r="H32" s="2574"/>
      <c r="I32" s="2575"/>
      <c r="J32" s="2483"/>
      <c r="K32" s="2587"/>
      <c r="L32" s="2578"/>
      <c r="M32" s="2579"/>
      <c r="N32" s="2640"/>
      <c r="O32" s="2495"/>
      <c r="P32" s="2495"/>
      <c r="Q32" s="2641"/>
      <c r="R32" s="2570"/>
      <c r="S32" s="2571"/>
      <c r="T32" s="2478"/>
      <c r="U32" s="2478"/>
      <c r="V32" s="2640"/>
      <c r="W32" s="2495"/>
      <c r="X32" s="2495"/>
      <c r="Y32" s="2495"/>
      <c r="Z32" s="2641"/>
      <c r="AA32" s="2484"/>
      <c r="AB32" s="2484"/>
      <c r="AC32" s="2574"/>
      <c r="AD32" s="2575"/>
      <c r="AE32" s="2478"/>
      <c r="AF32" s="2478"/>
      <c r="AG32" s="2570"/>
      <c r="AH32" s="2571"/>
      <c r="AI32" s="2646"/>
      <c r="AJ32" s="2671"/>
      <c r="AK32" s="2672"/>
      <c r="AL32" s="1186" t="s">
        <v>177</v>
      </c>
      <c r="AM32" s="1187" t="str">
        <f>IF(AND(入力1!AA28&lt;&gt;"",SUM(入力1!L72:N75)&gt;=1),"○",IF(AND(入力1!AA28&lt;&gt;"",SUM(入力1!L72:N75)=0),"-",""))</f>
        <v/>
      </c>
      <c r="AN32" s="1187" t="str">
        <f>IF(AND(入力1!AA28&lt;&gt;"",SUM(入力1!L76)&gt;=1),"○",IF(入力1!AA28&lt;&gt;"","-",""))</f>
        <v/>
      </c>
      <c r="AO32" s="576"/>
    </row>
    <row r="33" spans="2:41" ht="25.5" customHeight="1" x14ac:dyDescent="0.15">
      <c r="B33" s="2676"/>
      <c r="C33" s="2652"/>
      <c r="D33" s="2653"/>
      <c r="E33" s="1154"/>
      <c r="F33" s="2570"/>
      <c r="G33" s="2571"/>
      <c r="H33" s="2574"/>
      <c r="I33" s="2575"/>
      <c r="J33" s="2483"/>
      <c r="K33" s="2587"/>
      <c r="L33" s="2578"/>
      <c r="M33" s="2579"/>
      <c r="N33" s="2640"/>
      <c r="O33" s="2495"/>
      <c r="P33" s="2495"/>
      <c r="Q33" s="2641"/>
      <c r="R33" s="2570"/>
      <c r="S33" s="2571"/>
      <c r="T33" s="2478"/>
      <c r="U33" s="2478"/>
      <c r="V33" s="2640"/>
      <c r="W33" s="2495"/>
      <c r="X33" s="2495"/>
      <c r="Y33" s="2495"/>
      <c r="Z33" s="2641"/>
      <c r="AA33" s="2484"/>
      <c r="AB33" s="2484"/>
      <c r="AC33" s="2574"/>
      <c r="AD33" s="2575"/>
      <c r="AE33" s="2478"/>
      <c r="AF33" s="2478"/>
      <c r="AG33" s="2570"/>
      <c r="AH33" s="2571"/>
      <c r="AI33" s="2646"/>
      <c r="AJ33" s="2671"/>
      <c r="AK33" s="2672"/>
      <c r="AL33" s="1189" t="s">
        <v>637</v>
      </c>
      <c r="AM33" s="1190" t="str">
        <f>IF(AND(入力1!AA29&lt;&gt;"",SUM(入力1!L77:N80)&gt;=1),"○",IF(AND(入力1!AA29&lt;&gt;"",SUM(入力1!L77:N80)=0),"-",""))</f>
        <v/>
      </c>
      <c r="AN33" s="1188" t="str">
        <f>IF(AND(入力1!AA29&lt;&gt;"",SUM(入力1!L81)&gt;=1),"○",IF(入力1!AA29&lt;&gt;"","-",""))</f>
        <v/>
      </c>
      <c r="AO33" s="577"/>
    </row>
    <row r="34" spans="2:41" ht="25.5" customHeight="1" x14ac:dyDescent="0.15">
      <c r="B34" s="2676"/>
      <c r="C34" s="2652"/>
      <c r="D34" s="2653"/>
      <c r="E34" s="1154"/>
      <c r="F34" s="2570"/>
      <c r="G34" s="2571"/>
      <c r="H34" s="2574"/>
      <c r="I34" s="2575"/>
      <c r="J34" s="2483"/>
      <c r="K34" s="2587"/>
      <c r="L34" s="2578"/>
      <c r="M34" s="2579"/>
      <c r="N34" s="2642"/>
      <c r="O34" s="2643"/>
      <c r="P34" s="2643"/>
      <c r="Q34" s="2644"/>
      <c r="R34" s="2565"/>
      <c r="S34" s="2567"/>
      <c r="T34" s="2478"/>
      <c r="U34" s="2478"/>
      <c r="V34" s="2640"/>
      <c r="W34" s="2495"/>
      <c r="X34" s="2495"/>
      <c r="Y34" s="2495"/>
      <c r="Z34" s="2641"/>
      <c r="AA34" s="2484"/>
      <c r="AB34" s="2484"/>
      <c r="AC34" s="2574"/>
      <c r="AD34" s="2575"/>
      <c r="AE34" s="2478"/>
      <c r="AF34" s="2478"/>
      <c r="AG34" s="2570"/>
      <c r="AH34" s="2571"/>
      <c r="AI34" s="2647"/>
      <c r="AJ34" s="2671"/>
      <c r="AK34" s="2672"/>
      <c r="AL34" s="2678" t="s">
        <v>176</v>
      </c>
      <c r="AM34" s="2602"/>
      <c r="AN34" s="2757"/>
      <c r="AO34" s="577"/>
    </row>
    <row r="35" spans="2:41" ht="25.5" customHeight="1" x14ac:dyDescent="0.15">
      <c r="B35" s="1208" t="str">
        <f>入力1!M66</f>
        <v/>
      </c>
      <c r="C35" s="2659" t="s">
        <v>523</v>
      </c>
      <c r="D35" s="2660"/>
      <c r="E35" s="1153"/>
      <c r="F35" s="2576"/>
      <c r="G35" s="2577"/>
      <c r="H35" s="2580" t="s">
        <v>525</v>
      </c>
      <c r="I35" s="2581"/>
      <c r="J35" s="2583"/>
      <c r="K35" s="2586"/>
      <c r="L35" s="2589"/>
      <c r="M35" s="2589"/>
      <c r="N35" s="2594"/>
      <c r="O35" s="2595"/>
      <c r="P35" s="2595"/>
      <c r="Q35" s="2596"/>
      <c r="R35" s="2576"/>
      <c r="S35" s="2577"/>
      <c r="T35" s="2576"/>
      <c r="U35" s="2577"/>
      <c r="V35" s="2638"/>
      <c r="W35" s="2617"/>
      <c r="X35" s="2617"/>
      <c r="Y35" s="2617"/>
      <c r="Z35" s="2639"/>
      <c r="AA35" s="2589"/>
      <c r="AB35" s="2589"/>
      <c r="AC35" s="2580" t="s">
        <v>525</v>
      </c>
      <c r="AD35" s="2631"/>
      <c r="AE35" s="2576"/>
      <c r="AF35" s="2577"/>
      <c r="AG35" s="2589"/>
      <c r="AH35" s="2577"/>
      <c r="AI35" s="2777" t="s">
        <v>530</v>
      </c>
      <c r="AJ35" s="2671"/>
      <c r="AK35" s="2672"/>
      <c r="AL35" s="2758"/>
      <c r="AM35" s="2496"/>
      <c r="AN35" s="2759"/>
      <c r="AO35" s="1012"/>
    </row>
    <row r="36" spans="2:41" ht="25.5" customHeight="1" x14ac:dyDescent="0.15">
      <c r="B36" s="1209" t="s">
        <v>0</v>
      </c>
      <c r="C36" s="2661"/>
      <c r="D36" s="2662"/>
      <c r="E36" s="1154"/>
      <c r="F36" s="2578"/>
      <c r="G36" s="2579"/>
      <c r="H36" s="2582"/>
      <c r="I36" s="2485"/>
      <c r="J36" s="2584"/>
      <c r="K36" s="2587"/>
      <c r="L36" s="2484"/>
      <c r="M36" s="2484"/>
      <c r="N36" s="2597"/>
      <c r="O36" s="2494"/>
      <c r="P36" s="2494"/>
      <c r="Q36" s="2598"/>
      <c r="R36" s="2578"/>
      <c r="S36" s="2579"/>
      <c r="T36" s="2578"/>
      <c r="U36" s="2579"/>
      <c r="V36" s="2640"/>
      <c r="W36" s="2495"/>
      <c r="X36" s="2495"/>
      <c r="Y36" s="2495"/>
      <c r="Z36" s="2641"/>
      <c r="AA36" s="2484"/>
      <c r="AB36" s="2484"/>
      <c r="AC36" s="2582"/>
      <c r="AD36" s="2632"/>
      <c r="AE36" s="2578"/>
      <c r="AF36" s="2579"/>
      <c r="AG36" s="2484"/>
      <c r="AH36" s="2579"/>
      <c r="AI36" s="2778"/>
      <c r="AJ36" s="2671"/>
      <c r="AK36" s="2672"/>
      <c r="AL36" s="2758"/>
      <c r="AM36" s="2496"/>
      <c r="AN36" s="2759"/>
      <c r="AO36" s="1012"/>
    </row>
    <row r="37" spans="2:41" ht="25.5" customHeight="1" thickBot="1" x14ac:dyDescent="0.2">
      <c r="B37" s="1210" t="str">
        <f>入力1!M66</f>
        <v/>
      </c>
      <c r="C37" s="2661"/>
      <c r="D37" s="2662"/>
      <c r="E37" s="1154"/>
      <c r="F37" s="2578"/>
      <c r="G37" s="2579"/>
      <c r="H37" s="2582"/>
      <c r="I37" s="2485"/>
      <c r="J37" s="2585"/>
      <c r="K37" s="2588"/>
      <c r="L37" s="2590"/>
      <c r="M37" s="2590"/>
      <c r="N37" s="2599"/>
      <c r="O37" s="2600"/>
      <c r="P37" s="2600"/>
      <c r="Q37" s="2601"/>
      <c r="R37" s="2615"/>
      <c r="S37" s="2616"/>
      <c r="T37" s="2615"/>
      <c r="U37" s="2616"/>
      <c r="V37" s="2780"/>
      <c r="W37" s="2618"/>
      <c r="X37" s="2618"/>
      <c r="Y37" s="2618"/>
      <c r="Z37" s="2781"/>
      <c r="AA37" s="2590"/>
      <c r="AB37" s="2590"/>
      <c r="AC37" s="2636"/>
      <c r="AD37" s="2634"/>
      <c r="AE37" s="2615"/>
      <c r="AF37" s="2616"/>
      <c r="AG37" s="2484"/>
      <c r="AH37" s="2579"/>
      <c r="AI37" s="2779"/>
      <c r="AJ37" s="2671"/>
      <c r="AK37" s="2672"/>
      <c r="AL37" s="2758"/>
      <c r="AM37" s="2496"/>
      <c r="AN37" s="2759"/>
      <c r="AO37" s="1012"/>
    </row>
    <row r="38" spans="2:41" ht="25.5" customHeight="1" thickTop="1" x14ac:dyDescent="0.15">
      <c r="B38" s="2654" t="s">
        <v>529</v>
      </c>
      <c r="C38" s="2655" t="s">
        <v>175</v>
      </c>
      <c r="D38" s="2656"/>
      <c r="E38" s="1155"/>
      <c r="F38" s="2557" t="s">
        <v>530</v>
      </c>
      <c r="G38" s="2558"/>
      <c r="H38" s="1139"/>
      <c r="I38" s="1139"/>
      <c r="J38" s="1214"/>
      <c r="K38" s="1215"/>
      <c r="L38" s="2484"/>
      <c r="M38" s="2484"/>
      <c r="N38" s="2591"/>
      <c r="O38" s="2592"/>
      <c r="P38" s="2592"/>
      <c r="Q38" s="2593"/>
      <c r="R38" s="2603"/>
      <c r="S38" s="2604"/>
      <c r="T38" s="2591"/>
      <c r="U38" s="2593"/>
      <c r="V38" s="2591"/>
      <c r="W38" s="2592"/>
      <c r="X38" s="2592"/>
      <c r="Y38" s="2592"/>
      <c r="Z38" s="2593"/>
      <c r="AA38" s="2591"/>
      <c r="AB38" s="2593"/>
      <c r="AC38" s="1154"/>
      <c r="AD38" s="1207"/>
      <c r="AE38" s="2591"/>
      <c r="AF38" s="2593"/>
      <c r="AG38" s="2767"/>
      <c r="AH38" s="2768"/>
      <c r="AI38" s="1191"/>
      <c r="AJ38" s="2671"/>
      <c r="AK38" s="2672"/>
      <c r="AL38" s="2760" t="s">
        <v>528</v>
      </c>
      <c r="AM38" s="2477"/>
      <c r="AN38" s="2761"/>
      <c r="AO38" s="1013"/>
    </row>
    <row r="39" spans="2:41" ht="25.5" customHeight="1" x14ac:dyDescent="0.15">
      <c r="B39" s="2654"/>
      <c r="C39" s="2685"/>
      <c r="D39" s="2686"/>
      <c r="E39" s="1154"/>
      <c r="F39" s="2559"/>
      <c r="G39" s="2560"/>
      <c r="H39" s="1146"/>
      <c r="I39" s="1146"/>
      <c r="J39" s="1216"/>
      <c r="K39" s="1216"/>
      <c r="L39" s="2565"/>
      <c r="M39" s="2567"/>
      <c r="N39" s="2565"/>
      <c r="O39" s="2566"/>
      <c r="P39" s="2566"/>
      <c r="Q39" s="2567"/>
      <c r="R39" s="2605"/>
      <c r="S39" s="2606"/>
      <c r="T39" s="2565"/>
      <c r="U39" s="2567"/>
      <c r="V39" s="2565"/>
      <c r="W39" s="2566"/>
      <c r="X39" s="2566"/>
      <c r="Y39" s="2566"/>
      <c r="Z39" s="2567"/>
      <c r="AA39" s="2565"/>
      <c r="AB39" s="2567"/>
      <c r="AC39" s="1157"/>
      <c r="AD39" s="1142"/>
      <c r="AE39" s="2565"/>
      <c r="AF39" s="2567"/>
      <c r="AG39" s="2682"/>
      <c r="AH39" s="2560"/>
      <c r="AI39" s="1192"/>
      <c r="AJ39" s="2673"/>
      <c r="AK39" s="2674"/>
      <c r="AL39" s="2762"/>
      <c r="AM39" s="2763"/>
      <c r="AN39" s="2764"/>
      <c r="AO39" s="1013"/>
    </row>
    <row r="40" spans="2:41" ht="21" customHeight="1" x14ac:dyDescent="0.15">
      <c r="B40" s="2677" t="s">
        <v>61</v>
      </c>
      <c r="C40" s="2677" t="s">
        <v>527</v>
      </c>
      <c r="D40" s="2677"/>
      <c r="E40" s="2678">
        <v>6</v>
      </c>
      <c r="F40" s="2602"/>
      <c r="G40" s="2602">
        <v>7</v>
      </c>
      <c r="H40" s="2602"/>
      <c r="I40" s="2602">
        <v>8</v>
      </c>
      <c r="J40" s="2496"/>
      <c r="K40" s="2496">
        <v>9</v>
      </c>
      <c r="L40" s="2496"/>
      <c r="M40" s="2496">
        <v>10</v>
      </c>
      <c r="N40" s="2496"/>
      <c r="O40" s="2496">
        <v>11</v>
      </c>
      <c r="P40" s="2496"/>
      <c r="Q40" s="2496">
        <v>12</v>
      </c>
      <c r="R40" s="2496"/>
      <c r="S40" s="2496">
        <v>13</v>
      </c>
      <c r="T40" s="2496"/>
      <c r="U40" s="2496">
        <v>14</v>
      </c>
      <c r="V40" s="2496"/>
      <c r="W40" s="2496">
        <v>15</v>
      </c>
      <c r="X40" s="2496"/>
      <c r="Y40" s="2496">
        <v>16</v>
      </c>
      <c r="Z40" s="2496"/>
      <c r="AA40" s="2496">
        <v>17</v>
      </c>
      <c r="AB40" s="2496"/>
      <c r="AC40" s="2496">
        <v>18</v>
      </c>
      <c r="AD40" s="2496"/>
      <c r="AE40" s="2496">
        <v>19</v>
      </c>
      <c r="AF40" s="2496"/>
      <c r="AG40" s="2602">
        <v>20</v>
      </c>
      <c r="AH40" s="2602"/>
      <c r="AI40" s="2602">
        <v>21</v>
      </c>
      <c r="AJ40" s="2602"/>
      <c r="AK40" s="1198"/>
      <c r="AL40" s="2663" t="s">
        <v>181</v>
      </c>
      <c r="AM40" s="2664"/>
      <c r="AN40" s="2665"/>
    </row>
    <row r="41" spans="2:41" ht="12" customHeight="1" x14ac:dyDescent="0.15">
      <c r="B41" s="2677"/>
      <c r="C41" s="2677"/>
      <c r="D41" s="2677"/>
      <c r="E41" s="1199"/>
      <c r="F41" s="1200"/>
      <c r="G41" s="1199"/>
      <c r="H41" s="1200"/>
      <c r="I41" s="1199"/>
      <c r="J41" s="1200"/>
      <c r="K41" s="1202"/>
      <c r="L41" s="1200"/>
      <c r="M41" s="1199"/>
      <c r="N41" s="1200"/>
      <c r="O41" s="1200"/>
      <c r="P41" s="1201"/>
      <c r="Q41" s="1200"/>
      <c r="R41" s="1201"/>
      <c r="S41" s="1199"/>
      <c r="T41" s="1201"/>
      <c r="U41" s="1199"/>
      <c r="V41" s="1200"/>
      <c r="W41" s="1200"/>
      <c r="X41" s="1201"/>
      <c r="Y41" s="1199"/>
      <c r="Z41" s="1200"/>
      <c r="AA41" s="1200"/>
      <c r="AB41" s="1201"/>
      <c r="AC41" s="1200"/>
      <c r="AD41" s="1201"/>
      <c r="AE41" s="1199"/>
      <c r="AF41" s="1201"/>
      <c r="AG41" s="1200"/>
      <c r="AH41" s="1201"/>
      <c r="AI41" s="1199"/>
      <c r="AJ41" s="1200"/>
      <c r="AK41" s="1200"/>
      <c r="AL41" s="2666"/>
      <c r="AM41" s="2667"/>
      <c r="AN41" s="2668"/>
      <c r="AO41" s="575"/>
    </row>
    <row r="42" spans="2:41" ht="25.5" customHeight="1" x14ac:dyDescent="0.15">
      <c r="B42" s="2675" t="s">
        <v>533</v>
      </c>
      <c r="C42" s="2650" t="s">
        <v>526</v>
      </c>
      <c r="D42" s="2651"/>
      <c r="E42" s="1158"/>
      <c r="F42" s="2568"/>
      <c r="G42" s="2569"/>
      <c r="H42" s="2572" t="s">
        <v>531</v>
      </c>
      <c r="I42" s="2573"/>
      <c r="J42" s="2637"/>
      <c r="K42" s="2586"/>
      <c r="L42" s="2576"/>
      <c r="M42" s="2589"/>
      <c r="N42" s="2638"/>
      <c r="O42" s="2617"/>
      <c r="P42" s="2617"/>
      <c r="Q42" s="2639"/>
      <c r="R42" s="2635"/>
      <c r="S42" s="2635"/>
      <c r="T42" s="2568"/>
      <c r="U42" s="2569"/>
      <c r="V42" s="2617"/>
      <c r="W42" s="2617"/>
      <c r="X42" s="2617"/>
      <c r="Y42" s="2617"/>
      <c r="Z42" s="2617"/>
      <c r="AA42" s="2619" t="s">
        <v>622</v>
      </c>
      <c r="AB42" s="2620"/>
      <c r="AC42" s="2679" t="s">
        <v>524</v>
      </c>
      <c r="AD42" s="2680"/>
      <c r="AE42" s="2610"/>
      <c r="AF42" s="2610"/>
      <c r="AG42" s="2611"/>
      <c r="AH42" s="2612"/>
      <c r="AI42" s="2645" t="s">
        <v>619</v>
      </c>
      <c r="AJ42" s="2669" t="s">
        <v>179</v>
      </c>
      <c r="AK42" s="2670"/>
      <c r="AL42" s="1183"/>
      <c r="AM42" s="1184" t="s">
        <v>133</v>
      </c>
      <c r="AN42" s="1185" t="s">
        <v>180</v>
      </c>
      <c r="AO42" s="576"/>
    </row>
    <row r="43" spans="2:41" ht="25.5" customHeight="1" x14ac:dyDescent="0.15">
      <c r="B43" s="2676"/>
      <c r="C43" s="2652"/>
      <c r="D43" s="2653"/>
      <c r="E43" s="1159"/>
      <c r="F43" s="2570"/>
      <c r="G43" s="2571"/>
      <c r="H43" s="2574"/>
      <c r="I43" s="2575"/>
      <c r="J43" s="2483"/>
      <c r="K43" s="2587"/>
      <c r="L43" s="2578"/>
      <c r="M43" s="2484"/>
      <c r="N43" s="2640"/>
      <c r="O43" s="2495"/>
      <c r="P43" s="2495"/>
      <c r="Q43" s="2641"/>
      <c r="R43" s="2478"/>
      <c r="S43" s="2478"/>
      <c r="T43" s="2570"/>
      <c r="U43" s="2571"/>
      <c r="V43" s="2495"/>
      <c r="W43" s="2495"/>
      <c r="X43" s="2495"/>
      <c r="Y43" s="2495"/>
      <c r="Z43" s="2495"/>
      <c r="AA43" s="2621"/>
      <c r="AB43" s="2622"/>
      <c r="AC43" s="2500"/>
      <c r="AD43" s="2681"/>
      <c r="AE43" s="2501"/>
      <c r="AF43" s="2501"/>
      <c r="AG43" s="2613"/>
      <c r="AH43" s="2614"/>
      <c r="AI43" s="2646"/>
      <c r="AJ43" s="2671"/>
      <c r="AK43" s="2672"/>
      <c r="AL43" s="1186" t="s">
        <v>178</v>
      </c>
      <c r="AM43" s="1187" t="str">
        <f>IF(AND(入力1!AB27&lt;&gt;"",SUM(入力1!P68:R71)&gt;=1),"○",IF(AND(入力1!AB27&lt;&gt;"",SUM(入力1!P68:R71)=0),"-",""))</f>
        <v/>
      </c>
      <c r="AN43" s="1188" t="str">
        <f>IF(AND(入力1!AC27&lt;&gt;"",SUM(入力1!Q68:S71)&gt;=1),"○",IF(AND(入力1!AC27&lt;&gt;"",SUM(入力1!Q68:S71)=0),"-",""))</f>
        <v/>
      </c>
      <c r="AO43" s="576"/>
    </row>
    <row r="44" spans="2:41" ht="25.5" customHeight="1" x14ac:dyDescent="0.15">
      <c r="B44" s="2676"/>
      <c r="C44" s="2652"/>
      <c r="D44" s="2653"/>
      <c r="E44" s="1159"/>
      <c r="F44" s="2570"/>
      <c r="G44" s="2571"/>
      <c r="H44" s="2574"/>
      <c r="I44" s="2575"/>
      <c r="J44" s="2483"/>
      <c r="K44" s="2587"/>
      <c r="L44" s="2578"/>
      <c r="M44" s="2484"/>
      <c r="N44" s="2640"/>
      <c r="O44" s="2495"/>
      <c r="P44" s="2495"/>
      <c r="Q44" s="2641"/>
      <c r="R44" s="2478"/>
      <c r="S44" s="2478"/>
      <c r="T44" s="2570"/>
      <c r="U44" s="2571"/>
      <c r="V44" s="2495"/>
      <c r="W44" s="2495"/>
      <c r="X44" s="2495"/>
      <c r="Y44" s="2495"/>
      <c r="Z44" s="2495"/>
      <c r="AA44" s="2621"/>
      <c r="AB44" s="2622"/>
      <c r="AC44" s="2500"/>
      <c r="AD44" s="2681"/>
      <c r="AE44" s="2501"/>
      <c r="AF44" s="2501"/>
      <c r="AG44" s="2613"/>
      <c r="AH44" s="2614"/>
      <c r="AI44" s="2646"/>
      <c r="AJ44" s="2671"/>
      <c r="AK44" s="2672"/>
      <c r="AL44" s="1186" t="s">
        <v>177</v>
      </c>
      <c r="AM44" s="1187" t="str">
        <f>IF(AND(入力1!AB28&lt;&gt;"",SUM(入力1!P72:R75)&gt;=1),"○",IF(AND(入力1!AB28&lt;&gt;"",SUM(入力1!P72:R75)=0),"-",""))</f>
        <v/>
      </c>
      <c r="AN44" s="1187" t="str">
        <f>IF(AND(入力1!AB28&lt;&gt;"",SUM(入力1!P76)&gt;=1),"○",IF(入力1!AB28&lt;&gt;"","-",""))</f>
        <v/>
      </c>
      <c r="AO44" s="576"/>
    </row>
    <row r="45" spans="2:41" ht="25.5" customHeight="1" x14ac:dyDescent="0.15">
      <c r="B45" s="2676"/>
      <c r="C45" s="2652"/>
      <c r="D45" s="2653"/>
      <c r="E45" s="1159"/>
      <c r="F45" s="2570"/>
      <c r="G45" s="2571"/>
      <c r="H45" s="2574"/>
      <c r="I45" s="2575"/>
      <c r="J45" s="2483"/>
      <c r="K45" s="2587"/>
      <c r="L45" s="2578"/>
      <c r="M45" s="2484"/>
      <c r="N45" s="2640"/>
      <c r="O45" s="2495"/>
      <c r="P45" s="2495"/>
      <c r="Q45" s="2641"/>
      <c r="R45" s="2478"/>
      <c r="S45" s="2478"/>
      <c r="T45" s="2570"/>
      <c r="U45" s="2571"/>
      <c r="V45" s="2495"/>
      <c r="W45" s="2495"/>
      <c r="X45" s="2495"/>
      <c r="Y45" s="2495"/>
      <c r="Z45" s="2495"/>
      <c r="AA45" s="2621"/>
      <c r="AB45" s="2622"/>
      <c r="AC45" s="2500"/>
      <c r="AD45" s="2681"/>
      <c r="AE45" s="2501"/>
      <c r="AF45" s="2501"/>
      <c r="AG45" s="2613"/>
      <c r="AH45" s="2614"/>
      <c r="AI45" s="2646"/>
      <c r="AJ45" s="2671"/>
      <c r="AK45" s="2672"/>
      <c r="AL45" s="1189" t="s">
        <v>637</v>
      </c>
      <c r="AM45" s="1190" t="str">
        <f>IF(AND(入力1!AB29&lt;&gt;"",SUM(入力1!P70:R73)&gt;=1),"○",IF(AND(入力1!AB29&lt;&gt;"",SUM(入力1!P70:R73)=0),"-",""))</f>
        <v/>
      </c>
      <c r="AN45" s="1188" t="str">
        <f>IF(AND(入力1!AC29&lt;&gt;"",SUM(入力1!Q70:S73)&gt;=1),"○",IF(AND(入力1!AC29&lt;&gt;"",SUM(入力1!Q70:S73)=0),"-",""))</f>
        <v/>
      </c>
      <c r="AO45" s="577"/>
    </row>
    <row r="46" spans="2:41" ht="25.5" customHeight="1" x14ac:dyDescent="0.15">
      <c r="B46" s="2676"/>
      <c r="C46" s="2652"/>
      <c r="D46" s="2653"/>
      <c r="E46" s="1159"/>
      <c r="F46" s="2570"/>
      <c r="G46" s="2571"/>
      <c r="H46" s="2574"/>
      <c r="I46" s="2575"/>
      <c r="J46" s="2483"/>
      <c r="K46" s="2587"/>
      <c r="L46" s="2578"/>
      <c r="M46" s="2484"/>
      <c r="N46" s="2642"/>
      <c r="O46" s="2643"/>
      <c r="P46" s="2643"/>
      <c r="Q46" s="2644"/>
      <c r="R46" s="2478"/>
      <c r="S46" s="2478"/>
      <c r="T46" s="2570"/>
      <c r="U46" s="2571"/>
      <c r="V46" s="2495"/>
      <c r="W46" s="2495"/>
      <c r="X46" s="2495"/>
      <c r="Y46" s="2495"/>
      <c r="Z46" s="2495"/>
      <c r="AA46" s="2621"/>
      <c r="AB46" s="2622"/>
      <c r="AC46" s="2500"/>
      <c r="AD46" s="2681"/>
      <c r="AE46" s="2501"/>
      <c r="AF46" s="2501"/>
      <c r="AG46" s="2613"/>
      <c r="AH46" s="2614"/>
      <c r="AI46" s="2647"/>
      <c r="AJ46" s="2671"/>
      <c r="AK46" s="2672"/>
      <c r="AL46" s="2678" t="s">
        <v>176</v>
      </c>
      <c r="AM46" s="2602"/>
      <c r="AN46" s="2757"/>
      <c r="AO46" s="577"/>
    </row>
    <row r="47" spans="2:41" ht="25.5" customHeight="1" x14ac:dyDescent="0.15">
      <c r="B47" s="1208" t="str">
        <f>入力1!Q66</f>
        <v/>
      </c>
      <c r="C47" s="2659" t="s">
        <v>523</v>
      </c>
      <c r="D47" s="2660"/>
      <c r="E47" s="1158"/>
      <c r="F47" s="2576"/>
      <c r="G47" s="2577"/>
      <c r="H47" s="2580" t="s">
        <v>525</v>
      </c>
      <c r="I47" s="2581"/>
      <c r="J47" s="2583"/>
      <c r="K47" s="2586"/>
      <c r="L47" s="2589"/>
      <c r="M47" s="2589"/>
      <c r="N47" s="2594"/>
      <c r="O47" s="2595"/>
      <c r="P47" s="2595"/>
      <c r="Q47" s="2596"/>
      <c r="R47" s="2589"/>
      <c r="S47" s="2589"/>
      <c r="T47" s="2576"/>
      <c r="U47" s="2577"/>
      <c r="V47" s="2617"/>
      <c r="W47" s="2617"/>
      <c r="X47" s="2617"/>
      <c r="Y47" s="2617"/>
      <c r="Z47" s="2617"/>
      <c r="AA47" s="2619"/>
      <c r="AB47" s="2620"/>
      <c r="AC47" s="2581" t="s">
        <v>525</v>
      </c>
      <c r="AD47" s="2631"/>
      <c r="AE47" s="2771"/>
      <c r="AF47" s="2772"/>
      <c r="AG47" s="2625"/>
      <c r="AH47" s="2626"/>
      <c r="AI47" s="2777" t="s">
        <v>530</v>
      </c>
      <c r="AJ47" s="2671"/>
      <c r="AK47" s="2672"/>
      <c r="AL47" s="2758"/>
      <c r="AM47" s="2496"/>
      <c r="AN47" s="2759"/>
      <c r="AO47" s="1012"/>
    </row>
    <row r="48" spans="2:41" ht="25.5" customHeight="1" x14ac:dyDescent="0.15">
      <c r="B48" s="1209" t="s">
        <v>0</v>
      </c>
      <c r="C48" s="2661"/>
      <c r="D48" s="2662"/>
      <c r="E48" s="1159"/>
      <c r="F48" s="2578"/>
      <c r="G48" s="2579"/>
      <c r="H48" s="2582"/>
      <c r="I48" s="2485"/>
      <c r="J48" s="2584"/>
      <c r="K48" s="2587"/>
      <c r="L48" s="2484"/>
      <c r="M48" s="2484"/>
      <c r="N48" s="2597"/>
      <c r="O48" s="2494"/>
      <c r="P48" s="2494"/>
      <c r="Q48" s="2598"/>
      <c r="R48" s="2484"/>
      <c r="S48" s="2484"/>
      <c r="T48" s="2578"/>
      <c r="U48" s="2579"/>
      <c r="V48" s="2495"/>
      <c r="W48" s="2495"/>
      <c r="X48" s="2495"/>
      <c r="Y48" s="2495"/>
      <c r="Z48" s="2495"/>
      <c r="AA48" s="2621"/>
      <c r="AB48" s="2622"/>
      <c r="AC48" s="2485"/>
      <c r="AD48" s="2632"/>
      <c r="AE48" s="2773"/>
      <c r="AF48" s="2774"/>
      <c r="AG48" s="2627"/>
      <c r="AH48" s="2628"/>
      <c r="AI48" s="2778"/>
      <c r="AJ48" s="2671"/>
      <c r="AK48" s="2672"/>
      <c r="AL48" s="2758"/>
      <c r="AM48" s="2496"/>
      <c r="AN48" s="2759"/>
      <c r="AO48" s="1012"/>
    </row>
    <row r="49" spans="2:47" ht="25.5" customHeight="1" thickBot="1" x14ac:dyDescent="0.2">
      <c r="B49" s="1210" t="str">
        <f>入力1!Q66</f>
        <v/>
      </c>
      <c r="C49" s="2661"/>
      <c r="D49" s="2662"/>
      <c r="E49" s="1159"/>
      <c r="F49" s="2578"/>
      <c r="G49" s="2579"/>
      <c r="H49" s="2582"/>
      <c r="I49" s="2485"/>
      <c r="J49" s="2585"/>
      <c r="K49" s="2588"/>
      <c r="L49" s="2590"/>
      <c r="M49" s="2590"/>
      <c r="N49" s="2599"/>
      <c r="O49" s="2600"/>
      <c r="P49" s="2600"/>
      <c r="Q49" s="2601"/>
      <c r="R49" s="2590"/>
      <c r="S49" s="2590"/>
      <c r="T49" s="2615"/>
      <c r="U49" s="2616"/>
      <c r="V49" s="2618"/>
      <c r="W49" s="2618"/>
      <c r="X49" s="2618"/>
      <c r="Y49" s="2618"/>
      <c r="Z49" s="2618"/>
      <c r="AA49" s="2623"/>
      <c r="AB49" s="2624"/>
      <c r="AC49" s="2633"/>
      <c r="AD49" s="2634"/>
      <c r="AE49" s="2775"/>
      <c r="AF49" s="2776"/>
      <c r="AG49" s="2629"/>
      <c r="AH49" s="2630"/>
      <c r="AI49" s="2779"/>
      <c r="AJ49" s="2671"/>
      <c r="AK49" s="2672"/>
      <c r="AL49" s="2758"/>
      <c r="AM49" s="2496"/>
      <c r="AN49" s="2759"/>
      <c r="AO49" s="1012"/>
    </row>
    <row r="50" spans="2:47" ht="25.5" customHeight="1" thickTop="1" x14ac:dyDescent="0.15">
      <c r="B50" s="2654" t="s">
        <v>529</v>
      </c>
      <c r="C50" s="2655" t="s">
        <v>175</v>
      </c>
      <c r="D50" s="2656"/>
      <c r="E50" s="1156"/>
      <c r="F50" s="2561" t="s">
        <v>530</v>
      </c>
      <c r="G50" s="2562"/>
      <c r="H50" s="1139"/>
      <c r="I50" s="1139"/>
      <c r="J50" s="1214"/>
      <c r="K50" s="1215"/>
      <c r="L50" s="2484"/>
      <c r="M50" s="2484"/>
      <c r="N50" s="2591"/>
      <c r="O50" s="2592"/>
      <c r="P50" s="2592"/>
      <c r="Q50" s="2593"/>
      <c r="R50" s="2492"/>
      <c r="S50" s="2492"/>
      <c r="T50" s="2591"/>
      <c r="U50" s="2593"/>
      <c r="V50" s="2591"/>
      <c r="W50" s="2592"/>
      <c r="X50" s="2592"/>
      <c r="Y50" s="2592"/>
      <c r="Z50" s="2593"/>
      <c r="AA50" s="2561"/>
      <c r="AB50" s="2562"/>
      <c r="AC50" s="1146"/>
      <c r="AD50" s="1146"/>
      <c r="AE50" s="1206"/>
      <c r="AF50" s="1206"/>
      <c r="AG50" s="2493"/>
      <c r="AH50" s="2493"/>
      <c r="AI50" s="1191"/>
      <c r="AJ50" s="2671"/>
      <c r="AK50" s="2672"/>
      <c r="AL50" s="2760" t="s">
        <v>528</v>
      </c>
      <c r="AM50" s="2477"/>
      <c r="AN50" s="2761"/>
      <c r="AO50" s="1013"/>
    </row>
    <row r="51" spans="2:47" ht="25.5" customHeight="1" x14ac:dyDescent="0.15">
      <c r="B51" s="2654"/>
      <c r="C51" s="2657"/>
      <c r="D51" s="2658"/>
      <c r="E51" s="1159"/>
      <c r="F51" s="2563"/>
      <c r="G51" s="2564"/>
      <c r="H51" s="1146"/>
      <c r="I51" s="1146"/>
      <c r="J51" s="1216"/>
      <c r="K51" s="1216"/>
      <c r="L51" s="2565"/>
      <c r="M51" s="2567"/>
      <c r="N51" s="2565"/>
      <c r="O51" s="2566"/>
      <c r="P51" s="2566"/>
      <c r="Q51" s="2567"/>
      <c r="R51" s="2607"/>
      <c r="S51" s="2607"/>
      <c r="T51" s="2565"/>
      <c r="U51" s="2567"/>
      <c r="V51" s="2565"/>
      <c r="W51" s="2566"/>
      <c r="X51" s="2566"/>
      <c r="Y51" s="2566"/>
      <c r="Z51" s="2567"/>
      <c r="AA51" s="2563"/>
      <c r="AB51" s="2564"/>
      <c r="AC51" s="1141"/>
      <c r="AD51" s="1142"/>
      <c r="AE51" s="1146"/>
      <c r="AF51" s="1146"/>
      <c r="AG51" s="2608"/>
      <c r="AH51" s="2609"/>
      <c r="AI51" s="1192"/>
      <c r="AJ51" s="2673"/>
      <c r="AK51" s="2674"/>
      <c r="AL51" s="2762"/>
      <c r="AM51" s="2763"/>
      <c r="AN51" s="2764"/>
      <c r="AO51" s="1023"/>
      <c r="AP51" s="113"/>
      <c r="AQ51" s="113"/>
      <c r="AR51" s="113"/>
      <c r="AS51" s="113"/>
      <c r="AT51" s="113"/>
    </row>
    <row r="52" spans="2:47" ht="22.5" customHeight="1" x14ac:dyDescent="0.15">
      <c r="B52" s="2770" t="s">
        <v>651</v>
      </c>
      <c r="C52" s="2770"/>
      <c r="D52" s="2770"/>
      <c r="E52" s="2770"/>
      <c r="F52" s="2770"/>
      <c r="G52" s="2770"/>
      <c r="H52" s="2770"/>
      <c r="I52" s="2770"/>
      <c r="J52" s="2770"/>
      <c r="K52" s="2770"/>
      <c r="L52" s="2770"/>
      <c r="M52" s="2770"/>
      <c r="N52" s="2770"/>
      <c r="O52" s="2770"/>
      <c r="P52" s="2770"/>
      <c r="Q52" s="2770"/>
      <c r="R52" s="2770"/>
      <c r="S52" s="2770"/>
      <c r="T52" s="2770"/>
      <c r="U52" s="2770"/>
      <c r="V52" s="2770"/>
      <c r="W52" s="2770"/>
      <c r="X52" s="2770"/>
      <c r="Y52" s="2770"/>
      <c r="Z52" s="2770"/>
      <c r="AA52" s="2770"/>
      <c r="AB52" s="2770"/>
      <c r="AC52" s="2770"/>
      <c r="AD52" s="2770"/>
      <c r="AE52" s="2770"/>
      <c r="AF52" s="2770"/>
      <c r="AG52" s="2770"/>
      <c r="AH52" s="2770"/>
      <c r="AI52" s="2770"/>
      <c r="AJ52" s="2770"/>
      <c r="AK52" s="2770"/>
      <c r="AL52" s="2770"/>
      <c r="AM52" s="2770"/>
      <c r="AN52" s="2770"/>
      <c r="AO52" s="1022"/>
      <c r="AP52" s="1022"/>
      <c r="AQ52" s="1022"/>
      <c r="AR52" s="1022"/>
      <c r="AS52" s="1022"/>
      <c r="AT52" s="1022"/>
      <c r="AU52" s="576"/>
    </row>
    <row r="53" spans="2:47" ht="33.75" customHeight="1" x14ac:dyDescent="0.15"/>
    <row r="54" spans="2:47" ht="40.5" customHeight="1" x14ac:dyDescent="0.25">
      <c r="B54" s="2520"/>
      <c r="C54" s="2520"/>
      <c r="D54" s="2520"/>
      <c r="E54" s="2520"/>
      <c r="F54" s="2520"/>
      <c r="G54" s="2520"/>
      <c r="H54" s="2520"/>
      <c r="I54" s="2520"/>
      <c r="J54" s="2520"/>
      <c r="K54" s="2520"/>
      <c r="L54" s="2520"/>
      <c r="M54" s="2520"/>
      <c r="N54" s="2520"/>
      <c r="O54" s="2520"/>
      <c r="P54" s="2520"/>
      <c r="Q54" s="2520"/>
      <c r="R54" s="2520"/>
      <c r="S54" s="2520"/>
      <c r="T54" s="2520"/>
      <c r="U54" s="2520"/>
      <c r="V54" s="2520"/>
      <c r="W54" s="2520"/>
      <c r="X54" s="2520"/>
      <c r="Y54" s="2520"/>
      <c r="Z54" s="2520"/>
      <c r="AA54" s="2520"/>
      <c r="AB54" s="2521"/>
      <c r="AC54" s="2521"/>
      <c r="AD54" s="2521"/>
      <c r="AE54" s="2521"/>
      <c r="AF54" s="2521"/>
      <c r="AG54" s="2521"/>
      <c r="AH54" s="2521"/>
      <c r="AI54" s="2521"/>
      <c r="AJ54" s="2521"/>
      <c r="AK54" s="2521"/>
      <c r="AL54" s="1324"/>
      <c r="AM54" s="1274"/>
      <c r="AN54" s="1325"/>
    </row>
    <row r="55" spans="2:47" ht="24.75" customHeight="1" x14ac:dyDescent="0.2">
      <c r="B55" s="2513"/>
      <c r="C55" s="2513"/>
      <c r="D55" s="2510"/>
      <c r="E55" s="2510"/>
      <c r="F55" s="2510"/>
      <c r="G55" s="2510"/>
      <c r="H55" s="2510"/>
      <c r="I55" s="2522"/>
      <c r="J55" s="2522"/>
      <c r="K55" s="2523"/>
      <c r="L55" s="2523"/>
      <c r="M55" s="2523"/>
      <c r="N55" s="2524"/>
      <c r="O55" s="2524"/>
      <c r="P55" s="2524"/>
      <c r="Q55" s="2510"/>
      <c r="R55" s="2510"/>
      <c r="S55" s="2525"/>
      <c r="T55" s="2509"/>
      <c r="U55" s="2525"/>
      <c r="V55" s="2509"/>
      <c r="W55" s="2525"/>
      <c r="X55" s="2509"/>
      <c r="Y55" s="2509"/>
      <c r="Z55" s="2509"/>
      <c r="AA55" s="2526"/>
      <c r="AB55" s="2509"/>
      <c r="AC55" s="2527"/>
      <c r="AD55" s="2509"/>
      <c r="AE55" s="2509"/>
      <c r="AF55" s="2509"/>
      <c r="AG55" s="2509"/>
      <c r="AH55" s="2509"/>
      <c r="AI55" s="2509"/>
      <c r="AJ55" s="2509"/>
      <c r="AK55" s="2510"/>
      <c r="AL55" s="2510"/>
      <c r="AM55" s="1322"/>
      <c r="AN55" s="1322"/>
    </row>
    <row r="56" spans="2:47" ht="23.25" customHeight="1" x14ac:dyDescent="0.15">
      <c r="B56" s="2513"/>
      <c r="C56" s="2513"/>
      <c r="D56" s="2510"/>
      <c r="E56" s="2510"/>
      <c r="F56" s="2510"/>
      <c r="G56" s="2510"/>
      <c r="H56" s="2510"/>
      <c r="I56" s="2511"/>
      <c r="J56" s="2511"/>
      <c r="K56" s="2523"/>
      <c r="L56" s="2523"/>
      <c r="M56" s="2523"/>
      <c r="N56" s="2524"/>
      <c r="O56" s="2524"/>
      <c r="P56" s="2524"/>
      <c r="Q56" s="2510"/>
      <c r="R56" s="2510"/>
      <c r="S56" s="2525"/>
      <c r="T56" s="2509"/>
      <c r="U56" s="2525"/>
      <c r="V56" s="2509"/>
      <c r="W56" s="2525"/>
      <c r="X56" s="2509"/>
      <c r="Y56" s="2509"/>
      <c r="Z56" s="2509"/>
      <c r="AA56" s="2526"/>
      <c r="AB56" s="2509"/>
      <c r="AC56" s="2527"/>
      <c r="AD56" s="2509"/>
      <c r="AE56" s="2509"/>
      <c r="AF56" s="2509"/>
      <c r="AG56" s="2509"/>
      <c r="AH56" s="2509"/>
      <c r="AI56" s="2509"/>
      <c r="AJ56" s="2509"/>
      <c r="AK56" s="2510"/>
      <c r="AL56" s="2510"/>
      <c r="AM56" s="1322"/>
      <c r="AN56" s="1322"/>
    </row>
    <row r="57" spans="2:47" ht="19.5" customHeight="1" x14ac:dyDescent="0.15">
      <c r="B57" s="2512"/>
      <c r="C57" s="2513"/>
      <c r="D57" s="2510"/>
      <c r="E57" s="2510"/>
      <c r="F57" s="2510"/>
      <c r="G57" s="2510"/>
      <c r="H57" s="2510"/>
      <c r="I57" s="2510"/>
      <c r="J57" s="2510"/>
      <c r="K57" s="2510"/>
      <c r="L57" s="2510"/>
      <c r="M57" s="2510"/>
      <c r="N57" s="2510"/>
      <c r="O57" s="2510"/>
      <c r="P57" s="2510"/>
      <c r="Q57" s="2510"/>
      <c r="R57" s="2514"/>
      <c r="S57" s="2514"/>
      <c r="T57" s="2514"/>
      <c r="U57" s="2514"/>
      <c r="V57" s="2514"/>
      <c r="W57" s="2514"/>
      <c r="X57" s="2514"/>
      <c r="Y57" s="2514"/>
      <c r="Z57" s="2514"/>
      <c r="AA57" s="2514"/>
      <c r="AB57" s="2514"/>
      <c r="AC57" s="2514"/>
      <c r="AD57" s="2514"/>
      <c r="AE57" s="2514"/>
      <c r="AF57" s="2514"/>
      <c r="AG57" s="2514"/>
      <c r="AH57" s="2514"/>
      <c r="AI57" s="2514"/>
      <c r="AJ57" s="2514"/>
      <c r="AK57" s="2514"/>
      <c r="AL57" s="2515"/>
      <c r="AM57" s="2515"/>
      <c r="AN57" s="2515"/>
    </row>
    <row r="58" spans="2:47" ht="5.25" customHeight="1" x14ac:dyDescent="0.15">
      <c r="B58" s="2513"/>
      <c r="C58" s="2513"/>
      <c r="D58" s="2510"/>
      <c r="E58" s="2510"/>
      <c r="F58" s="2510"/>
      <c r="G58" s="2510"/>
      <c r="H58" s="2510"/>
      <c r="I58" s="2510"/>
      <c r="J58" s="2510"/>
      <c r="K58" s="2510"/>
      <c r="L58" s="2510"/>
      <c r="M58" s="2510"/>
      <c r="N58" s="2510"/>
      <c r="O58" s="2510"/>
      <c r="P58" s="2510"/>
      <c r="Q58" s="2510"/>
      <c r="R58" s="2516"/>
      <c r="S58" s="2516"/>
      <c r="T58" s="2516"/>
      <c r="U58" s="2510"/>
      <c r="V58" s="2517"/>
      <c r="W58" s="2517"/>
      <c r="X58" s="2510"/>
      <c r="Y58" s="2517"/>
      <c r="Z58" s="2517"/>
      <c r="AA58" s="2517"/>
      <c r="AB58" s="2518"/>
      <c r="AC58" s="2518"/>
      <c r="AD58" s="2518"/>
      <c r="AE58" s="2510"/>
      <c r="AF58" s="2519"/>
      <c r="AG58" s="2519"/>
      <c r="AH58" s="2510"/>
      <c r="AI58" s="2519"/>
      <c r="AJ58" s="2519"/>
      <c r="AK58" s="2519"/>
      <c r="AL58" s="2515"/>
      <c r="AM58" s="2515"/>
      <c r="AN58" s="2515"/>
    </row>
    <row r="59" spans="2:47" ht="19.5" customHeight="1" x14ac:dyDescent="0.15">
      <c r="B59" s="2513"/>
      <c r="C59" s="2513"/>
      <c r="D59" s="2510"/>
      <c r="E59" s="2510"/>
      <c r="F59" s="2510"/>
      <c r="G59" s="2510"/>
      <c r="H59" s="2510"/>
      <c r="I59" s="2510"/>
      <c r="J59" s="2510"/>
      <c r="K59" s="2510"/>
      <c r="L59" s="2510"/>
      <c r="M59" s="2510"/>
      <c r="N59" s="2510"/>
      <c r="O59" s="2510"/>
      <c r="P59" s="2510"/>
      <c r="Q59" s="2510"/>
      <c r="R59" s="2516"/>
      <c r="S59" s="2516"/>
      <c r="T59" s="2516"/>
      <c r="U59" s="2510"/>
      <c r="V59" s="2517"/>
      <c r="W59" s="2517"/>
      <c r="X59" s="2510"/>
      <c r="Y59" s="2517"/>
      <c r="Z59" s="2517"/>
      <c r="AA59" s="2517"/>
      <c r="AB59" s="2518"/>
      <c r="AC59" s="2518"/>
      <c r="AD59" s="2518"/>
      <c r="AE59" s="2510"/>
      <c r="AF59" s="2519"/>
      <c r="AG59" s="2519"/>
      <c r="AH59" s="2510"/>
      <c r="AI59" s="2519"/>
      <c r="AJ59" s="2519"/>
      <c r="AK59" s="2519"/>
      <c r="AL59" s="1326"/>
      <c r="AM59" s="2505"/>
      <c r="AN59" s="2505"/>
    </row>
    <row r="60" spans="2:47" ht="19.5" customHeight="1" x14ac:dyDescent="0.15">
      <c r="B60" s="2513"/>
      <c r="C60" s="2513"/>
      <c r="D60" s="2510"/>
      <c r="E60" s="2510"/>
      <c r="F60" s="2510"/>
      <c r="G60" s="2510"/>
      <c r="H60" s="2510"/>
      <c r="I60" s="2510"/>
      <c r="J60" s="2510"/>
      <c r="K60" s="2510"/>
      <c r="L60" s="2510"/>
      <c r="M60" s="2510"/>
      <c r="N60" s="2510"/>
      <c r="O60" s="2510"/>
      <c r="P60" s="2510"/>
      <c r="Q60" s="2510"/>
      <c r="R60" s="2516"/>
      <c r="S60" s="2516"/>
      <c r="T60" s="2516"/>
      <c r="U60" s="2510"/>
      <c r="V60" s="2517"/>
      <c r="W60" s="2517"/>
      <c r="X60" s="2510"/>
      <c r="Y60" s="2517"/>
      <c r="Z60" s="2517"/>
      <c r="AA60" s="2517"/>
      <c r="AB60" s="2518"/>
      <c r="AC60" s="2518"/>
      <c r="AD60" s="2518"/>
      <c r="AE60" s="2510"/>
      <c r="AF60" s="2519"/>
      <c r="AG60" s="2519"/>
      <c r="AH60" s="2510"/>
      <c r="AI60" s="2519"/>
      <c r="AJ60" s="2519"/>
      <c r="AK60" s="2519"/>
      <c r="AL60" s="1326"/>
      <c r="AM60" s="2505"/>
      <c r="AN60" s="2505"/>
    </row>
    <row r="61" spans="2:47" ht="21" customHeight="1" x14ac:dyDescent="0.15">
      <c r="B61" s="2506"/>
      <c r="C61" s="2506"/>
      <c r="D61" s="2506"/>
      <c r="E61" s="1327"/>
      <c r="F61" s="1327"/>
      <c r="G61" s="1327"/>
      <c r="H61" s="1327"/>
      <c r="I61" s="1328"/>
      <c r="J61" s="1328"/>
      <c r="K61" s="1328"/>
      <c r="L61" s="1328"/>
      <c r="M61" s="1328"/>
      <c r="N61" s="1328"/>
      <c r="O61" s="1328"/>
      <c r="P61" s="1328"/>
      <c r="Q61" s="1328"/>
      <c r="R61" s="1328"/>
      <c r="S61" s="1328"/>
      <c r="T61" s="1328"/>
      <c r="U61" s="1328"/>
      <c r="V61" s="1315"/>
      <c r="W61" s="1315"/>
      <c r="X61" s="1315"/>
      <c r="Y61" s="1327"/>
      <c r="Z61" s="1327"/>
      <c r="AA61" s="1327"/>
      <c r="AB61" s="1327"/>
      <c r="AC61" s="1327"/>
      <c r="AD61" s="1327"/>
      <c r="AE61" s="1327"/>
      <c r="AF61" s="1327"/>
      <c r="AG61" s="1327"/>
      <c r="AH61" s="1327"/>
      <c r="AI61" s="1327"/>
      <c r="AJ61" s="2507"/>
      <c r="AK61" s="2507"/>
      <c r="AL61" s="2507"/>
      <c r="AM61" s="2507"/>
      <c r="AN61" s="1327"/>
    </row>
    <row r="62" spans="2:47" ht="21.75" customHeight="1" x14ac:dyDescent="0.15">
      <c r="B62" s="2508"/>
      <c r="C62" s="2508"/>
      <c r="D62" s="2508"/>
      <c r="E62" s="2496"/>
      <c r="F62" s="2496"/>
      <c r="G62" s="2496"/>
      <c r="H62" s="2496"/>
      <c r="I62" s="2496"/>
      <c r="J62" s="2496"/>
      <c r="K62" s="2496"/>
      <c r="L62" s="2496"/>
      <c r="M62" s="2496"/>
      <c r="N62" s="2496"/>
      <c r="O62" s="2496"/>
      <c r="P62" s="2496"/>
      <c r="Q62" s="2496"/>
      <c r="R62" s="2496"/>
      <c r="S62" s="2496"/>
      <c r="T62" s="2496"/>
      <c r="U62" s="2496"/>
      <c r="V62" s="2496"/>
      <c r="W62" s="2496"/>
      <c r="X62" s="2496"/>
      <c r="Y62" s="2496"/>
      <c r="Z62" s="2496"/>
      <c r="AA62" s="2496"/>
      <c r="AB62" s="2496"/>
      <c r="AC62" s="2496"/>
      <c r="AD62" s="2496"/>
      <c r="AE62" s="2496"/>
      <c r="AF62" s="2496"/>
      <c r="AG62" s="2496"/>
      <c r="AH62" s="2496"/>
      <c r="AI62" s="2496"/>
      <c r="AJ62" s="2496"/>
      <c r="AK62" s="1315"/>
      <c r="AL62" s="2497"/>
      <c r="AM62" s="2497"/>
      <c r="AN62" s="2497"/>
    </row>
    <row r="63" spans="2:47" ht="12.75" customHeight="1" x14ac:dyDescent="0.15">
      <c r="B63" s="2508"/>
      <c r="C63" s="2508"/>
      <c r="D63" s="2508"/>
      <c r="E63" s="1327"/>
      <c r="F63" s="1327"/>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c r="AG63" s="1327"/>
      <c r="AH63" s="1327"/>
      <c r="AI63" s="1327"/>
      <c r="AJ63" s="1327"/>
      <c r="AK63" s="1327"/>
      <c r="AL63" s="2497"/>
      <c r="AM63" s="2497"/>
      <c r="AN63" s="2497"/>
    </row>
    <row r="64" spans="2:47" ht="26.25" customHeight="1" x14ac:dyDescent="0.15">
      <c r="B64" s="2498"/>
      <c r="C64" s="2499"/>
      <c r="D64" s="2499"/>
      <c r="E64" s="1146"/>
      <c r="F64" s="2478"/>
      <c r="G64" s="2478"/>
      <c r="H64" s="2482"/>
      <c r="I64" s="2482"/>
      <c r="J64" s="2483"/>
      <c r="K64" s="2483"/>
      <c r="L64" s="2484"/>
      <c r="M64" s="2484"/>
      <c r="N64" s="2495"/>
      <c r="O64" s="2495"/>
      <c r="P64" s="2495"/>
      <c r="Q64" s="2495"/>
      <c r="R64" s="2478"/>
      <c r="S64" s="2478"/>
      <c r="T64" s="2478"/>
      <c r="U64" s="2478"/>
      <c r="V64" s="2495"/>
      <c r="W64" s="2495"/>
      <c r="X64" s="2495"/>
      <c r="Y64" s="2495"/>
      <c r="Z64" s="2495"/>
      <c r="AA64" s="2484"/>
      <c r="AB64" s="2484"/>
      <c r="AC64" s="2482"/>
      <c r="AD64" s="2482"/>
      <c r="AE64" s="2478"/>
      <c r="AF64" s="2478"/>
      <c r="AG64" s="2478"/>
      <c r="AH64" s="2478"/>
      <c r="AI64" s="2479"/>
      <c r="AJ64" s="2503"/>
      <c r="AK64" s="2503"/>
      <c r="AL64" s="1329"/>
      <c r="AM64" s="1330"/>
      <c r="AN64" s="1330"/>
    </row>
    <row r="65" spans="2:40" ht="26.25" customHeight="1" x14ac:dyDescent="0.15">
      <c r="B65" s="2498"/>
      <c r="C65" s="2499"/>
      <c r="D65" s="2499"/>
      <c r="E65" s="1146"/>
      <c r="F65" s="2478"/>
      <c r="G65" s="2478"/>
      <c r="H65" s="2482"/>
      <c r="I65" s="2482"/>
      <c r="J65" s="2483"/>
      <c r="K65" s="2483"/>
      <c r="L65" s="2484"/>
      <c r="M65" s="2484"/>
      <c r="N65" s="2495"/>
      <c r="O65" s="2495"/>
      <c r="P65" s="2495"/>
      <c r="Q65" s="2495"/>
      <c r="R65" s="2478"/>
      <c r="S65" s="2478"/>
      <c r="T65" s="2478"/>
      <c r="U65" s="2478"/>
      <c r="V65" s="2495"/>
      <c r="W65" s="2495"/>
      <c r="X65" s="2495"/>
      <c r="Y65" s="2495"/>
      <c r="Z65" s="2495"/>
      <c r="AA65" s="2484"/>
      <c r="AB65" s="2484"/>
      <c r="AC65" s="2482"/>
      <c r="AD65" s="2482"/>
      <c r="AE65" s="2478"/>
      <c r="AF65" s="2478"/>
      <c r="AG65" s="2478"/>
      <c r="AH65" s="2478"/>
      <c r="AI65" s="2479"/>
      <c r="AJ65" s="2503"/>
      <c r="AK65" s="2503"/>
      <c r="AL65" s="1330"/>
      <c r="AM65" s="1331"/>
      <c r="AN65" s="1331"/>
    </row>
    <row r="66" spans="2:40" ht="26.25" customHeight="1" x14ac:dyDescent="0.15">
      <c r="B66" s="2498"/>
      <c r="C66" s="2499"/>
      <c r="D66" s="2499"/>
      <c r="E66" s="1146"/>
      <c r="F66" s="2478"/>
      <c r="G66" s="2478"/>
      <c r="H66" s="2482"/>
      <c r="I66" s="2482"/>
      <c r="J66" s="2483"/>
      <c r="K66" s="2483"/>
      <c r="L66" s="2484"/>
      <c r="M66" s="2484"/>
      <c r="N66" s="2495"/>
      <c r="O66" s="2495"/>
      <c r="P66" s="2495"/>
      <c r="Q66" s="2495"/>
      <c r="R66" s="2478"/>
      <c r="S66" s="2478"/>
      <c r="T66" s="2478"/>
      <c r="U66" s="2478"/>
      <c r="V66" s="2495"/>
      <c r="W66" s="2495"/>
      <c r="X66" s="2495"/>
      <c r="Y66" s="2495"/>
      <c r="Z66" s="2495"/>
      <c r="AA66" s="2484"/>
      <c r="AB66" s="2484"/>
      <c r="AC66" s="2482"/>
      <c r="AD66" s="2482"/>
      <c r="AE66" s="2478"/>
      <c r="AF66" s="2478"/>
      <c r="AG66" s="2478"/>
      <c r="AH66" s="2478"/>
      <c r="AI66" s="2479"/>
      <c r="AJ66" s="2503"/>
      <c r="AK66" s="2503"/>
      <c r="AL66" s="1330"/>
      <c r="AM66" s="1331"/>
      <c r="AN66" s="1331"/>
    </row>
    <row r="67" spans="2:40" ht="26.25" customHeight="1" x14ac:dyDescent="0.15">
      <c r="B67" s="2498"/>
      <c r="C67" s="2499"/>
      <c r="D67" s="2499"/>
      <c r="E67" s="1146"/>
      <c r="F67" s="2478"/>
      <c r="G67" s="2478"/>
      <c r="H67" s="2482"/>
      <c r="I67" s="2482"/>
      <c r="J67" s="2483"/>
      <c r="K67" s="2483"/>
      <c r="L67" s="2484"/>
      <c r="M67" s="2484"/>
      <c r="N67" s="2495"/>
      <c r="O67" s="2495"/>
      <c r="P67" s="2495"/>
      <c r="Q67" s="2495"/>
      <c r="R67" s="2478"/>
      <c r="S67" s="2478"/>
      <c r="T67" s="2478"/>
      <c r="U67" s="2478"/>
      <c r="V67" s="2495"/>
      <c r="W67" s="2495"/>
      <c r="X67" s="2495"/>
      <c r="Y67" s="2495"/>
      <c r="Z67" s="2495"/>
      <c r="AA67" s="2484"/>
      <c r="AB67" s="2484"/>
      <c r="AC67" s="2482"/>
      <c r="AD67" s="2482"/>
      <c r="AE67" s="2478"/>
      <c r="AF67" s="2478"/>
      <c r="AG67" s="2478"/>
      <c r="AH67" s="2478"/>
      <c r="AI67" s="2479"/>
      <c r="AJ67" s="2503"/>
      <c r="AK67" s="2503"/>
      <c r="AL67" s="1330"/>
      <c r="AM67" s="1331"/>
      <c r="AN67" s="1331"/>
    </row>
    <row r="68" spans="2:40" ht="26.25" customHeight="1" x14ac:dyDescent="0.15">
      <c r="B68" s="2498"/>
      <c r="C68" s="2499"/>
      <c r="D68" s="2499"/>
      <c r="E68" s="1146"/>
      <c r="F68" s="2478"/>
      <c r="G68" s="2478"/>
      <c r="H68" s="2482"/>
      <c r="I68" s="2482"/>
      <c r="J68" s="2483"/>
      <c r="K68" s="2483"/>
      <c r="L68" s="2484"/>
      <c r="M68" s="2484"/>
      <c r="N68" s="2495"/>
      <c r="O68" s="2495"/>
      <c r="P68" s="2495"/>
      <c r="Q68" s="2495"/>
      <c r="R68" s="2478"/>
      <c r="S68" s="2478"/>
      <c r="T68" s="2478"/>
      <c r="U68" s="2478"/>
      <c r="V68" s="2495"/>
      <c r="W68" s="2495"/>
      <c r="X68" s="2495"/>
      <c r="Y68" s="2495"/>
      <c r="Z68" s="2495"/>
      <c r="AA68" s="2484"/>
      <c r="AB68" s="2484"/>
      <c r="AC68" s="2482"/>
      <c r="AD68" s="2482"/>
      <c r="AE68" s="2478"/>
      <c r="AF68" s="2478"/>
      <c r="AG68" s="2478"/>
      <c r="AH68" s="2478"/>
      <c r="AI68" s="2479"/>
      <c r="AJ68" s="2503"/>
      <c r="AK68" s="2503"/>
      <c r="AL68" s="2496"/>
      <c r="AM68" s="2496"/>
      <c r="AN68" s="2496"/>
    </row>
    <row r="69" spans="2:40" ht="26.25" customHeight="1" x14ac:dyDescent="0.15">
      <c r="B69" s="1332"/>
      <c r="C69" s="2504"/>
      <c r="D69" s="2504"/>
      <c r="E69" s="1146"/>
      <c r="F69" s="2484"/>
      <c r="G69" s="2484"/>
      <c r="H69" s="2485"/>
      <c r="I69" s="2485"/>
      <c r="J69" s="2483"/>
      <c r="K69" s="2483"/>
      <c r="L69" s="2484"/>
      <c r="M69" s="2484"/>
      <c r="N69" s="2494"/>
      <c r="O69" s="2494"/>
      <c r="P69" s="2494"/>
      <c r="Q69" s="2494"/>
      <c r="R69" s="2484"/>
      <c r="S69" s="2484"/>
      <c r="T69" s="2484"/>
      <c r="U69" s="2484"/>
      <c r="V69" s="2495"/>
      <c r="W69" s="2495"/>
      <c r="X69" s="2495"/>
      <c r="Y69" s="2495"/>
      <c r="Z69" s="2495"/>
      <c r="AA69" s="2484"/>
      <c r="AB69" s="2484"/>
      <c r="AC69" s="2485"/>
      <c r="AD69" s="2485"/>
      <c r="AE69" s="2484"/>
      <c r="AF69" s="2484"/>
      <c r="AG69" s="2484"/>
      <c r="AH69" s="2484"/>
      <c r="AI69" s="2489"/>
      <c r="AJ69" s="2503"/>
      <c r="AK69" s="2503"/>
      <c r="AL69" s="2496"/>
      <c r="AM69" s="2496"/>
      <c r="AN69" s="2496"/>
    </row>
    <row r="70" spans="2:40" ht="26.25" customHeight="1" x14ac:dyDescent="0.15">
      <c r="B70" s="1333"/>
      <c r="C70" s="2504"/>
      <c r="D70" s="2504"/>
      <c r="E70" s="1146"/>
      <c r="F70" s="2484"/>
      <c r="G70" s="2484"/>
      <c r="H70" s="2485"/>
      <c r="I70" s="2485"/>
      <c r="J70" s="2483"/>
      <c r="K70" s="2483"/>
      <c r="L70" s="2484"/>
      <c r="M70" s="2484"/>
      <c r="N70" s="2494"/>
      <c r="O70" s="2494"/>
      <c r="P70" s="2494"/>
      <c r="Q70" s="2494"/>
      <c r="R70" s="2484"/>
      <c r="S70" s="2484"/>
      <c r="T70" s="2484"/>
      <c r="U70" s="2484"/>
      <c r="V70" s="2495"/>
      <c r="W70" s="2495"/>
      <c r="X70" s="2495"/>
      <c r="Y70" s="2495"/>
      <c r="Z70" s="2495"/>
      <c r="AA70" s="2484"/>
      <c r="AB70" s="2484"/>
      <c r="AC70" s="2485"/>
      <c r="AD70" s="2485"/>
      <c r="AE70" s="2484"/>
      <c r="AF70" s="2484"/>
      <c r="AG70" s="2484"/>
      <c r="AH70" s="2484"/>
      <c r="AI70" s="2489"/>
      <c r="AJ70" s="2503"/>
      <c r="AK70" s="2503"/>
      <c r="AL70" s="2496"/>
      <c r="AM70" s="2496"/>
      <c r="AN70" s="2496"/>
    </row>
    <row r="71" spans="2:40" ht="26.25" customHeight="1" x14ac:dyDescent="0.15">
      <c r="B71" s="1334"/>
      <c r="C71" s="2504"/>
      <c r="D71" s="2504"/>
      <c r="E71" s="1146"/>
      <c r="F71" s="2484"/>
      <c r="G71" s="2484"/>
      <c r="H71" s="2485"/>
      <c r="I71" s="2485"/>
      <c r="J71" s="2483"/>
      <c r="K71" s="2483"/>
      <c r="L71" s="2484"/>
      <c r="M71" s="2484"/>
      <c r="N71" s="2494"/>
      <c r="O71" s="2494"/>
      <c r="P71" s="2494"/>
      <c r="Q71" s="2494"/>
      <c r="R71" s="2484"/>
      <c r="S71" s="2484"/>
      <c r="T71" s="2484"/>
      <c r="U71" s="2484"/>
      <c r="V71" s="2495"/>
      <c r="W71" s="2495"/>
      <c r="X71" s="2495"/>
      <c r="Y71" s="2495"/>
      <c r="Z71" s="2495"/>
      <c r="AA71" s="2484"/>
      <c r="AB71" s="2484"/>
      <c r="AC71" s="2485"/>
      <c r="AD71" s="2485"/>
      <c r="AE71" s="2484"/>
      <c r="AF71" s="2484"/>
      <c r="AG71" s="2484"/>
      <c r="AH71" s="2484"/>
      <c r="AI71" s="2489"/>
      <c r="AJ71" s="2503"/>
      <c r="AK71" s="2503"/>
      <c r="AL71" s="2496"/>
      <c r="AM71" s="2496"/>
      <c r="AN71" s="2496"/>
    </row>
    <row r="72" spans="2:40" ht="26.25" customHeight="1" x14ac:dyDescent="0.15">
      <c r="B72" s="2490"/>
      <c r="C72" s="2491"/>
      <c r="D72" s="2491"/>
      <c r="E72" s="1146"/>
      <c r="F72" s="2486"/>
      <c r="G72" s="2486"/>
      <c r="H72" s="1146"/>
      <c r="I72" s="1146"/>
      <c r="J72" s="1335"/>
      <c r="K72" s="1335"/>
      <c r="L72" s="2484"/>
      <c r="M72" s="2484"/>
      <c r="N72" s="2478"/>
      <c r="O72" s="2478"/>
      <c r="P72" s="2478"/>
      <c r="Q72" s="2478"/>
      <c r="R72" s="2492"/>
      <c r="S72" s="2492"/>
      <c r="T72" s="2478"/>
      <c r="U72" s="2478"/>
      <c r="V72" s="2478"/>
      <c r="W72" s="2478"/>
      <c r="X72" s="2478"/>
      <c r="Y72" s="2478"/>
      <c r="Z72" s="2478"/>
      <c r="AA72" s="2478"/>
      <c r="AB72" s="2478"/>
      <c r="AC72" s="1146"/>
      <c r="AD72" s="1146"/>
      <c r="AE72" s="2478"/>
      <c r="AF72" s="2478"/>
      <c r="AG72" s="2489"/>
      <c r="AH72" s="2489"/>
      <c r="AI72" s="1336"/>
      <c r="AJ72" s="2503"/>
      <c r="AK72" s="2503"/>
      <c r="AL72" s="2477"/>
      <c r="AM72" s="2477"/>
      <c r="AN72" s="2477"/>
    </row>
    <row r="73" spans="2:40" ht="26.25" customHeight="1" x14ac:dyDescent="0.15">
      <c r="B73" s="2490"/>
      <c r="C73" s="2491"/>
      <c r="D73" s="2491"/>
      <c r="E73" s="1146"/>
      <c r="F73" s="2486"/>
      <c r="G73" s="2486"/>
      <c r="H73" s="1146"/>
      <c r="I73" s="1146"/>
      <c r="J73" s="1335"/>
      <c r="K73" s="1335"/>
      <c r="L73" s="2478"/>
      <c r="M73" s="2478"/>
      <c r="N73" s="2478"/>
      <c r="O73" s="2478"/>
      <c r="P73" s="2478"/>
      <c r="Q73" s="2478"/>
      <c r="R73" s="2492"/>
      <c r="S73" s="2492"/>
      <c r="T73" s="2478"/>
      <c r="U73" s="2478"/>
      <c r="V73" s="2478"/>
      <c r="W73" s="2478"/>
      <c r="X73" s="2478"/>
      <c r="Y73" s="2478"/>
      <c r="Z73" s="2478"/>
      <c r="AA73" s="2478"/>
      <c r="AB73" s="2478"/>
      <c r="AC73" s="1146"/>
      <c r="AD73" s="1146"/>
      <c r="AE73" s="2478"/>
      <c r="AF73" s="2478"/>
      <c r="AG73" s="2486"/>
      <c r="AH73" s="2486"/>
      <c r="AI73" s="1337"/>
      <c r="AJ73" s="2503"/>
      <c r="AK73" s="2503"/>
      <c r="AL73" s="2477"/>
      <c r="AM73" s="2477"/>
      <c r="AN73" s="2477"/>
    </row>
    <row r="74" spans="2:40" ht="20.25" customHeight="1" x14ac:dyDescent="0.15">
      <c r="B74" s="2496"/>
      <c r="C74" s="2496"/>
      <c r="D74" s="2496"/>
      <c r="E74" s="2496"/>
      <c r="F74" s="2496"/>
      <c r="G74" s="2496"/>
      <c r="H74" s="2496"/>
      <c r="I74" s="2496"/>
      <c r="J74" s="2496"/>
      <c r="K74" s="2496"/>
      <c r="L74" s="2496"/>
      <c r="M74" s="2496"/>
      <c r="N74" s="2496"/>
      <c r="O74" s="2496"/>
      <c r="P74" s="2496"/>
      <c r="Q74" s="2496"/>
      <c r="R74" s="2496"/>
      <c r="S74" s="2496"/>
      <c r="T74" s="2496"/>
      <c r="U74" s="2496"/>
      <c r="V74" s="2496"/>
      <c r="W74" s="2496"/>
      <c r="X74" s="2496"/>
      <c r="Y74" s="2496"/>
      <c r="Z74" s="2496"/>
      <c r="AA74" s="2496"/>
      <c r="AB74" s="2496"/>
      <c r="AC74" s="2496"/>
      <c r="AD74" s="2496"/>
      <c r="AE74" s="2496"/>
      <c r="AF74" s="2496"/>
      <c r="AG74" s="2496"/>
      <c r="AH74" s="2496"/>
      <c r="AI74" s="2496"/>
      <c r="AJ74" s="2496"/>
      <c r="AK74" s="1315"/>
      <c r="AL74" s="2497"/>
      <c r="AM74" s="2497"/>
      <c r="AN74" s="2497"/>
    </row>
    <row r="75" spans="2:40" ht="12.75" customHeight="1" x14ac:dyDescent="0.15">
      <c r="B75" s="2496"/>
      <c r="C75" s="2496"/>
      <c r="D75" s="2496"/>
      <c r="E75" s="1327"/>
      <c r="F75" s="1327"/>
      <c r="G75" s="1327"/>
      <c r="H75" s="1327"/>
      <c r="I75" s="1327"/>
      <c r="J75" s="1327"/>
      <c r="K75" s="1327"/>
      <c r="L75" s="1327"/>
      <c r="M75" s="1327"/>
      <c r="N75" s="1327"/>
      <c r="O75" s="1327"/>
      <c r="P75" s="1327"/>
      <c r="Q75" s="1327"/>
      <c r="R75" s="1327"/>
      <c r="S75" s="1327"/>
      <c r="T75" s="1327"/>
      <c r="U75" s="1327"/>
      <c r="V75" s="1327"/>
      <c r="W75" s="1327"/>
      <c r="X75" s="1327"/>
      <c r="Y75" s="1327"/>
      <c r="Z75" s="1327"/>
      <c r="AA75" s="1327"/>
      <c r="AB75" s="1327"/>
      <c r="AC75" s="1327"/>
      <c r="AD75" s="1327"/>
      <c r="AE75" s="1327"/>
      <c r="AF75" s="1327"/>
      <c r="AG75" s="1327"/>
      <c r="AH75" s="1327"/>
      <c r="AI75" s="1327"/>
      <c r="AJ75" s="1327"/>
      <c r="AK75" s="1327"/>
      <c r="AL75" s="2497"/>
      <c r="AM75" s="2497"/>
      <c r="AN75" s="2497"/>
    </row>
    <row r="76" spans="2:40" ht="25.5" customHeight="1" x14ac:dyDescent="0.15">
      <c r="B76" s="2498"/>
      <c r="C76" s="2499"/>
      <c r="D76" s="2499"/>
      <c r="E76" s="1146"/>
      <c r="F76" s="2478"/>
      <c r="G76" s="2478"/>
      <c r="H76" s="2482"/>
      <c r="I76" s="2482"/>
      <c r="J76" s="2483"/>
      <c r="K76" s="2483"/>
      <c r="L76" s="2484"/>
      <c r="M76" s="2484"/>
      <c r="N76" s="2495"/>
      <c r="O76" s="2495"/>
      <c r="P76" s="2495"/>
      <c r="Q76" s="2495"/>
      <c r="R76" s="2478"/>
      <c r="S76" s="2478"/>
      <c r="T76" s="2478"/>
      <c r="U76" s="2478"/>
      <c r="V76" s="2495"/>
      <c r="W76" s="2495"/>
      <c r="X76" s="2495"/>
      <c r="Y76" s="2495"/>
      <c r="Z76" s="2495"/>
      <c r="AA76" s="2484"/>
      <c r="AB76" s="2484"/>
      <c r="AC76" s="2482"/>
      <c r="AD76" s="2482"/>
      <c r="AE76" s="2478"/>
      <c r="AF76" s="2478"/>
      <c r="AG76" s="2478"/>
      <c r="AH76" s="2478"/>
      <c r="AI76" s="2479"/>
      <c r="AJ76" s="2503"/>
      <c r="AK76" s="2503"/>
      <c r="AL76" s="1329"/>
      <c r="AM76" s="1330"/>
      <c r="AN76" s="1330"/>
    </row>
    <row r="77" spans="2:40" ht="25.5" customHeight="1" x14ac:dyDescent="0.15">
      <c r="B77" s="2498"/>
      <c r="C77" s="2499"/>
      <c r="D77" s="2499"/>
      <c r="E77" s="1146"/>
      <c r="F77" s="2478"/>
      <c r="G77" s="2478"/>
      <c r="H77" s="2482"/>
      <c r="I77" s="2482"/>
      <c r="J77" s="2483"/>
      <c r="K77" s="2483"/>
      <c r="L77" s="2484"/>
      <c r="M77" s="2484"/>
      <c r="N77" s="2495"/>
      <c r="O77" s="2495"/>
      <c r="P77" s="2495"/>
      <c r="Q77" s="2495"/>
      <c r="R77" s="2478"/>
      <c r="S77" s="2478"/>
      <c r="T77" s="2478"/>
      <c r="U77" s="2478"/>
      <c r="V77" s="2495"/>
      <c r="W77" s="2495"/>
      <c r="X77" s="2495"/>
      <c r="Y77" s="2495"/>
      <c r="Z77" s="2495"/>
      <c r="AA77" s="2484"/>
      <c r="AB77" s="2484"/>
      <c r="AC77" s="2482"/>
      <c r="AD77" s="2482"/>
      <c r="AE77" s="2478"/>
      <c r="AF77" s="2478"/>
      <c r="AG77" s="2478"/>
      <c r="AH77" s="2478"/>
      <c r="AI77" s="2479"/>
      <c r="AJ77" s="2503"/>
      <c r="AK77" s="2503"/>
      <c r="AL77" s="1330"/>
      <c r="AM77" s="1331"/>
      <c r="AN77" s="1331"/>
    </row>
    <row r="78" spans="2:40" ht="25.5" customHeight="1" x14ac:dyDescent="0.15">
      <c r="B78" s="2498"/>
      <c r="C78" s="2499"/>
      <c r="D78" s="2499"/>
      <c r="E78" s="1146"/>
      <c r="F78" s="2478"/>
      <c r="G78" s="2478"/>
      <c r="H78" s="2482"/>
      <c r="I78" s="2482"/>
      <c r="J78" s="2483"/>
      <c r="K78" s="2483"/>
      <c r="L78" s="2484"/>
      <c r="M78" s="2484"/>
      <c r="N78" s="2495"/>
      <c r="O78" s="2495"/>
      <c r="P78" s="2495"/>
      <c r="Q78" s="2495"/>
      <c r="R78" s="2478"/>
      <c r="S78" s="2478"/>
      <c r="T78" s="2478"/>
      <c r="U78" s="2478"/>
      <c r="V78" s="2495"/>
      <c r="W78" s="2495"/>
      <c r="X78" s="2495"/>
      <c r="Y78" s="2495"/>
      <c r="Z78" s="2495"/>
      <c r="AA78" s="2484"/>
      <c r="AB78" s="2484"/>
      <c r="AC78" s="2482"/>
      <c r="AD78" s="2482"/>
      <c r="AE78" s="2478"/>
      <c r="AF78" s="2478"/>
      <c r="AG78" s="2478"/>
      <c r="AH78" s="2478"/>
      <c r="AI78" s="2479"/>
      <c r="AJ78" s="2503"/>
      <c r="AK78" s="2503"/>
      <c r="AL78" s="1330"/>
      <c r="AM78" s="1331"/>
      <c r="AN78" s="1331"/>
    </row>
    <row r="79" spans="2:40" ht="25.5" customHeight="1" x14ac:dyDescent="0.15">
      <c r="B79" s="2498"/>
      <c r="C79" s="2499"/>
      <c r="D79" s="2499"/>
      <c r="E79" s="1146"/>
      <c r="F79" s="2478"/>
      <c r="G79" s="2478"/>
      <c r="H79" s="2482"/>
      <c r="I79" s="2482"/>
      <c r="J79" s="2483"/>
      <c r="K79" s="2483"/>
      <c r="L79" s="2484"/>
      <c r="M79" s="2484"/>
      <c r="N79" s="2495"/>
      <c r="O79" s="2495"/>
      <c r="P79" s="2495"/>
      <c r="Q79" s="2495"/>
      <c r="R79" s="2478"/>
      <c r="S79" s="2478"/>
      <c r="T79" s="2478"/>
      <c r="U79" s="2478"/>
      <c r="V79" s="2495"/>
      <c r="W79" s="2495"/>
      <c r="X79" s="2495"/>
      <c r="Y79" s="2495"/>
      <c r="Z79" s="2495"/>
      <c r="AA79" s="2484"/>
      <c r="AB79" s="2484"/>
      <c r="AC79" s="2482"/>
      <c r="AD79" s="2482"/>
      <c r="AE79" s="2478"/>
      <c r="AF79" s="2478"/>
      <c r="AG79" s="2478"/>
      <c r="AH79" s="2478"/>
      <c r="AI79" s="2479"/>
      <c r="AJ79" s="2503"/>
      <c r="AK79" s="2503"/>
      <c r="AL79" s="1330"/>
      <c r="AM79" s="1331"/>
      <c r="AN79" s="1331"/>
    </row>
    <row r="80" spans="2:40" ht="25.5" customHeight="1" x14ac:dyDescent="0.15">
      <c r="B80" s="2498"/>
      <c r="C80" s="2499"/>
      <c r="D80" s="2499"/>
      <c r="E80" s="1146"/>
      <c r="F80" s="2478"/>
      <c r="G80" s="2478"/>
      <c r="H80" s="2482"/>
      <c r="I80" s="2482"/>
      <c r="J80" s="2483"/>
      <c r="K80" s="2483"/>
      <c r="L80" s="2484"/>
      <c r="M80" s="2484"/>
      <c r="N80" s="2495"/>
      <c r="O80" s="2495"/>
      <c r="P80" s="2495"/>
      <c r="Q80" s="2495"/>
      <c r="R80" s="2478"/>
      <c r="S80" s="2478"/>
      <c r="T80" s="2478"/>
      <c r="U80" s="2478"/>
      <c r="V80" s="2495"/>
      <c r="W80" s="2495"/>
      <c r="X80" s="2495"/>
      <c r="Y80" s="2495"/>
      <c r="Z80" s="2495"/>
      <c r="AA80" s="2484"/>
      <c r="AB80" s="2484"/>
      <c r="AC80" s="2482"/>
      <c r="AD80" s="2482"/>
      <c r="AE80" s="2478"/>
      <c r="AF80" s="2478"/>
      <c r="AG80" s="2478"/>
      <c r="AH80" s="2478"/>
      <c r="AI80" s="2479"/>
      <c r="AJ80" s="2503"/>
      <c r="AK80" s="2503"/>
      <c r="AL80" s="2496"/>
      <c r="AM80" s="2496"/>
      <c r="AN80" s="2496"/>
    </row>
    <row r="81" spans="2:40" ht="25.5" customHeight="1" x14ac:dyDescent="0.15">
      <c r="B81" s="1332"/>
      <c r="C81" s="2504"/>
      <c r="D81" s="2504"/>
      <c r="E81" s="1146"/>
      <c r="F81" s="2484"/>
      <c r="G81" s="2484"/>
      <c r="H81" s="2485"/>
      <c r="I81" s="2485"/>
      <c r="J81" s="2483"/>
      <c r="K81" s="2483"/>
      <c r="L81" s="2484"/>
      <c r="M81" s="2484"/>
      <c r="N81" s="2494"/>
      <c r="O81" s="2494"/>
      <c r="P81" s="2494"/>
      <c r="Q81" s="2494"/>
      <c r="R81" s="2484"/>
      <c r="S81" s="2484"/>
      <c r="T81" s="2484"/>
      <c r="U81" s="2484"/>
      <c r="V81" s="2495"/>
      <c r="W81" s="2495"/>
      <c r="X81" s="2495"/>
      <c r="Y81" s="2495"/>
      <c r="Z81" s="2495"/>
      <c r="AA81" s="2484"/>
      <c r="AB81" s="2484"/>
      <c r="AC81" s="2485"/>
      <c r="AD81" s="2485"/>
      <c r="AE81" s="2484"/>
      <c r="AF81" s="2484"/>
      <c r="AG81" s="2484"/>
      <c r="AH81" s="2484"/>
      <c r="AI81" s="2489"/>
      <c r="AJ81" s="2503"/>
      <c r="AK81" s="2503"/>
      <c r="AL81" s="2496"/>
      <c r="AM81" s="2496"/>
      <c r="AN81" s="2496"/>
    </row>
    <row r="82" spans="2:40" ht="25.5" customHeight="1" x14ac:dyDescent="0.15">
      <c r="B82" s="1333"/>
      <c r="C82" s="2504"/>
      <c r="D82" s="2504"/>
      <c r="E82" s="1146"/>
      <c r="F82" s="2484"/>
      <c r="G82" s="2484"/>
      <c r="H82" s="2485"/>
      <c r="I82" s="2485"/>
      <c r="J82" s="2483"/>
      <c r="K82" s="2483"/>
      <c r="L82" s="2484"/>
      <c r="M82" s="2484"/>
      <c r="N82" s="2494"/>
      <c r="O82" s="2494"/>
      <c r="P82" s="2494"/>
      <c r="Q82" s="2494"/>
      <c r="R82" s="2484"/>
      <c r="S82" s="2484"/>
      <c r="T82" s="2484"/>
      <c r="U82" s="2484"/>
      <c r="V82" s="2495"/>
      <c r="W82" s="2495"/>
      <c r="X82" s="2495"/>
      <c r="Y82" s="2495"/>
      <c r="Z82" s="2495"/>
      <c r="AA82" s="2484"/>
      <c r="AB82" s="2484"/>
      <c r="AC82" s="2485"/>
      <c r="AD82" s="2485"/>
      <c r="AE82" s="2484"/>
      <c r="AF82" s="2484"/>
      <c r="AG82" s="2484"/>
      <c r="AH82" s="2484"/>
      <c r="AI82" s="2489"/>
      <c r="AJ82" s="2503"/>
      <c r="AK82" s="2503"/>
      <c r="AL82" s="2496"/>
      <c r="AM82" s="2496"/>
      <c r="AN82" s="2496"/>
    </row>
    <row r="83" spans="2:40" ht="25.5" customHeight="1" x14ac:dyDescent="0.15">
      <c r="B83" s="1334"/>
      <c r="C83" s="2504"/>
      <c r="D83" s="2504"/>
      <c r="E83" s="1146"/>
      <c r="F83" s="2484"/>
      <c r="G83" s="2484"/>
      <c r="H83" s="2485"/>
      <c r="I83" s="2485"/>
      <c r="J83" s="2483"/>
      <c r="K83" s="2483"/>
      <c r="L83" s="2484"/>
      <c r="M83" s="2484"/>
      <c r="N83" s="2494"/>
      <c r="O83" s="2494"/>
      <c r="P83" s="2494"/>
      <c r="Q83" s="2494"/>
      <c r="R83" s="2484"/>
      <c r="S83" s="2484"/>
      <c r="T83" s="2484"/>
      <c r="U83" s="2484"/>
      <c r="V83" s="2495"/>
      <c r="W83" s="2495"/>
      <c r="X83" s="2495"/>
      <c r="Y83" s="2495"/>
      <c r="Z83" s="2495"/>
      <c r="AA83" s="2484"/>
      <c r="AB83" s="2484"/>
      <c r="AC83" s="2485"/>
      <c r="AD83" s="2485"/>
      <c r="AE83" s="2484"/>
      <c r="AF83" s="2484"/>
      <c r="AG83" s="2484"/>
      <c r="AH83" s="2484"/>
      <c r="AI83" s="2489"/>
      <c r="AJ83" s="2503"/>
      <c r="AK83" s="2503"/>
      <c r="AL83" s="2496"/>
      <c r="AM83" s="2496"/>
      <c r="AN83" s="2496"/>
    </row>
    <row r="84" spans="2:40" ht="25.5" customHeight="1" x14ac:dyDescent="0.15">
      <c r="B84" s="2490"/>
      <c r="C84" s="2491"/>
      <c r="D84" s="2491"/>
      <c r="E84" s="1146"/>
      <c r="F84" s="2486"/>
      <c r="G84" s="2486"/>
      <c r="H84" s="1146"/>
      <c r="I84" s="1146"/>
      <c r="J84" s="1335"/>
      <c r="K84" s="1335"/>
      <c r="L84" s="2484"/>
      <c r="M84" s="2484"/>
      <c r="N84" s="2478"/>
      <c r="O84" s="2478"/>
      <c r="P84" s="2478"/>
      <c r="Q84" s="2478"/>
      <c r="R84" s="2492"/>
      <c r="S84" s="2492"/>
      <c r="T84" s="2478"/>
      <c r="U84" s="2478"/>
      <c r="V84" s="2478"/>
      <c r="W84" s="2478"/>
      <c r="X84" s="2478"/>
      <c r="Y84" s="2478"/>
      <c r="Z84" s="2478"/>
      <c r="AA84" s="2478"/>
      <c r="AB84" s="2478"/>
      <c r="AC84" s="1146"/>
      <c r="AD84" s="1146"/>
      <c r="AE84" s="2478"/>
      <c r="AF84" s="2478"/>
      <c r="AG84" s="2489"/>
      <c r="AH84" s="2489"/>
      <c r="AI84" s="1336"/>
      <c r="AJ84" s="2503"/>
      <c r="AK84" s="2503"/>
      <c r="AL84" s="2477"/>
      <c r="AM84" s="2477"/>
      <c r="AN84" s="2477"/>
    </row>
    <row r="85" spans="2:40" ht="25.5" customHeight="1" x14ac:dyDescent="0.15">
      <c r="B85" s="2490"/>
      <c r="C85" s="2491"/>
      <c r="D85" s="2491"/>
      <c r="E85" s="1146"/>
      <c r="F85" s="2486"/>
      <c r="G85" s="2486"/>
      <c r="H85" s="1146"/>
      <c r="I85" s="1146"/>
      <c r="J85" s="1335"/>
      <c r="K85" s="1335"/>
      <c r="L85" s="2478"/>
      <c r="M85" s="2478"/>
      <c r="N85" s="2478"/>
      <c r="O85" s="2478"/>
      <c r="P85" s="2478"/>
      <c r="Q85" s="2478"/>
      <c r="R85" s="2492"/>
      <c r="S85" s="2492"/>
      <c r="T85" s="2478"/>
      <c r="U85" s="2478"/>
      <c r="V85" s="2478"/>
      <c r="W85" s="2478"/>
      <c r="X85" s="2478"/>
      <c r="Y85" s="2478"/>
      <c r="Z85" s="2478"/>
      <c r="AA85" s="2478"/>
      <c r="AB85" s="2478"/>
      <c r="AC85" s="1146"/>
      <c r="AD85" s="1146"/>
      <c r="AE85" s="2478"/>
      <c r="AF85" s="2478"/>
      <c r="AG85" s="2486"/>
      <c r="AH85" s="2486"/>
      <c r="AI85" s="1337"/>
      <c r="AJ85" s="2503"/>
      <c r="AK85" s="2503"/>
      <c r="AL85" s="2477"/>
      <c r="AM85" s="2477"/>
      <c r="AN85" s="2477"/>
    </row>
    <row r="86" spans="2:40" ht="20.25" customHeight="1" x14ac:dyDescent="0.15">
      <c r="B86" s="2496"/>
      <c r="C86" s="2496"/>
      <c r="D86" s="2496"/>
      <c r="E86" s="2496"/>
      <c r="F86" s="2496"/>
      <c r="G86" s="2496"/>
      <c r="H86" s="2496"/>
      <c r="I86" s="2496"/>
      <c r="J86" s="2496"/>
      <c r="K86" s="2496"/>
      <c r="L86" s="2496"/>
      <c r="M86" s="2496"/>
      <c r="N86" s="2496"/>
      <c r="O86" s="2496"/>
      <c r="P86" s="2496"/>
      <c r="Q86" s="2496"/>
      <c r="R86" s="2496"/>
      <c r="S86" s="2496"/>
      <c r="T86" s="2496"/>
      <c r="U86" s="2496"/>
      <c r="V86" s="2496"/>
      <c r="W86" s="2496"/>
      <c r="X86" s="2496"/>
      <c r="Y86" s="2496"/>
      <c r="Z86" s="2496"/>
      <c r="AA86" s="2496"/>
      <c r="AB86" s="2496"/>
      <c r="AC86" s="2496"/>
      <c r="AD86" s="2496"/>
      <c r="AE86" s="2496"/>
      <c r="AF86" s="2496"/>
      <c r="AG86" s="2496"/>
      <c r="AH86" s="2496"/>
      <c r="AI86" s="2496"/>
      <c r="AJ86" s="2496"/>
      <c r="AK86" s="1315"/>
      <c r="AL86" s="2497"/>
      <c r="AM86" s="2497"/>
      <c r="AN86" s="2497"/>
    </row>
    <row r="87" spans="2:40" ht="12.75" customHeight="1" x14ac:dyDescent="0.15">
      <c r="B87" s="2496"/>
      <c r="C87" s="2496"/>
      <c r="D87" s="2496"/>
      <c r="E87" s="1327"/>
      <c r="F87" s="1327"/>
      <c r="G87" s="1327"/>
      <c r="H87" s="1327"/>
      <c r="I87" s="1327"/>
      <c r="J87" s="1327"/>
      <c r="K87" s="1327"/>
      <c r="L87" s="1327"/>
      <c r="M87" s="1327"/>
      <c r="N87" s="1327"/>
      <c r="O87" s="1327"/>
      <c r="P87" s="1327"/>
      <c r="Q87" s="1327"/>
      <c r="R87" s="1327"/>
      <c r="S87" s="1327"/>
      <c r="T87" s="1327"/>
      <c r="U87" s="1327"/>
      <c r="V87" s="1327"/>
      <c r="W87" s="1327"/>
      <c r="X87" s="1327"/>
      <c r="Y87" s="1327"/>
      <c r="Z87" s="1327"/>
      <c r="AA87" s="1327"/>
      <c r="AB87" s="1327"/>
      <c r="AC87" s="1327"/>
      <c r="AD87" s="1327"/>
      <c r="AE87" s="1327"/>
      <c r="AF87" s="1327"/>
      <c r="AG87" s="1327"/>
      <c r="AH87" s="1327"/>
      <c r="AI87" s="1327"/>
      <c r="AJ87" s="1327"/>
      <c r="AK87" s="1327"/>
      <c r="AL87" s="2497"/>
      <c r="AM87" s="2497"/>
      <c r="AN87" s="2497"/>
    </row>
    <row r="88" spans="2:40" ht="25.5" customHeight="1" x14ac:dyDescent="0.15">
      <c r="B88" s="2498"/>
      <c r="C88" s="2499"/>
      <c r="D88" s="2499"/>
      <c r="E88" s="1146"/>
      <c r="F88" s="2478"/>
      <c r="G88" s="2478"/>
      <c r="H88" s="2482"/>
      <c r="I88" s="2482"/>
      <c r="J88" s="2483"/>
      <c r="K88" s="2483"/>
      <c r="L88" s="2484"/>
      <c r="M88" s="2484"/>
      <c r="N88" s="2495"/>
      <c r="O88" s="2495"/>
      <c r="P88" s="2495"/>
      <c r="Q88" s="2495"/>
      <c r="R88" s="2478"/>
      <c r="S88" s="2478"/>
      <c r="T88" s="2478"/>
      <c r="U88" s="2478"/>
      <c r="V88" s="2495"/>
      <c r="W88" s="2495"/>
      <c r="X88" s="2495"/>
      <c r="Y88" s="2495"/>
      <c r="Z88" s="2495"/>
      <c r="AA88" s="2489"/>
      <c r="AB88" s="2489"/>
      <c r="AC88" s="2500"/>
      <c r="AD88" s="2500"/>
      <c r="AE88" s="2501"/>
      <c r="AF88" s="2501"/>
      <c r="AG88" s="2502"/>
      <c r="AH88" s="2502"/>
      <c r="AI88" s="2479"/>
      <c r="AJ88" s="2503"/>
      <c r="AK88" s="2503"/>
      <c r="AL88" s="1329"/>
      <c r="AM88" s="1330"/>
      <c r="AN88" s="1330"/>
    </row>
    <row r="89" spans="2:40" ht="25.5" customHeight="1" x14ac:dyDescent="0.15">
      <c r="B89" s="2498"/>
      <c r="C89" s="2499"/>
      <c r="D89" s="2499"/>
      <c r="E89" s="1146"/>
      <c r="F89" s="2478"/>
      <c r="G89" s="2478"/>
      <c r="H89" s="2482"/>
      <c r="I89" s="2482"/>
      <c r="J89" s="2483"/>
      <c r="K89" s="2483"/>
      <c r="L89" s="2484"/>
      <c r="M89" s="2484"/>
      <c r="N89" s="2495"/>
      <c r="O89" s="2495"/>
      <c r="P89" s="2495"/>
      <c r="Q89" s="2495"/>
      <c r="R89" s="2478"/>
      <c r="S89" s="2478"/>
      <c r="T89" s="2478"/>
      <c r="U89" s="2478"/>
      <c r="V89" s="2495"/>
      <c r="W89" s="2495"/>
      <c r="X89" s="2495"/>
      <c r="Y89" s="2495"/>
      <c r="Z89" s="2495"/>
      <c r="AA89" s="2489"/>
      <c r="AB89" s="2489"/>
      <c r="AC89" s="2500"/>
      <c r="AD89" s="2500"/>
      <c r="AE89" s="2501"/>
      <c r="AF89" s="2501"/>
      <c r="AG89" s="2502"/>
      <c r="AH89" s="2502"/>
      <c r="AI89" s="2479"/>
      <c r="AJ89" s="2503"/>
      <c r="AK89" s="2503"/>
      <c r="AL89" s="1330"/>
      <c r="AM89" s="1331"/>
      <c r="AN89" s="1331"/>
    </row>
    <row r="90" spans="2:40" ht="25.5" customHeight="1" x14ac:dyDescent="0.15">
      <c r="B90" s="2498"/>
      <c r="C90" s="2499"/>
      <c r="D90" s="2499"/>
      <c r="E90" s="1146"/>
      <c r="F90" s="2478"/>
      <c r="G90" s="2478"/>
      <c r="H90" s="2482"/>
      <c r="I90" s="2482"/>
      <c r="J90" s="2483"/>
      <c r="K90" s="2483"/>
      <c r="L90" s="2484"/>
      <c r="M90" s="2484"/>
      <c r="N90" s="2495"/>
      <c r="O90" s="2495"/>
      <c r="P90" s="2495"/>
      <c r="Q90" s="2495"/>
      <c r="R90" s="2478"/>
      <c r="S90" s="2478"/>
      <c r="T90" s="2478"/>
      <c r="U90" s="2478"/>
      <c r="V90" s="2495"/>
      <c r="W90" s="2495"/>
      <c r="X90" s="2495"/>
      <c r="Y90" s="2495"/>
      <c r="Z90" s="2495"/>
      <c r="AA90" s="2489"/>
      <c r="AB90" s="2489"/>
      <c r="AC90" s="2500"/>
      <c r="AD90" s="2500"/>
      <c r="AE90" s="2501"/>
      <c r="AF90" s="2501"/>
      <c r="AG90" s="2502"/>
      <c r="AH90" s="2502"/>
      <c r="AI90" s="2479"/>
      <c r="AJ90" s="2503"/>
      <c r="AK90" s="2503"/>
      <c r="AL90" s="1330"/>
      <c r="AM90" s="1331"/>
      <c r="AN90" s="1331"/>
    </row>
    <row r="91" spans="2:40" ht="25.5" customHeight="1" x14ac:dyDescent="0.15">
      <c r="B91" s="2498"/>
      <c r="C91" s="2499"/>
      <c r="D91" s="2499"/>
      <c r="E91" s="1146"/>
      <c r="F91" s="2478"/>
      <c r="G91" s="2478"/>
      <c r="H91" s="2482"/>
      <c r="I91" s="2482"/>
      <c r="J91" s="2483"/>
      <c r="K91" s="2483"/>
      <c r="L91" s="2484"/>
      <c r="M91" s="2484"/>
      <c r="N91" s="2495"/>
      <c r="O91" s="2495"/>
      <c r="P91" s="2495"/>
      <c r="Q91" s="2495"/>
      <c r="R91" s="2478"/>
      <c r="S91" s="2478"/>
      <c r="T91" s="2478"/>
      <c r="U91" s="2478"/>
      <c r="V91" s="2495"/>
      <c r="W91" s="2495"/>
      <c r="X91" s="2495"/>
      <c r="Y91" s="2495"/>
      <c r="Z91" s="2495"/>
      <c r="AA91" s="2489"/>
      <c r="AB91" s="2489"/>
      <c r="AC91" s="2500"/>
      <c r="AD91" s="2500"/>
      <c r="AE91" s="2501"/>
      <c r="AF91" s="2501"/>
      <c r="AG91" s="2502"/>
      <c r="AH91" s="2502"/>
      <c r="AI91" s="2479"/>
      <c r="AJ91" s="2503"/>
      <c r="AK91" s="2503"/>
      <c r="AL91" s="1330"/>
      <c r="AM91" s="1331"/>
      <c r="AN91" s="1331"/>
    </row>
    <row r="92" spans="2:40" ht="25.5" customHeight="1" x14ac:dyDescent="0.15">
      <c r="B92" s="2498"/>
      <c r="C92" s="2499"/>
      <c r="D92" s="2499"/>
      <c r="E92" s="1146"/>
      <c r="F92" s="2478"/>
      <c r="G92" s="2478"/>
      <c r="H92" s="2482"/>
      <c r="I92" s="2482"/>
      <c r="J92" s="2483"/>
      <c r="K92" s="2483"/>
      <c r="L92" s="2484"/>
      <c r="M92" s="2484"/>
      <c r="N92" s="2495"/>
      <c r="O92" s="2495"/>
      <c r="P92" s="2495"/>
      <c r="Q92" s="2495"/>
      <c r="R92" s="2478"/>
      <c r="S92" s="2478"/>
      <c r="T92" s="2478"/>
      <c r="U92" s="2478"/>
      <c r="V92" s="2495"/>
      <c r="W92" s="2495"/>
      <c r="X92" s="2495"/>
      <c r="Y92" s="2495"/>
      <c r="Z92" s="2495"/>
      <c r="AA92" s="2489"/>
      <c r="AB92" s="2489"/>
      <c r="AC92" s="2500"/>
      <c r="AD92" s="2500"/>
      <c r="AE92" s="2501"/>
      <c r="AF92" s="2501"/>
      <c r="AG92" s="2502"/>
      <c r="AH92" s="2502"/>
      <c r="AI92" s="2479"/>
      <c r="AJ92" s="2503"/>
      <c r="AK92" s="2503"/>
      <c r="AL92" s="2496"/>
      <c r="AM92" s="2496"/>
      <c r="AN92" s="2496"/>
    </row>
    <row r="93" spans="2:40" ht="25.5" customHeight="1" x14ac:dyDescent="0.15">
      <c r="B93" s="1332"/>
      <c r="C93" s="2504"/>
      <c r="D93" s="2504"/>
      <c r="E93" s="1146"/>
      <c r="F93" s="2484"/>
      <c r="G93" s="2484"/>
      <c r="H93" s="2485"/>
      <c r="I93" s="2485"/>
      <c r="J93" s="2483"/>
      <c r="K93" s="2483"/>
      <c r="L93" s="2484"/>
      <c r="M93" s="2484"/>
      <c r="N93" s="2494"/>
      <c r="O93" s="2494"/>
      <c r="P93" s="2494"/>
      <c r="Q93" s="2494"/>
      <c r="R93" s="2484"/>
      <c r="S93" s="2484"/>
      <c r="T93" s="2484"/>
      <c r="U93" s="2484"/>
      <c r="V93" s="2495"/>
      <c r="W93" s="2495"/>
      <c r="X93" s="2495"/>
      <c r="Y93" s="2495"/>
      <c r="Z93" s="2495"/>
      <c r="AA93" s="2489"/>
      <c r="AB93" s="2489"/>
      <c r="AC93" s="2485"/>
      <c r="AD93" s="2485"/>
      <c r="AE93" s="2487"/>
      <c r="AF93" s="2487"/>
      <c r="AG93" s="2488"/>
      <c r="AH93" s="2488"/>
      <c r="AI93" s="2489"/>
      <c r="AJ93" s="2503"/>
      <c r="AK93" s="2503"/>
      <c r="AL93" s="2496"/>
      <c r="AM93" s="2496"/>
      <c r="AN93" s="2496"/>
    </row>
    <row r="94" spans="2:40" ht="25.5" customHeight="1" x14ac:dyDescent="0.15">
      <c r="B94" s="1333"/>
      <c r="C94" s="2504"/>
      <c r="D94" s="2504"/>
      <c r="E94" s="1146"/>
      <c r="F94" s="2484"/>
      <c r="G94" s="2484"/>
      <c r="H94" s="2485"/>
      <c r="I94" s="2485"/>
      <c r="J94" s="2483"/>
      <c r="K94" s="2483"/>
      <c r="L94" s="2484"/>
      <c r="M94" s="2484"/>
      <c r="N94" s="2494"/>
      <c r="O94" s="2494"/>
      <c r="P94" s="2494"/>
      <c r="Q94" s="2494"/>
      <c r="R94" s="2484"/>
      <c r="S94" s="2484"/>
      <c r="T94" s="2484"/>
      <c r="U94" s="2484"/>
      <c r="V94" s="2495"/>
      <c r="W94" s="2495"/>
      <c r="X94" s="2495"/>
      <c r="Y94" s="2495"/>
      <c r="Z94" s="2495"/>
      <c r="AA94" s="2489"/>
      <c r="AB94" s="2489"/>
      <c r="AC94" s="2485"/>
      <c r="AD94" s="2485"/>
      <c r="AE94" s="2487"/>
      <c r="AF94" s="2487"/>
      <c r="AG94" s="2488"/>
      <c r="AH94" s="2488"/>
      <c r="AI94" s="2489"/>
      <c r="AJ94" s="2503"/>
      <c r="AK94" s="2503"/>
      <c r="AL94" s="2496"/>
      <c r="AM94" s="2496"/>
      <c r="AN94" s="2496"/>
    </row>
    <row r="95" spans="2:40" ht="25.5" customHeight="1" x14ac:dyDescent="0.15">
      <c r="B95" s="1334"/>
      <c r="C95" s="2504"/>
      <c r="D95" s="2504"/>
      <c r="E95" s="1146"/>
      <c r="F95" s="2484"/>
      <c r="G95" s="2484"/>
      <c r="H95" s="2485"/>
      <c r="I95" s="2485"/>
      <c r="J95" s="2483"/>
      <c r="K95" s="2483"/>
      <c r="L95" s="2484"/>
      <c r="M95" s="2484"/>
      <c r="N95" s="2494"/>
      <c r="O95" s="2494"/>
      <c r="P95" s="2494"/>
      <c r="Q95" s="2494"/>
      <c r="R95" s="2484"/>
      <c r="S95" s="2484"/>
      <c r="T95" s="2484"/>
      <c r="U95" s="2484"/>
      <c r="V95" s="2495"/>
      <c r="W95" s="2495"/>
      <c r="X95" s="2495"/>
      <c r="Y95" s="2495"/>
      <c r="Z95" s="2495"/>
      <c r="AA95" s="2489"/>
      <c r="AB95" s="2489"/>
      <c r="AC95" s="2485"/>
      <c r="AD95" s="2485"/>
      <c r="AE95" s="2487"/>
      <c r="AF95" s="2487"/>
      <c r="AG95" s="2488"/>
      <c r="AH95" s="2488"/>
      <c r="AI95" s="2489"/>
      <c r="AJ95" s="2503"/>
      <c r="AK95" s="2503"/>
      <c r="AL95" s="2496"/>
      <c r="AM95" s="2496"/>
      <c r="AN95" s="2496"/>
    </row>
    <row r="96" spans="2:40" ht="25.5" customHeight="1" x14ac:dyDescent="0.15">
      <c r="B96" s="2490"/>
      <c r="C96" s="2491"/>
      <c r="D96" s="2491"/>
      <c r="E96" s="1146"/>
      <c r="F96" s="2479"/>
      <c r="G96" s="2479"/>
      <c r="H96" s="1146"/>
      <c r="I96" s="1146"/>
      <c r="J96" s="1335"/>
      <c r="K96" s="1335"/>
      <c r="L96" s="2484"/>
      <c r="M96" s="2484"/>
      <c r="N96" s="2478"/>
      <c r="O96" s="2478"/>
      <c r="P96" s="2478"/>
      <c r="Q96" s="2478"/>
      <c r="R96" s="2492"/>
      <c r="S96" s="2492"/>
      <c r="T96" s="2478"/>
      <c r="U96" s="2478"/>
      <c r="V96" s="2478"/>
      <c r="W96" s="2478"/>
      <c r="X96" s="2478"/>
      <c r="Y96" s="2478"/>
      <c r="Z96" s="2478"/>
      <c r="AA96" s="2479"/>
      <c r="AB96" s="2479"/>
      <c r="AC96" s="1146"/>
      <c r="AD96" s="1146"/>
      <c r="AE96" s="1206"/>
      <c r="AF96" s="1206"/>
      <c r="AG96" s="2493"/>
      <c r="AH96" s="2493"/>
      <c r="AI96" s="1336"/>
      <c r="AJ96" s="2503"/>
      <c r="AK96" s="2503"/>
      <c r="AL96" s="2477"/>
      <c r="AM96" s="2477"/>
      <c r="AN96" s="2477"/>
    </row>
    <row r="97" spans="2:40" ht="25.5" customHeight="1" x14ac:dyDescent="0.15">
      <c r="B97" s="2490"/>
      <c r="C97" s="2491"/>
      <c r="D97" s="2491"/>
      <c r="E97" s="1146"/>
      <c r="F97" s="2479"/>
      <c r="G97" s="2479"/>
      <c r="H97" s="1146"/>
      <c r="I97" s="1146"/>
      <c r="J97" s="1335"/>
      <c r="K97" s="1335"/>
      <c r="L97" s="2478"/>
      <c r="M97" s="2478"/>
      <c r="N97" s="2478"/>
      <c r="O97" s="2478"/>
      <c r="P97" s="2478"/>
      <c r="Q97" s="2478"/>
      <c r="R97" s="2492"/>
      <c r="S97" s="2492"/>
      <c r="T97" s="2478"/>
      <c r="U97" s="2478"/>
      <c r="V97" s="2478"/>
      <c r="W97" s="2478"/>
      <c r="X97" s="2478"/>
      <c r="Y97" s="2478"/>
      <c r="Z97" s="2478"/>
      <c r="AA97" s="2479"/>
      <c r="AB97" s="2479"/>
      <c r="AC97" s="1146"/>
      <c r="AD97" s="1146"/>
      <c r="AE97" s="1146"/>
      <c r="AF97" s="1146"/>
      <c r="AG97" s="2480"/>
      <c r="AH97" s="2480"/>
      <c r="AI97" s="1337"/>
      <c r="AJ97" s="2503"/>
      <c r="AK97" s="2503"/>
      <c r="AL97" s="2477"/>
      <c r="AM97" s="2477"/>
      <c r="AN97" s="2477"/>
    </row>
    <row r="98" spans="2:40" ht="17.25" x14ac:dyDescent="0.15">
      <c r="B98" s="2481"/>
      <c r="C98" s="2481"/>
      <c r="D98" s="2481"/>
      <c r="E98" s="2481"/>
      <c r="F98" s="2481"/>
      <c r="G98" s="2481"/>
      <c r="H98" s="2481"/>
      <c r="I98" s="2481"/>
      <c r="J98" s="2481"/>
      <c r="K98" s="2481"/>
      <c r="L98" s="2481"/>
      <c r="M98" s="2481"/>
      <c r="N98" s="2481"/>
      <c r="O98" s="2481"/>
      <c r="P98" s="2481"/>
      <c r="Q98" s="2481"/>
      <c r="R98" s="2481"/>
      <c r="S98" s="2481"/>
      <c r="T98" s="2481"/>
      <c r="U98" s="2481"/>
      <c r="V98" s="2481"/>
      <c r="W98" s="2481"/>
      <c r="X98" s="2481"/>
      <c r="Y98" s="2481"/>
      <c r="Z98" s="2481"/>
      <c r="AA98" s="2481"/>
      <c r="AB98" s="2481"/>
      <c r="AC98" s="2481"/>
      <c r="AD98" s="2481"/>
      <c r="AE98" s="2481"/>
      <c r="AF98" s="2481"/>
      <c r="AG98" s="2481"/>
      <c r="AH98" s="2481"/>
      <c r="AI98" s="2481"/>
      <c r="AJ98" s="2481"/>
      <c r="AK98" s="2481"/>
      <c r="AL98" s="2481"/>
      <c r="AM98" s="2481"/>
      <c r="AN98" s="2481"/>
    </row>
    <row r="99" spans="2:40" x14ac:dyDescent="0.15">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row>
  </sheetData>
  <sheetProtection algorithmName="SHA-512" hashValue="6u4LuNpB/HfBGd0nppwRuughdgnIdKflaoM0wyIIQBIMTXNiRP0ii/3TKRMyXCrPlzPSMlbGlfm7LTnZzVJcNQ==" saltValue="3rkF+F84LdSTdKUbsUCmFg==" spinCount="100000" sheet="1" selectLockedCells="1"/>
  <mergeCells count="540">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Y16:Z16"/>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V35:Z37"/>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G26:AH26"/>
    <mergeCell ref="AE27:AF27"/>
    <mergeCell ref="AJ18:AK27"/>
    <mergeCell ref="AA18:AB22"/>
    <mergeCell ref="AC18:AD22"/>
    <mergeCell ref="AA23:AB25"/>
    <mergeCell ref="N3:AI3"/>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C6:S6"/>
    <mergeCell ref="B4:AD4"/>
    <mergeCell ref="B5:AD5"/>
    <mergeCell ref="AF5:AG6"/>
    <mergeCell ref="AE5:AE6"/>
    <mergeCell ref="AH6:AI6"/>
    <mergeCell ref="B16:B17"/>
    <mergeCell ref="B11:C14"/>
    <mergeCell ref="C16:D17"/>
    <mergeCell ref="B9:C10"/>
    <mergeCell ref="D12:E14"/>
    <mergeCell ref="K9:M10"/>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M16:N16"/>
    <mergeCell ref="L18:M22"/>
    <mergeCell ref="N18:Q22"/>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C40:AD40"/>
    <mergeCell ref="AE40:AF40"/>
    <mergeCell ref="AG40:AH40"/>
    <mergeCell ref="J35:J37"/>
    <mergeCell ref="J30:J34"/>
    <mergeCell ref="J42:J46"/>
    <mergeCell ref="K42:K46"/>
    <mergeCell ref="L42:M46"/>
    <mergeCell ref="N42:Q46"/>
    <mergeCell ref="R42:S46"/>
    <mergeCell ref="L38:M38"/>
    <mergeCell ref="L39:M39"/>
    <mergeCell ref="T30:U34"/>
    <mergeCell ref="R30:S34"/>
    <mergeCell ref="N30:Q34"/>
    <mergeCell ref="V30:Z34"/>
    <mergeCell ref="T35:U37"/>
    <mergeCell ref="R35:S37"/>
    <mergeCell ref="N35:Q37"/>
    <mergeCell ref="L35:M37"/>
    <mergeCell ref="L30:M34"/>
    <mergeCell ref="AG50:AH50"/>
    <mergeCell ref="AG51:AH51"/>
    <mergeCell ref="AE42:AF46"/>
    <mergeCell ref="AG42:AH46"/>
    <mergeCell ref="AE26:AF26"/>
    <mergeCell ref="AE38:AF38"/>
    <mergeCell ref="T39:U39"/>
    <mergeCell ref="AA39:AB39"/>
    <mergeCell ref="AE39:AF39"/>
    <mergeCell ref="T50:U50"/>
    <mergeCell ref="V50:Z50"/>
    <mergeCell ref="AA40:AB40"/>
    <mergeCell ref="T47:U49"/>
    <mergeCell ref="V47:Z49"/>
    <mergeCell ref="AA47:AB49"/>
    <mergeCell ref="AA50:AB50"/>
    <mergeCell ref="AG47:AH49"/>
    <mergeCell ref="AC47:AD49"/>
    <mergeCell ref="AG35:AH37"/>
    <mergeCell ref="AG30:AH34"/>
    <mergeCell ref="AE30:AF34"/>
    <mergeCell ref="AE35:AF37"/>
    <mergeCell ref="AC35:AD37"/>
    <mergeCell ref="AC30:AD34"/>
    <mergeCell ref="L50:M50"/>
    <mergeCell ref="L51:M51"/>
    <mergeCell ref="AA27:AB27"/>
    <mergeCell ref="T38:U38"/>
    <mergeCell ref="V38:Z38"/>
    <mergeCell ref="AA38:AB38"/>
    <mergeCell ref="AA35:AB37"/>
    <mergeCell ref="AA30:AB34"/>
    <mergeCell ref="S28:T28"/>
    <mergeCell ref="U28:V28"/>
    <mergeCell ref="W28:X28"/>
    <mergeCell ref="R26:S27"/>
    <mergeCell ref="R38:S39"/>
    <mergeCell ref="R50:S51"/>
    <mergeCell ref="AA51:AB51"/>
    <mergeCell ref="T51:U51"/>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N39:Q39"/>
    <mergeCell ref="N38:Q38"/>
    <mergeCell ref="N47:Q49"/>
    <mergeCell ref="R47:S49"/>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 ref="AF12:AG14"/>
    <mergeCell ref="AH12:AH14"/>
    <mergeCell ref="AB8:AK8"/>
    <mergeCell ref="B8:AA8"/>
    <mergeCell ref="E2:I3"/>
    <mergeCell ref="B54:AA54"/>
    <mergeCell ref="AB54:AK54"/>
    <mergeCell ref="B55:C56"/>
    <mergeCell ref="D55:H56"/>
    <mergeCell ref="I55:J55"/>
    <mergeCell ref="K55:M56"/>
    <mergeCell ref="N55:O56"/>
    <mergeCell ref="P55:P56"/>
    <mergeCell ref="Q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L55"/>
    <mergeCell ref="I56:J56"/>
    <mergeCell ref="AK56:AL56"/>
    <mergeCell ref="B57:C60"/>
    <mergeCell ref="D57:E57"/>
    <mergeCell ref="F57:Q57"/>
    <mergeCell ref="R57:AA57"/>
    <mergeCell ref="AB57:AK57"/>
    <mergeCell ref="AL57:AN58"/>
    <mergeCell ref="D58:E60"/>
    <mergeCell ref="F58:Q60"/>
    <mergeCell ref="R58:T60"/>
    <mergeCell ref="U58:U60"/>
    <mergeCell ref="V58:W60"/>
    <mergeCell ref="X58:X60"/>
    <mergeCell ref="Y58:AA60"/>
    <mergeCell ref="AB58:AD60"/>
    <mergeCell ref="AE58:AE60"/>
    <mergeCell ref="AF58:AG60"/>
    <mergeCell ref="AH58:AH60"/>
    <mergeCell ref="AI58:AK60"/>
    <mergeCell ref="AM59:AN59"/>
    <mergeCell ref="AM60:AN60"/>
    <mergeCell ref="B61:D61"/>
    <mergeCell ref="AJ61:AM61"/>
    <mergeCell ref="B62:B63"/>
    <mergeCell ref="C62:D63"/>
    <mergeCell ref="E62:F62"/>
    <mergeCell ref="G62:H62"/>
    <mergeCell ref="I62:J62"/>
    <mergeCell ref="K62:L62"/>
    <mergeCell ref="M62:N62"/>
    <mergeCell ref="O62:P62"/>
    <mergeCell ref="Q62:R62"/>
    <mergeCell ref="S62:T62"/>
    <mergeCell ref="U62:V62"/>
    <mergeCell ref="W62:X62"/>
    <mergeCell ref="Y62:Z62"/>
    <mergeCell ref="AA62:AB62"/>
    <mergeCell ref="AC62:AD62"/>
    <mergeCell ref="AE62:AF62"/>
    <mergeCell ref="AG62:AH62"/>
    <mergeCell ref="AI62:AJ62"/>
    <mergeCell ref="AL62:AN63"/>
    <mergeCell ref="B64:B68"/>
    <mergeCell ref="C64:D68"/>
    <mergeCell ref="L64:M68"/>
    <mergeCell ref="N64:Q68"/>
    <mergeCell ref="R64:S68"/>
    <mergeCell ref="T64:U68"/>
    <mergeCell ref="V64:Z68"/>
    <mergeCell ref="AA64:AB68"/>
    <mergeCell ref="AC64:AD68"/>
    <mergeCell ref="AE64:AF68"/>
    <mergeCell ref="AG64:AH68"/>
    <mergeCell ref="AI64:AI68"/>
    <mergeCell ref="AJ64:AK73"/>
    <mergeCell ref="AL68:AN71"/>
    <mergeCell ref="C69:D71"/>
    <mergeCell ref="L69:M71"/>
    <mergeCell ref="N69:Q71"/>
    <mergeCell ref="R69:S71"/>
    <mergeCell ref="T69:U71"/>
    <mergeCell ref="V69:Z71"/>
    <mergeCell ref="AA69:AB71"/>
    <mergeCell ref="AC69:AD71"/>
    <mergeCell ref="AE69:AF71"/>
    <mergeCell ref="AG69:AH71"/>
    <mergeCell ref="AI69:AI71"/>
    <mergeCell ref="AG72:AH72"/>
    <mergeCell ref="AL72:AN73"/>
    <mergeCell ref="AG73:AH73"/>
    <mergeCell ref="B72:B73"/>
    <mergeCell ref="C72:D73"/>
    <mergeCell ref="L72:M72"/>
    <mergeCell ref="N72:Q72"/>
    <mergeCell ref="R72:S73"/>
    <mergeCell ref="T72:U72"/>
    <mergeCell ref="V72:Z72"/>
    <mergeCell ref="AA72:AB72"/>
    <mergeCell ref="AE72:AF72"/>
    <mergeCell ref="L73:M73"/>
    <mergeCell ref="N73:Q73"/>
    <mergeCell ref="T73:U73"/>
    <mergeCell ref="V73:Z73"/>
    <mergeCell ref="AA73:AB73"/>
    <mergeCell ref="AE73:AF73"/>
    <mergeCell ref="B74:B75"/>
    <mergeCell ref="C74:D75"/>
    <mergeCell ref="E74:F74"/>
    <mergeCell ref="G74:H74"/>
    <mergeCell ref="I74:J74"/>
    <mergeCell ref="K74:L74"/>
    <mergeCell ref="M74:N74"/>
    <mergeCell ref="O74:P74"/>
    <mergeCell ref="Q74:R74"/>
    <mergeCell ref="S74:T74"/>
    <mergeCell ref="U74:V74"/>
    <mergeCell ref="W74:X74"/>
    <mergeCell ref="Y74:Z74"/>
    <mergeCell ref="AA74:AB74"/>
    <mergeCell ref="AC74:AD74"/>
    <mergeCell ref="AE74:AF74"/>
    <mergeCell ref="AG74:AH74"/>
    <mergeCell ref="AI74:AJ74"/>
    <mergeCell ref="AL74:AN75"/>
    <mergeCell ref="B76:B80"/>
    <mergeCell ref="C76:D80"/>
    <mergeCell ref="F76:G80"/>
    <mergeCell ref="H76:I80"/>
    <mergeCell ref="J76:J80"/>
    <mergeCell ref="K76:K80"/>
    <mergeCell ref="L76:M80"/>
    <mergeCell ref="N76:Q80"/>
    <mergeCell ref="R76:S80"/>
    <mergeCell ref="T76:U80"/>
    <mergeCell ref="V76:Z80"/>
    <mergeCell ref="AA76:AB80"/>
    <mergeCell ref="AC76:AD80"/>
    <mergeCell ref="AE76:AF80"/>
    <mergeCell ref="AG76:AH80"/>
    <mergeCell ref="AI76:AI80"/>
    <mergeCell ref="AJ76:AK85"/>
    <mergeCell ref="AL80:AN83"/>
    <mergeCell ref="C81:D83"/>
    <mergeCell ref="F81:G83"/>
    <mergeCell ref="H81:I83"/>
    <mergeCell ref="J81:J83"/>
    <mergeCell ref="K81:K83"/>
    <mergeCell ref="AI81:AI83"/>
    <mergeCell ref="B84:B85"/>
    <mergeCell ref="C84:D85"/>
    <mergeCell ref="F84:G85"/>
    <mergeCell ref="L84:M84"/>
    <mergeCell ref="N84:Q84"/>
    <mergeCell ref="R84:S85"/>
    <mergeCell ref="T84:U84"/>
    <mergeCell ref="V84:Z84"/>
    <mergeCell ref="AA84:AB84"/>
    <mergeCell ref="AE84:AF84"/>
    <mergeCell ref="AG84:AH84"/>
    <mergeCell ref="L81:M83"/>
    <mergeCell ref="N81:Q83"/>
    <mergeCell ref="R81:S83"/>
    <mergeCell ref="T81:U83"/>
    <mergeCell ref="V81:Z83"/>
    <mergeCell ref="AA81:AB83"/>
    <mergeCell ref="AC81:AD83"/>
    <mergeCell ref="AE81:AF83"/>
    <mergeCell ref="AG81:AH83"/>
    <mergeCell ref="AL84:AN85"/>
    <mergeCell ref="L85:M85"/>
    <mergeCell ref="N85:Q85"/>
    <mergeCell ref="T85:U85"/>
    <mergeCell ref="V85:Z85"/>
    <mergeCell ref="AA85:AB85"/>
    <mergeCell ref="AE85:AF85"/>
    <mergeCell ref="AG85:AH85"/>
    <mergeCell ref="B86:B87"/>
    <mergeCell ref="C86:D87"/>
    <mergeCell ref="E86:F86"/>
    <mergeCell ref="G86:H86"/>
    <mergeCell ref="I86:J86"/>
    <mergeCell ref="K86:L86"/>
    <mergeCell ref="M86:N86"/>
    <mergeCell ref="O86:P86"/>
    <mergeCell ref="Q86:R86"/>
    <mergeCell ref="S86:T86"/>
    <mergeCell ref="U86:V86"/>
    <mergeCell ref="W86:X86"/>
    <mergeCell ref="Y86:Z86"/>
    <mergeCell ref="AA86:AB86"/>
    <mergeCell ref="AC86:AD86"/>
    <mergeCell ref="AE86:AF86"/>
    <mergeCell ref="AG86:AH86"/>
    <mergeCell ref="AI86:AJ86"/>
    <mergeCell ref="AL86:AN87"/>
    <mergeCell ref="B88:B92"/>
    <mergeCell ref="C88:D92"/>
    <mergeCell ref="F88:G92"/>
    <mergeCell ref="H88:I92"/>
    <mergeCell ref="J88:J92"/>
    <mergeCell ref="K88:K92"/>
    <mergeCell ref="L88:M92"/>
    <mergeCell ref="N88:Q92"/>
    <mergeCell ref="R88:S92"/>
    <mergeCell ref="T88:U92"/>
    <mergeCell ref="V88:Z92"/>
    <mergeCell ref="AA88:AB92"/>
    <mergeCell ref="AC88:AD92"/>
    <mergeCell ref="AE88:AF92"/>
    <mergeCell ref="AG88:AH92"/>
    <mergeCell ref="AI88:AI92"/>
    <mergeCell ref="AJ88:AK97"/>
    <mergeCell ref="AL92:AN95"/>
    <mergeCell ref="C93:D95"/>
    <mergeCell ref="F93:G95"/>
    <mergeCell ref="H93:I95"/>
    <mergeCell ref="N96:Q96"/>
    <mergeCell ref="R96:S97"/>
    <mergeCell ref="T96:U96"/>
    <mergeCell ref="V96:Z96"/>
    <mergeCell ref="AA96:AB96"/>
    <mergeCell ref="AG96:AH96"/>
    <mergeCell ref="J93:J95"/>
    <mergeCell ref="K93:K95"/>
    <mergeCell ref="L93:M95"/>
    <mergeCell ref="N93:Q95"/>
    <mergeCell ref="R93:S95"/>
    <mergeCell ref="T93:U95"/>
    <mergeCell ref="V93:Z95"/>
    <mergeCell ref="AA93:AB95"/>
    <mergeCell ref="AC93:AD95"/>
    <mergeCell ref="AL96:AN97"/>
    <mergeCell ref="L97:M97"/>
    <mergeCell ref="N97:Q97"/>
    <mergeCell ref="T97:U97"/>
    <mergeCell ref="V97:Z97"/>
    <mergeCell ref="AA97:AB97"/>
    <mergeCell ref="AG97:AH97"/>
    <mergeCell ref="B98:AN98"/>
    <mergeCell ref="F64:G68"/>
    <mergeCell ref="H64:I68"/>
    <mergeCell ref="J64:J68"/>
    <mergeCell ref="K64:K68"/>
    <mergeCell ref="F69:G71"/>
    <mergeCell ref="H69:I71"/>
    <mergeCell ref="J69:J71"/>
    <mergeCell ref="K69:K71"/>
    <mergeCell ref="F72:G73"/>
    <mergeCell ref="AE93:AF95"/>
    <mergeCell ref="AG93:AH95"/>
    <mergeCell ref="AI93:AI95"/>
    <mergeCell ref="B96:B97"/>
    <mergeCell ref="C96:D97"/>
    <mergeCell ref="F96:G97"/>
    <mergeCell ref="L96:M96"/>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P55" xr:uid="{192EC008-E1A8-41A0-B7B6-219A03F4D307}">
      <formula1>"市,区,町,村"</formula1>
    </dataValidation>
    <dataValidation showInputMessage="1" showErrorMessage="1" sqref="AL13:AL14 AL59:AL60" xr:uid="{1EF157FC-BF7D-41D6-ADA7-6AD1D3A91C86}"/>
    <dataValidation type="list" allowBlank="1" showInputMessage="1" showErrorMessage="1" sqref="AA42:AB46 AA88:AB92" xr:uid="{0B06FDEA-C2B2-47C1-A34E-B7AF4638304B}">
      <formula1>$BC$8:$BC$17</formula1>
    </dataValidation>
    <dataValidation type="list" allowBlank="1" showInputMessage="1" showErrorMessage="1" sqref="AA47:AB49 AA93:AB95"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6" orientation="landscape" blackAndWhite="1" r:id="rId1"/>
  <headerFooter scaleWithDoc="0">
    <oddFooter>&amp;L&amp;G&amp;R⑥</oddFooter>
  </headerFooter>
  <rowBreaks count="1" manualBreakCount="1">
    <brk id="52" min="1" max="39" man="1"/>
  </rowBreaks>
  <drawing r:id="rId2"/>
  <legacyDrawingHF r:id="rId3"/>
  <extLst>
    <ext xmlns:x14="http://schemas.microsoft.com/office/spreadsheetml/2009/9/main" uri="{CCE6A557-97BC-4b89-ADB6-D9C93CAAB3DF}">
      <x14:dataValidations xmlns:xm="http://schemas.microsoft.com/office/excel/2006/main" count="29">
        <x14:dataValidation type="list" allowBlank="1" showInputMessage="1" showErrorMessage="1" xr:uid="{0A2A8EC2-000C-4BDD-B490-35756443BD5B}">
          <x14:formula1>
            <xm:f>リスト!$N$4:$N$16</xm:f>
          </x14:formula1>
          <xm:sqref>T18:U22 T42:U46 T30:U34 T76:U80 T88:U92 T64:U68</xm:sqref>
        </x14:dataValidation>
        <x14:dataValidation type="list" allowBlank="1" showInputMessage="1" showErrorMessage="1" xr:uid="{04445DE0-562C-4193-8963-C87248726D7E}">
          <x14:formula1>
            <xm:f>リスト!$O$4:$O$15</xm:f>
          </x14:formula1>
          <xm:sqref>T23:U25 T47:U49 T35:U37 T81:U83 T93:U95 T69:U71</xm:sqref>
        </x14:dataValidation>
        <x14:dataValidation type="list" allowBlank="1" showInputMessage="1" showErrorMessage="1" xr:uid="{08ABC9D2-4F77-4C92-BEC2-1F62BCA1A95E}">
          <x14:formula1>
            <xm:f>リスト!$P$3:$P$25</xm:f>
          </x14:formula1>
          <xm:sqref>V18:Z22 V42:Z46 V30:Z34 V76:Z80 V88:Z92 V64:Z68</xm:sqref>
        </x14:dataValidation>
        <x14:dataValidation type="list" allowBlank="1" showInputMessage="1" showErrorMessage="1" xr:uid="{C1EF71C0-A70B-4EDA-A2F4-2E6810C69F5D}">
          <x14:formula1>
            <xm:f>リスト!$Q$4:$Q$19</xm:f>
          </x14:formula1>
          <xm:sqref>V23:Z25 V47:Z49 V35:Z37 V81:Z83 V93:Z95 V69:Z71</xm:sqref>
        </x14:dataValidation>
        <x14:dataValidation type="list" allowBlank="1" showInputMessage="1" showErrorMessage="1" xr:uid="{EF339D3D-30E0-4A0D-8EBB-1EA28D2386EC}">
          <x14:formula1>
            <xm:f>リスト!$R$4:$R$17</xm:f>
          </x14:formula1>
          <xm:sqref>AA18:AB22 AA30:AB34 AA76:AB80 AA64:AB68</xm:sqref>
        </x14:dataValidation>
        <x14:dataValidation type="list" allowBlank="1" showInputMessage="1" showErrorMessage="1" xr:uid="{672F166E-1D4D-4DAE-8A4A-214759ACC245}">
          <x14:formula1>
            <xm:f>リスト!$S$4:$S$16</xm:f>
          </x14:formula1>
          <xm:sqref>AA23:AB25 AA35:AB37 AA81:AB83 AA69:AB71</xm:sqref>
        </x14:dataValidation>
        <x14:dataValidation type="list" allowBlank="1" showInputMessage="1" showErrorMessage="1" xr:uid="{DEC60FDC-E0B5-42CD-8B24-D62B47148DC2}">
          <x14:formula1>
            <xm:f>リスト!$J$4:$J$15</xm:f>
          </x14:formula1>
          <xm:sqref>L30:M34 L42:M46 L76:M80 L88:M92 L64:M68</xm:sqref>
        </x14:dataValidation>
        <x14:dataValidation type="list" allowBlank="1" showInputMessage="1" showErrorMessage="1" xr:uid="{F362F7FF-1404-4C25-91BE-26328B79FDFA}">
          <x14:formula1>
            <xm:f>リスト!$K$4:$K$14</xm:f>
          </x14:formula1>
          <xm:sqref>L35:M37 L47:M49 L81:M83 L93:M95 L69:M71</xm:sqref>
        </x14:dataValidation>
        <x14:dataValidation type="list" allowBlank="1" showInputMessage="1" showErrorMessage="1" xr:uid="{6F6BF6ED-2D09-4D2A-83B3-81649D6CB226}">
          <x14:formula1>
            <xm:f>リスト!$T$4:$T$13</xm:f>
          </x14:formula1>
          <xm:sqref>AE18:AF22 AE42:AF46 AE30:AF34 AE76:AF80 AE88:AF92 AE64:AF68</xm:sqref>
        </x14:dataValidation>
        <x14:dataValidation type="list" allowBlank="1" showInputMessage="1" showErrorMessage="1" xr:uid="{976B14A5-EB0E-44DC-9581-BC2C363C7D58}">
          <x14:formula1>
            <xm:f>リスト!$U$4:$U$13</xm:f>
          </x14:formula1>
          <xm:sqref>AE23:AF25 AE47:AF49 AE35:AF37 AE81:AF83 AE93:AF95 AE69:AF71</xm:sqref>
        </x14:dataValidation>
        <x14:dataValidation type="list" allowBlank="1" showInputMessage="1" showErrorMessage="1" xr:uid="{15DEBBCB-C41D-4A6D-B5D0-C5893D763152}">
          <x14:formula1>
            <xm:f>リスト!$V$4:$V$13</xm:f>
          </x14:formula1>
          <xm:sqref>AG18:AH22 AG42:AH46 AG30:AH34 AG76:AH80 AG88:AH92 AG64:AH68</xm:sqref>
        </x14:dataValidation>
        <x14:dataValidation type="list" allowBlank="1" showInputMessage="1" showErrorMessage="1" xr:uid="{8C4E4904-C510-4168-BE87-FA7D5F67A048}">
          <x14:formula1>
            <xm:f>リスト!$W$4:$W$13</xm:f>
          </x14:formula1>
          <xm:sqref>AG23:AH25 AG47:AH49 AG35:AH37 AG81:AH83 AG93:AH95 AG69:AH71</xm:sqref>
        </x14:dataValidation>
        <x14:dataValidation type="list" allowBlank="1" showInputMessage="1" showErrorMessage="1" xr:uid="{3D71F973-C908-4268-8D25-923F7377A021}">
          <x14:formula1>
            <xm:f>リスト!$B$4:$B$14</xm:f>
          </x14:formula1>
          <xm:sqref>N38:Q38 N72:Q72 N26:Q26 N96:Q96 N84:Q84 N50:Q50</xm:sqref>
        </x14:dataValidation>
        <x14:dataValidation type="list" allowBlank="1" showInputMessage="1" showErrorMessage="1" xr:uid="{4AE49F04-54EF-4CC6-8E4B-7A1F80732958}">
          <x14:formula1>
            <xm:f>リスト!$B$4:$B$7</xm:f>
          </x14:formula1>
          <xm:sqref>AA50 J50:M50 T50 T26 J38:M38 AE26 AA26 AE38 AE50:AF50 AA38 T38 L26:M26 AA96 J96:M96 T96 AE96:AF96 J84:M84 AA84 T84 AE84 J72:M72 AA72 T72 AE72</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リスト!$D$4:$D$10</xm:f>
          </x14:formula1>
          <xm:sqref>F30:G34 F42:G46 F76:G80 F88:G92 F64:G68</xm:sqref>
        </x14:dataValidation>
        <x14:dataValidation type="list" allowBlank="1" showInputMessage="1" showErrorMessage="1" xr:uid="{8058F3B0-83DA-4D00-88D0-931A13689883}">
          <x14:formula1>
            <xm:f>リスト!$E$4:$E$10</xm:f>
          </x14:formula1>
          <xm:sqref>F35:G37 F47:G49 F81:G83 F93:G95 F69:G71</xm:sqref>
        </x14:dataValidation>
        <x14:dataValidation type="list" allowBlank="1" showInputMessage="1" showErrorMessage="1" xr:uid="{867192B6-69D5-414A-8D46-523BEF54317D}">
          <x14:formula1>
            <xm:f>リスト!$H$4:$H$17</xm:f>
          </x14:formula1>
          <xm:sqref>K30:K34 K42:K46 K76:K80 K88:K92 K64:K68</xm:sqref>
        </x14:dataValidation>
        <x14:dataValidation type="list" allowBlank="1" showInputMessage="1" showErrorMessage="1" xr:uid="{518486D5-F9A8-4B92-B3B9-8953EF2476BB}">
          <x14:formula1>
            <xm:f>リスト!$I$4:$I$15</xm:f>
          </x14:formula1>
          <xm:sqref>K35:K37 K47:K49 K81:K83 K93:K95 K69:K71</xm:sqref>
        </x14:dataValidation>
        <x14:dataValidation type="list" allowBlank="1" showInputMessage="1" showErrorMessage="1" xr:uid="{BAE6064E-BCF5-4897-8EFE-954FE4C0506C}">
          <x14:formula1>
            <xm:f>リスト!$F$4:$F$16</xm:f>
          </x14:formula1>
          <xm:sqref>J30:J34 J42:J46 J76:J80 J88:J92 J64:J68</xm:sqref>
        </x14:dataValidation>
        <x14:dataValidation type="list" allowBlank="1" showInputMessage="1" showErrorMessage="1" xr:uid="{91DC0B59-714E-4847-9513-25617B86E978}">
          <x14:formula1>
            <xm:f>リスト!$G$4:$G$15</xm:f>
          </x14:formula1>
          <xm:sqref>J35:J37 J47:J49 J81:J83 J93:J95 J69:J71</xm:sqref>
        </x14:dataValidation>
        <x14:dataValidation type="list" allowBlank="1" showInputMessage="1" showErrorMessage="1" xr:uid="{9A5C1931-BA8C-477F-8619-20C43DB54A34}">
          <x14:formula1>
            <xm:f>リスト!$X$2:$X$8</xm:f>
          </x14:formula1>
          <xm:sqref>R64:S68 R88:S92 R76:S80</xm:sqref>
        </x14:dataValidation>
        <x14:dataValidation type="list" allowBlank="1" showInputMessage="1" showErrorMessage="1" xr:uid="{A9165464-64EB-474B-8D09-F8197CED0DC9}">
          <x14:formula1>
            <xm:f>リスト!$Y$4:$Y$8</xm:f>
          </x14:formula1>
          <xm:sqref>R35:S37 R47:S49 R81:S83 R93:S95 R69:S71</xm:sqref>
        </x14:dataValidation>
        <x14:dataValidation type="list" allowBlank="1" showInputMessage="1" showErrorMessage="1" xr:uid="{65766B35-7BFE-418F-9176-D3EA7591AB0C}">
          <x14:formula1>
            <xm:f>リスト!$C$4:$C$6</xm:f>
          </x14:formula1>
          <xm:sqref>L27:Q27 AE27:AF27 T39:AB39 AE39:AF39 T51:Z51 T27:AB27 AE73:AF73 J39:Q39 J97:Q97 J85:Q85 T85:AB85 AE85:AF85 T97:Z97 J73:Q73 T73:AB73 J51:Q51</xm:sqref>
        </x14:dataValidation>
        <x14:dataValidation type="list" allowBlank="1" showInputMessage="1" showErrorMessage="1" xr:uid="{67220BEB-6E38-40AD-B8D6-3FCE4D0570B8}">
          <x14:formula1>
            <xm:f>'入力3【⑥計画書 13時】'!$AS$8:$AS$12</xm:f>
          </x14:formula1>
          <xm:sqref>V26:Z26 V38:Z38 V50:Z50 V96:Z96 V84:Z84 V72:Z72</xm:sqref>
        </x14:dataValidation>
        <x14:dataValidation type="list" allowBlank="1" showInputMessage="1" showErrorMessage="1" xr:uid="{922E7128-D6EF-42EE-86F3-2C5832258A11}">
          <x14:formula1>
            <xm:f>リスト!$X$4:$X$8</xm:f>
          </x14:formula1>
          <xm:sqref>R30:S34 R42:S46</xm:sqref>
        </x14:dataValidation>
        <x14:dataValidation type="list" allowBlank="1" showInputMessage="1" showErrorMessage="1" xr:uid="{08721AC6-F65D-488E-9CE8-2BE8CA6BB043}">
          <x14:formula1>
            <xm:f>リスト!$L$3:$L$27</xm:f>
          </x14:formula1>
          <xm:sqref>N18:Q22 N64:Q68 N88:Q92 N76:Q80 N30:Q34 N42:Q46</xm:sqref>
        </x14:dataValidation>
        <x14:dataValidation type="list" allowBlank="1" showInputMessage="1" showErrorMessage="1" xr:uid="{CB7DBB61-3887-4A8E-88A0-29F621942757}">
          <x14:formula1>
            <xm:f>リスト!$M$4:$M$19</xm:f>
          </x14:formula1>
          <xm:sqref>N23:Q25 N69:Q71 N81:Q83 N93:Q95 N35:Q37 N47:Q49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DJ99"/>
  <sheetViews>
    <sheetView showGridLines="0" view="pageBreakPreview" zoomScale="55" zoomScaleNormal="40" zoomScaleSheetLayoutView="55" zoomScalePageLayoutView="59" workbookViewId="0">
      <pane ySplit="7" topLeftCell="A8" activePane="bottomLeft" state="frozen"/>
      <selection activeCell="H74" sqref="H74:I74"/>
      <selection pane="bottomLeft" activeCell="V23" sqref="V23:Z25"/>
    </sheetView>
  </sheetViews>
  <sheetFormatPr defaultRowHeight="13.5" x14ac:dyDescent="0.15"/>
  <cols>
    <col min="1" max="1" width="0.125" style="1220" customWidth="1"/>
    <col min="2" max="2" width="5.375" style="1220" customWidth="1"/>
    <col min="3" max="3" width="5.125" style="1220" customWidth="1"/>
    <col min="4" max="4" width="5.25" style="1220" customWidth="1"/>
    <col min="5" max="35" width="6.5" style="1220" customWidth="1"/>
    <col min="36" max="37" width="6.375" style="1220" customWidth="1"/>
    <col min="38" max="38" width="6.875" style="1220" customWidth="1"/>
    <col min="39" max="40" width="5.625" style="1220" customWidth="1"/>
    <col min="41" max="41" width="5" style="1220" customWidth="1"/>
    <col min="42" max="42" width="4.875" style="1220" customWidth="1"/>
    <col min="43" max="44" width="8.75" style="1220" customWidth="1"/>
    <col min="45" max="54" width="8.75" style="1237" customWidth="1"/>
    <col min="55" max="55" width="8.75" style="1238" customWidth="1"/>
    <col min="56" max="56" width="8.75" style="1229" customWidth="1"/>
    <col min="57" max="58" width="8.75" style="1239" customWidth="1"/>
    <col min="59" max="64" width="8.75" style="1229" customWidth="1"/>
    <col min="65" max="66" width="9" style="1229"/>
    <col min="67" max="16384" width="9" style="1220"/>
  </cols>
  <sheetData>
    <row r="1" spans="1:114" ht="1.5" customHeight="1" thickBot="1" x14ac:dyDescent="0.4">
      <c r="B1" s="1218"/>
      <c r="C1" s="1219"/>
      <c r="D1" s="1219"/>
      <c r="E1" s="1218"/>
      <c r="F1" s="1218"/>
      <c r="G1" s="1218"/>
      <c r="H1" s="1218"/>
      <c r="I1" s="1218"/>
      <c r="J1" s="1218"/>
      <c r="K1" s="1218"/>
      <c r="M1" s="1219"/>
      <c r="N1" s="1218"/>
      <c r="O1" s="1218"/>
      <c r="P1" s="1218"/>
      <c r="Q1" s="1218"/>
      <c r="W1" s="1218"/>
      <c r="X1" s="1218"/>
      <c r="Y1" s="1219"/>
      <c r="Z1" s="1221"/>
      <c r="AA1" s="1221"/>
      <c r="AB1" s="1221"/>
      <c r="AC1" s="1221"/>
      <c r="AD1" s="1221"/>
      <c r="AE1" s="1221"/>
      <c r="AF1" s="1221"/>
      <c r="AG1" s="1221"/>
      <c r="AH1" s="1221"/>
      <c r="AI1" s="1219"/>
      <c r="AJ1" s="1222"/>
      <c r="AK1" s="1222"/>
      <c r="AL1" s="1223"/>
      <c r="AM1" s="1223"/>
      <c r="AN1" s="1224"/>
      <c r="AO1" s="1224"/>
      <c r="AP1" s="1224"/>
      <c r="AR1" s="1224"/>
      <c r="AS1" s="1225"/>
      <c r="AT1" s="1225"/>
      <c r="AU1" s="1225"/>
      <c r="AV1" s="1225"/>
      <c r="AW1" s="1225"/>
      <c r="AX1" s="1225"/>
      <c r="AY1" s="1225"/>
      <c r="AZ1" s="1225"/>
      <c r="BA1" s="1225"/>
      <c r="BB1" s="1225"/>
      <c r="BC1" s="1226"/>
      <c r="BD1" s="1227"/>
      <c r="BE1" s="1228"/>
      <c r="BF1" s="1228" t="s">
        <v>609</v>
      </c>
    </row>
    <row r="2" spans="1:114" ht="19.5" customHeight="1" thickBot="1" x14ac:dyDescent="0.4">
      <c r="B2" s="2798" t="s">
        <v>441</v>
      </c>
      <c r="C2" s="2799"/>
      <c r="D2" s="2799"/>
      <c r="E2" s="2802" t="str">
        <f>IF(AND(M2="○",O2="○",M3="○"),"ＯＫ","未完成")</f>
        <v>未完成</v>
      </c>
      <c r="F2" s="2803"/>
      <c r="G2" s="2803"/>
      <c r="H2" s="2803"/>
      <c r="I2" s="2804"/>
      <c r="J2" s="1230"/>
      <c r="K2" s="1231" t="s">
        <v>549</v>
      </c>
      <c r="L2" s="1232"/>
      <c r="M2" s="1174" t="str">
        <f>IF(AND(B6="○",AE5="○"),"○","×")</f>
        <v>×</v>
      </c>
      <c r="N2" s="1233" t="s">
        <v>442</v>
      </c>
      <c r="O2" s="1234" t="str">
        <f>IF(AND(AB12&lt;&gt;"",AE12&lt;&gt;"",AH12&lt;&gt;""),"○","×")</f>
        <v>×</v>
      </c>
      <c r="P2" s="1235" t="s">
        <v>443</v>
      </c>
      <c r="Q2" s="1235"/>
      <c r="R2" s="1235"/>
      <c r="S2" s="1235"/>
      <c r="T2" s="1235"/>
      <c r="U2" s="1235"/>
      <c r="V2" s="1235"/>
      <c r="W2" s="1235"/>
      <c r="X2" s="1235"/>
      <c r="Y2" s="1235"/>
      <c r="Z2" s="1235"/>
      <c r="AA2" s="1235"/>
      <c r="AB2" s="1235"/>
      <c r="AC2" s="1235"/>
      <c r="AD2" s="1235"/>
      <c r="AE2" s="1235"/>
      <c r="AF2" s="1235"/>
      <c r="AG2" s="1235"/>
      <c r="AH2" s="1235"/>
      <c r="AI2" s="1236"/>
      <c r="AJ2" s="1223"/>
      <c r="AK2" s="1223"/>
      <c r="AL2" s="1223"/>
      <c r="AM2" s="1224"/>
      <c r="AN2" s="1224"/>
      <c r="AO2" s="1224"/>
      <c r="AP2" s="1224"/>
      <c r="BM2" s="1240"/>
      <c r="BN2" s="1240"/>
    </row>
    <row r="3" spans="1:114" ht="18.75" customHeight="1" thickBot="1" x14ac:dyDescent="0.2">
      <c r="B3" s="2800"/>
      <c r="C3" s="2801"/>
      <c r="D3" s="2801"/>
      <c r="E3" s="2805"/>
      <c r="F3" s="2806"/>
      <c r="G3" s="2806"/>
      <c r="H3" s="2806"/>
      <c r="I3" s="2807"/>
      <c r="J3" s="1230"/>
      <c r="K3" s="1241" t="s">
        <v>550</v>
      </c>
      <c r="L3" s="1242"/>
      <c r="M3" s="1171" t="str">
        <f>AO9</f>
        <v>×</v>
      </c>
      <c r="N3" s="2797" t="s">
        <v>446</v>
      </c>
      <c r="O3" s="2797"/>
      <c r="P3" s="2797"/>
      <c r="Q3" s="2797"/>
      <c r="R3" s="2797"/>
      <c r="S3" s="2797"/>
      <c r="T3" s="2797"/>
      <c r="U3" s="2797"/>
      <c r="V3" s="2797"/>
      <c r="W3" s="2797"/>
      <c r="X3" s="2797"/>
      <c r="Y3" s="2797"/>
      <c r="Z3" s="2797"/>
      <c r="AA3" s="2797"/>
      <c r="AB3" s="2797"/>
      <c r="AC3" s="2797"/>
      <c r="AD3" s="2797"/>
      <c r="AE3" s="2797"/>
      <c r="AF3" s="2797"/>
      <c r="AG3" s="2797"/>
      <c r="AH3" s="2797"/>
      <c r="AI3" s="2797"/>
      <c r="AJ3" s="1243"/>
      <c r="AK3" s="1243"/>
      <c r="AL3" s="1243"/>
      <c r="AM3" s="1243"/>
      <c r="AN3" s="1243"/>
      <c r="AO3" s="1243"/>
      <c r="AP3" s="1243"/>
      <c r="AQ3" s="1243"/>
      <c r="AR3" s="1243"/>
      <c r="AS3" s="1244"/>
      <c r="AT3" s="1244"/>
      <c r="AU3" s="1244"/>
      <c r="AV3" s="1244"/>
      <c r="AW3" s="1244"/>
      <c r="AX3" s="1244"/>
      <c r="AY3" s="1244"/>
      <c r="AZ3" s="1244"/>
      <c r="BA3" s="1244"/>
      <c r="BB3" s="1244"/>
      <c r="BC3" s="1245"/>
      <c r="BD3" s="1246"/>
      <c r="BE3" s="1247"/>
      <c r="BF3" s="1247"/>
      <c r="BG3" s="1247"/>
      <c r="BH3" s="1247"/>
      <c r="BI3" s="1248"/>
      <c r="BJ3" s="1248"/>
      <c r="BK3" s="1248"/>
      <c r="BL3" s="1248"/>
      <c r="BM3" s="1248"/>
      <c r="BN3" s="1248"/>
      <c r="BO3" s="1249"/>
      <c r="BP3" s="1249"/>
    </row>
    <row r="4" spans="1:114" s="1251" customFormat="1" ht="41.25" customHeight="1" x14ac:dyDescent="0.15">
      <c r="B4" s="2814" t="s">
        <v>559</v>
      </c>
      <c r="C4" s="2814"/>
      <c r="D4" s="2814"/>
      <c r="E4" s="2814"/>
      <c r="F4" s="2814"/>
      <c r="G4" s="2814"/>
      <c r="H4" s="2814"/>
      <c r="I4" s="2814"/>
      <c r="J4" s="2814"/>
      <c r="K4" s="2814"/>
      <c r="L4" s="2814"/>
      <c r="M4" s="2814"/>
      <c r="N4" s="2814"/>
      <c r="O4" s="2814"/>
      <c r="P4" s="2814"/>
      <c r="Q4" s="2814"/>
      <c r="R4" s="2814"/>
      <c r="S4" s="2814"/>
      <c r="T4" s="2814"/>
      <c r="U4" s="2814"/>
      <c r="V4" s="2814"/>
      <c r="W4" s="2814"/>
      <c r="X4" s="2814"/>
      <c r="Y4" s="2814"/>
      <c r="Z4" s="2814"/>
      <c r="AA4" s="2814"/>
      <c r="AB4" s="2814"/>
      <c r="AC4" s="2814"/>
      <c r="AD4" s="2814"/>
      <c r="AE4" s="1250"/>
      <c r="AF4" s="1250"/>
      <c r="AG4" s="1250"/>
      <c r="AH4" s="1250"/>
      <c r="AI4" s="1250"/>
      <c r="AJ4" s="1250"/>
      <c r="AK4" s="1250"/>
      <c r="AL4" s="1250"/>
      <c r="AM4" s="1243"/>
      <c r="AN4" s="1243"/>
      <c r="AO4" s="1243"/>
      <c r="AP4" s="1243"/>
      <c r="AQ4" s="1243"/>
      <c r="AR4" s="1243"/>
      <c r="AS4" s="1244"/>
      <c r="AT4" s="1244"/>
      <c r="AU4" s="1244"/>
      <c r="AV4" s="1244"/>
      <c r="AW4" s="1244"/>
      <c r="AX4" s="1244"/>
      <c r="AY4" s="1244"/>
      <c r="AZ4" s="1244"/>
      <c r="BA4" s="1244"/>
      <c r="BB4" s="1244"/>
      <c r="BC4" s="1245"/>
      <c r="BD4" s="1246"/>
      <c r="BE4" s="1247"/>
      <c r="BF4" s="1247"/>
      <c r="BG4" s="1247"/>
      <c r="BH4" s="1247"/>
      <c r="BI4" s="1248"/>
      <c r="BJ4" s="1248"/>
      <c r="BK4" s="1248"/>
      <c r="BL4" s="1248"/>
      <c r="BM4" s="1248"/>
      <c r="BN4" s="1248"/>
      <c r="BO4" s="1249"/>
      <c r="BP4" s="1249"/>
      <c r="BQ4" s="1249"/>
    </row>
    <row r="5" spans="1:114" s="209" customFormat="1" ht="30" customHeight="1" x14ac:dyDescent="0.15">
      <c r="B5" s="2815" t="s">
        <v>445</v>
      </c>
      <c r="C5" s="2815"/>
      <c r="D5" s="2815"/>
      <c r="E5" s="2815"/>
      <c r="F5" s="2815"/>
      <c r="G5" s="2815"/>
      <c r="H5" s="2815"/>
      <c r="I5" s="2815"/>
      <c r="J5" s="2815"/>
      <c r="K5" s="2815"/>
      <c r="L5" s="2815"/>
      <c r="M5" s="2815"/>
      <c r="N5" s="2815"/>
      <c r="O5" s="2815"/>
      <c r="P5" s="2815"/>
      <c r="Q5" s="2815"/>
      <c r="R5" s="2815"/>
      <c r="S5" s="2815"/>
      <c r="T5" s="2815"/>
      <c r="U5" s="2815"/>
      <c r="V5" s="2815"/>
      <c r="W5" s="2815"/>
      <c r="X5" s="2815"/>
      <c r="Y5" s="2815"/>
      <c r="Z5" s="2815"/>
      <c r="AA5" s="2815"/>
      <c r="AB5" s="2815"/>
      <c r="AC5" s="2815"/>
      <c r="AD5" s="2815"/>
      <c r="AE5" s="2816" t="str">
        <f>IF(OR(AH7="×",AJ7="×",AL7="×"),"×","○")</f>
        <v>×</v>
      </c>
      <c r="AF5" s="2817" t="s">
        <v>640</v>
      </c>
      <c r="AG5" s="2817"/>
      <c r="AH5" s="2818" t="s">
        <v>639</v>
      </c>
      <c r="AI5" s="2818"/>
      <c r="AJ5" s="2818" t="s">
        <v>641</v>
      </c>
      <c r="AK5" s="2818"/>
      <c r="AL5" s="2818" t="s">
        <v>642</v>
      </c>
      <c r="AM5" s="2818"/>
      <c r="AN5" s="1252"/>
      <c r="AO5" s="1252"/>
      <c r="AP5" s="1252"/>
      <c r="AQ5" s="1252"/>
      <c r="AR5" s="1252"/>
      <c r="AS5" s="1253"/>
      <c r="AT5" s="1253"/>
      <c r="AU5" s="1253"/>
      <c r="AV5" s="1253"/>
      <c r="AW5" s="1253"/>
      <c r="AX5" s="1253"/>
      <c r="AY5" s="1253"/>
      <c r="AZ5" s="1253"/>
      <c r="BA5" s="1253"/>
      <c r="BB5" s="1253"/>
      <c r="BC5" s="1254"/>
      <c r="BD5" s="1255"/>
      <c r="BE5" s="1256"/>
      <c r="BF5" s="1256"/>
      <c r="BG5" s="1257"/>
      <c r="BH5" s="1257"/>
      <c r="BI5" s="1258"/>
      <c r="BJ5" s="1258"/>
      <c r="BK5" s="1258"/>
      <c r="BL5" s="1258"/>
      <c r="BM5" s="1258"/>
      <c r="BN5" s="1258"/>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c r="DF5" s="1252"/>
      <c r="DG5" s="1252"/>
      <c r="DH5" s="1252"/>
      <c r="DI5" s="1252"/>
      <c r="DJ5" s="1252"/>
    </row>
    <row r="6" spans="1:114" s="209" customFormat="1" ht="33.75" customHeight="1" x14ac:dyDescent="0.15">
      <c r="B6" s="1259" t="str">
        <f>IF(T6="","×","○")</f>
        <v>×</v>
      </c>
      <c r="C6" s="2820" t="s">
        <v>649</v>
      </c>
      <c r="D6" s="2821"/>
      <c r="E6" s="2821"/>
      <c r="F6" s="2821"/>
      <c r="G6" s="2821"/>
      <c r="H6" s="2821"/>
      <c r="I6" s="2821"/>
      <c r="J6" s="2821"/>
      <c r="K6" s="2821"/>
      <c r="L6" s="2821"/>
      <c r="M6" s="2821"/>
      <c r="N6" s="2821"/>
      <c r="O6" s="2821"/>
      <c r="P6" s="2821"/>
      <c r="Q6" s="2821"/>
      <c r="R6" s="2821"/>
      <c r="S6" s="2821"/>
      <c r="T6" s="1217"/>
      <c r="U6" s="1260"/>
      <c r="V6" s="1260"/>
      <c r="W6" s="1260"/>
      <c r="X6" s="1260"/>
      <c r="Y6" s="1260"/>
      <c r="Z6" s="1260"/>
      <c r="AA6" s="1260"/>
      <c r="AB6" s="1260"/>
      <c r="AC6" s="1260"/>
      <c r="AD6" s="1260"/>
      <c r="AE6" s="2816"/>
      <c r="AF6" s="2817"/>
      <c r="AG6" s="2817"/>
      <c r="AH6" s="2712"/>
      <c r="AI6" s="2712"/>
      <c r="AJ6" s="2786"/>
      <c r="AK6" s="2786"/>
      <c r="AL6" s="2785"/>
      <c r="AM6" s="2785"/>
      <c r="AN6" s="1261"/>
      <c r="AO6" s="1261"/>
      <c r="AP6" s="1261"/>
      <c r="AQ6" s="1261"/>
      <c r="AR6" s="1261"/>
      <c r="AS6" s="1262" t="s">
        <v>586</v>
      </c>
      <c r="AT6" s="1262" t="s">
        <v>655</v>
      </c>
      <c r="AU6" s="1262" t="s">
        <v>630</v>
      </c>
      <c r="AV6" s="1262" t="s">
        <v>631</v>
      </c>
      <c r="AW6" s="1262" t="s">
        <v>632</v>
      </c>
      <c r="AX6" s="1262" t="s">
        <v>633</v>
      </c>
      <c r="AY6" s="1262" t="s">
        <v>634</v>
      </c>
      <c r="AZ6" s="1262" t="s">
        <v>635</v>
      </c>
      <c r="BA6" s="1262" t="s">
        <v>623</v>
      </c>
      <c r="BB6" s="1262" t="s">
        <v>624</v>
      </c>
      <c r="BC6" s="1263" t="s">
        <v>585</v>
      </c>
      <c r="BD6" s="1264" t="s">
        <v>590</v>
      </c>
      <c r="BE6" s="1265" t="s">
        <v>608</v>
      </c>
      <c r="BF6" s="1266" t="s">
        <v>609</v>
      </c>
      <c r="BG6" s="1267" t="s">
        <v>584</v>
      </c>
      <c r="BH6" s="1267" t="s">
        <v>591</v>
      </c>
      <c r="BI6" s="1268" t="s">
        <v>587</v>
      </c>
      <c r="BJ6" s="1268" t="s">
        <v>599</v>
      </c>
      <c r="BK6" s="1268" t="s">
        <v>588</v>
      </c>
      <c r="BL6" s="1268" t="s">
        <v>600</v>
      </c>
      <c r="BM6" s="1268" t="s">
        <v>589</v>
      </c>
      <c r="BN6" s="1268" t="s">
        <v>601</v>
      </c>
      <c r="BO6" s="1269" t="s">
        <v>653</v>
      </c>
      <c r="BP6" s="1265" t="s">
        <v>654</v>
      </c>
      <c r="BQ6" s="1265"/>
    </row>
    <row r="7" spans="1:114" s="948" customFormat="1" ht="20.25" customHeight="1" x14ac:dyDescent="0.15">
      <c r="M7" s="1318"/>
      <c r="N7" s="1318"/>
      <c r="O7" s="1318"/>
      <c r="P7" s="1318"/>
      <c r="Q7" s="1318"/>
      <c r="R7" s="1318"/>
      <c r="S7" s="1318"/>
      <c r="T7" s="1318"/>
      <c r="U7" s="1318"/>
      <c r="V7" s="1318"/>
      <c r="W7" s="1318"/>
      <c r="X7" s="1318"/>
      <c r="Y7" s="1318"/>
      <c r="Z7" s="1318"/>
      <c r="AA7" s="1318"/>
      <c r="AB7" s="1318"/>
      <c r="AC7" s="1318"/>
      <c r="AD7" s="1318"/>
      <c r="AE7" s="1318"/>
      <c r="AF7" s="1318"/>
      <c r="AG7" s="1318"/>
      <c r="AH7" s="1320" t="str">
        <f>IF(AH6="","×","○")</f>
        <v>×</v>
      </c>
      <c r="AI7" s="1318"/>
      <c r="AJ7" s="1320" t="str">
        <f>IF(OR(AND(AJ5=" ",AJ6=""),AND(AJ5&lt;&gt;"",AJ6&lt;&gt;"")),"○","×")</f>
        <v>×</v>
      </c>
      <c r="AK7" s="981"/>
      <c r="AL7" s="1320" t="str">
        <f>IF(OR(AND(AL5=" ",AL6=""),AND(AL5&lt;&gt;"",AL6&lt;&gt;"")),"○","×")</f>
        <v>×</v>
      </c>
      <c r="AM7" s="981"/>
      <c r="AN7" s="981"/>
      <c r="AO7" s="982"/>
      <c r="AP7" s="982"/>
      <c r="AQ7" s="982"/>
      <c r="AR7" s="982"/>
      <c r="AS7" s="1253"/>
      <c r="AT7" s="1253"/>
      <c r="AU7" s="1253"/>
      <c r="AV7" s="1253"/>
      <c r="AW7" s="1253"/>
      <c r="AX7" s="1253"/>
      <c r="AY7" s="1253"/>
      <c r="AZ7" s="1253"/>
      <c r="BA7" s="1253"/>
      <c r="BB7" s="1253"/>
      <c r="BC7" s="1270"/>
      <c r="BD7" s="1271"/>
      <c r="BE7" s="1272"/>
      <c r="BF7" s="1272"/>
      <c r="BG7" s="1273"/>
      <c r="BH7" s="1273"/>
      <c r="BI7" s="1273"/>
      <c r="BJ7" s="1273"/>
      <c r="BK7" s="1273"/>
      <c r="BL7" s="1273"/>
      <c r="BM7" s="1273"/>
      <c r="BN7" s="1273"/>
    </row>
    <row r="8" spans="1:114" ht="41.25" customHeight="1" x14ac:dyDescent="0.25">
      <c r="A8" s="1321"/>
      <c r="B8" s="2550" t="s">
        <v>689</v>
      </c>
      <c r="C8" s="2550"/>
      <c r="D8" s="2550"/>
      <c r="E8" s="2550"/>
      <c r="F8" s="2550"/>
      <c r="G8" s="2550"/>
      <c r="H8" s="2550"/>
      <c r="I8" s="2550"/>
      <c r="J8" s="2550"/>
      <c r="K8" s="2550"/>
      <c r="L8" s="2550"/>
      <c r="M8" s="2550"/>
      <c r="N8" s="2550"/>
      <c r="O8" s="2550"/>
      <c r="P8" s="2550"/>
      <c r="Q8" s="2550"/>
      <c r="R8" s="2550"/>
      <c r="S8" s="2550"/>
      <c r="T8" s="2550"/>
      <c r="U8" s="2550"/>
      <c r="V8" s="2550"/>
      <c r="W8" s="2550"/>
      <c r="X8" s="2550"/>
      <c r="Y8" s="2550"/>
      <c r="Z8" s="2550"/>
      <c r="AA8" s="2550"/>
      <c r="AB8" s="2549" t="s">
        <v>520</v>
      </c>
      <c r="AC8" s="2549"/>
      <c r="AD8" s="2549"/>
      <c r="AE8" s="2549"/>
      <c r="AF8" s="2549"/>
      <c r="AG8" s="2549"/>
      <c r="AH8" s="2549"/>
      <c r="AI8" s="2549"/>
      <c r="AJ8" s="2549"/>
      <c r="AK8" s="2549"/>
      <c r="AL8" s="1178" t="s">
        <v>190</v>
      </c>
      <c r="AM8" s="1179">
        <v>1</v>
      </c>
      <c r="AN8" s="1180" t="s">
        <v>44</v>
      </c>
      <c r="AO8" s="1274"/>
      <c r="AQ8" s="1220" t="s">
        <v>643</v>
      </c>
      <c r="AR8" s="1220" t="s">
        <v>375</v>
      </c>
      <c r="AS8" s="1229" t="s">
        <v>603</v>
      </c>
      <c r="AT8" s="1229" t="s">
        <v>657</v>
      </c>
      <c r="AU8" s="1229" t="s">
        <v>603</v>
      </c>
      <c r="AV8" s="1229" t="s">
        <v>530</v>
      </c>
      <c r="AW8" s="1229" t="s">
        <v>603</v>
      </c>
      <c r="AX8" s="1229" t="s">
        <v>530</v>
      </c>
      <c r="AY8" s="1229" t="s">
        <v>648</v>
      </c>
      <c r="AZ8" s="1229" t="s">
        <v>530</v>
      </c>
      <c r="BA8" s="1229" t="s">
        <v>626</v>
      </c>
      <c r="BB8" s="1229" t="s">
        <v>627</v>
      </c>
      <c r="BC8" s="1275" t="s">
        <v>612</v>
      </c>
      <c r="BD8" s="1276" t="s">
        <v>616</v>
      </c>
      <c r="BE8" s="1229" t="s">
        <v>603</v>
      </c>
      <c r="BF8" s="1229" t="s">
        <v>530</v>
      </c>
      <c r="BG8" s="1237" t="s">
        <v>573</v>
      </c>
      <c r="BH8" s="1237" t="s">
        <v>592</v>
      </c>
      <c r="BI8" s="1229" t="s">
        <v>602</v>
      </c>
      <c r="BJ8" s="1229" t="s">
        <v>605</v>
      </c>
      <c r="BK8" s="1229" t="s">
        <v>607</v>
      </c>
      <c r="BL8" s="1229" t="s">
        <v>592</v>
      </c>
      <c r="BM8" s="1229" t="s">
        <v>602</v>
      </c>
      <c r="BN8" s="1229" t="s">
        <v>605</v>
      </c>
      <c r="BO8" s="1220" t="s">
        <v>566</v>
      </c>
      <c r="BP8" s="1220" t="s">
        <v>525</v>
      </c>
    </row>
    <row r="9" spans="1:114" ht="24.75" customHeight="1" x14ac:dyDescent="0.2">
      <c r="B9" s="2716" t="s">
        <v>65</v>
      </c>
      <c r="C9" s="2717"/>
      <c r="D9" s="2722">
        <f>入力1!F13</f>
        <v>0</v>
      </c>
      <c r="E9" s="2510"/>
      <c r="F9" s="2510"/>
      <c r="G9" s="2510"/>
      <c r="H9" s="2510"/>
      <c r="I9" s="2522" t="str">
        <f>IF(入力1!E11="グループ","","ファミリー")</f>
        <v>ファミリー</v>
      </c>
      <c r="J9" s="2737"/>
      <c r="K9" s="2726" t="str">
        <f>入力1!L18&amp;入力1!N18&amp;" 　"</f>
        <v>県 　</v>
      </c>
      <c r="L9" s="2523"/>
      <c r="M9" s="2727"/>
      <c r="N9" s="2742"/>
      <c r="O9" s="2524"/>
      <c r="P9" s="2745" t="s">
        <v>438</v>
      </c>
      <c r="Q9" s="2722" t="s">
        <v>187</v>
      </c>
      <c r="R9" s="2510"/>
      <c r="S9" s="2525">
        <f>入力1!G24</f>
        <v>0</v>
      </c>
      <c r="T9" s="2509" t="s">
        <v>3</v>
      </c>
      <c r="U9" s="2525">
        <f>入力1!J24</f>
        <v>0</v>
      </c>
      <c r="V9" s="2509" t="s">
        <v>0</v>
      </c>
      <c r="W9" s="2525">
        <f>入力1!L24</f>
        <v>0</v>
      </c>
      <c r="X9" s="2509" t="s">
        <v>644</v>
      </c>
      <c r="Y9" s="2509" t="str">
        <f>入力1!O24</f>
        <v/>
      </c>
      <c r="Z9" s="2509" t="s">
        <v>645</v>
      </c>
      <c r="AA9" s="2526" t="str">
        <f>入力1!T24</f>
        <v/>
      </c>
      <c r="AB9" s="2509" t="s">
        <v>0</v>
      </c>
      <c r="AC9" s="2527" t="str">
        <f>入力1!V24</f>
        <v/>
      </c>
      <c r="AD9" s="2509" t="s">
        <v>644</v>
      </c>
      <c r="AE9" s="2509" t="str">
        <f>入力1!Y24</f>
        <v/>
      </c>
      <c r="AF9" s="2509" t="s">
        <v>646</v>
      </c>
      <c r="AG9" s="2509">
        <f>入力1!F23</f>
        <v>0</v>
      </c>
      <c r="AH9" s="2509" t="s">
        <v>472</v>
      </c>
      <c r="AI9" s="2509" t="str">
        <f>入力1!H23</f>
        <v/>
      </c>
      <c r="AJ9" s="2748" t="s">
        <v>529</v>
      </c>
      <c r="AK9" s="2510" t="s">
        <v>189</v>
      </c>
      <c r="AL9" s="2510"/>
      <c r="AM9" s="1322">
        <f>入力1!F33</f>
        <v>0</v>
      </c>
      <c r="AN9" s="1323" t="s">
        <v>188</v>
      </c>
      <c r="AO9" s="1277" t="str">
        <f>IF(OR(O9="",AP9="×"),"×","○")</f>
        <v>×</v>
      </c>
      <c r="AP9" s="1278" t="str">
        <f>IF(OR(AQ9="×",AR9="×",AS9="×",BC9="×"),"×","○")</f>
        <v>○</v>
      </c>
      <c r="AQ9" s="1278" t="str">
        <f>IF(OR(COUNTIF(O9, "*市")), "×", "○")</f>
        <v>○</v>
      </c>
      <c r="AR9" s="1278" t="str">
        <f>IF(OR(COUNTIF(O9, "*区")), "×", "○")</f>
        <v>○</v>
      </c>
      <c r="AS9" s="1229" t="s">
        <v>579</v>
      </c>
      <c r="AT9" s="1229" t="s">
        <v>667</v>
      </c>
      <c r="AU9" s="1229" t="s">
        <v>575</v>
      </c>
      <c r="AV9" s="1229" t="s">
        <v>636</v>
      </c>
      <c r="AW9" s="1229" t="s">
        <v>575</v>
      </c>
      <c r="AX9" s="1229" t="s">
        <v>636</v>
      </c>
      <c r="AY9" s="1229" t="s">
        <v>603</v>
      </c>
      <c r="AZ9" s="1229" t="s">
        <v>636</v>
      </c>
      <c r="BA9" s="1229" t="s">
        <v>576</v>
      </c>
      <c r="BB9" s="1229" t="s">
        <v>628</v>
      </c>
      <c r="BC9" s="1238" t="s">
        <v>613</v>
      </c>
      <c r="BD9" s="1229" t="s">
        <v>592</v>
      </c>
      <c r="BE9" s="1229" t="s">
        <v>626</v>
      </c>
      <c r="BF9" s="1229" t="s">
        <v>627</v>
      </c>
      <c r="BG9" s="1237" t="s">
        <v>574</v>
      </c>
      <c r="BH9" s="1237" t="s">
        <v>593</v>
      </c>
      <c r="BI9" s="1229" t="s">
        <v>603</v>
      </c>
      <c r="BJ9" s="1229" t="s">
        <v>530</v>
      </c>
      <c r="BK9" s="1229" t="s">
        <v>603</v>
      </c>
      <c r="BL9" s="1229" t="s">
        <v>530</v>
      </c>
      <c r="BM9" s="1229" t="s">
        <v>603</v>
      </c>
      <c r="BN9" s="1229" t="s">
        <v>530</v>
      </c>
      <c r="BO9" s="1220" t="s">
        <v>622</v>
      </c>
      <c r="BP9" s="1220" t="s">
        <v>622</v>
      </c>
    </row>
    <row r="10" spans="1:114" ht="22.5" customHeight="1" x14ac:dyDescent="0.15">
      <c r="B10" s="2718"/>
      <c r="C10" s="2719"/>
      <c r="D10" s="2724"/>
      <c r="E10" s="2542"/>
      <c r="F10" s="2542"/>
      <c r="G10" s="2542"/>
      <c r="H10" s="2542"/>
      <c r="I10" s="2738" t="str">
        <f>IF(入力1!E11="ファミリー","","グループ")</f>
        <v>グループ</v>
      </c>
      <c r="J10" s="2739"/>
      <c r="K10" s="2728"/>
      <c r="L10" s="2729"/>
      <c r="M10" s="2730"/>
      <c r="N10" s="2743"/>
      <c r="O10" s="2744"/>
      <c r="P10" s="2746"/>
      <c r="Q10" s="2724"/>
      <c r="R10" s="2542"/>
      <c r="S10" s="2747"/>
      <c r="T10" s="2533"/>
      <c r="U10" s="2747"/>
      <c r="V10" s="2533"/>
      <c r="W10" s="2747"/>
      <c r="X10" s="2533"/>
      <c r="Y10" s="2533"/>
      <c r="Z10" s="2533"/>
      <c r="AA10" s="2534"/>
      <c r="AB10" s="2533"/>
      <c r="AC10" s="2535"/>
      <c r="AD10" s="2533"/>
      <c r="AE10" s="2533"/>
      <c r="AF10" s="2533"/>
      <c r="AG10" s="2533"/>
      <c r="AH10" s="2533"/>
      <c r="AI10" s="2533"/>
      <c r="AJ10" s="2749"/>
      <c r="AK10" s="2542" t="s">
        <v>538</v>
      </c>
      <c r="AL10" s="2542"/>
      <c r="AM10" s="1176">
        <f>入力1!M33</f>
        <v>0</v>
      </c>
      <c r="AN10" s="1177" t="s">
        <v>532</v>
      </c>
      <c r="AO10" s="1221"/>
      <c r="AP10" s="1221"/>
      <c r="AS10" s="1229" t="s">
        <v>580</v>
      </c>
      <c r="AT10" s="1229" t="s">
        <v>606</v>
      </c>
      <c r="AU10" s="1229"/>
      <c r="AV10" s="1229"/>
      <c r="AW10" s="1238" t="s">
        <v>576</v>
      </c>
      <c r="AX10" s="1279" t="s">
        <v>596</v>
      </c>
      <c r="AY10" s="1229" t="s">
        <v>575</v>
      </c>
      <c r="AZ10" s="1279" t="s">
        <v>596</v>
      </c>
      <c r="BA10" s="1229" t="s">
        <v>578</v>
      </c>
      <c r="BB10" s="1229" t="s">
        <v>629</v>
      </c>
      <c r="BC10" s="1238" t="s">
        <v>614</v>
      </c>
      <c r="BD10" s="1229" t="s">
        <v>617</v>
      </c>
      <c r="BE10" s="1229" t="s">
        <v>576</v>
      </c>
      <c r="BF10" s="1229" t="s">
        <v>628</v>
      </c>
      <c r="BG10" s="1237" t="s">
        <v>661</v>
      </c>
      <c r="BH10" s="1229" t="s">
        <v>617</v>
      </c>
      <c r="BI10" s="1229" t="s">
        <v>626</v>
      </c>
      <c r="BJ10" s="1229" t="s">
        <v>627</v>
      </c>
      <c r="BK10" s="1229" t="s">
        <v>579</v>
      </c>
      <c r="BL10" s="1229" t="s">
        <v>598</v>
      </c>
      <c r="BM10" s="1229" t="s">
        <v>579</v>
      </c>
      <c r="BN10" s="1229" t="s">
        <v>598</v>
      </c>
    </row>
    <row r="11" spans="1:114" ht="19.5" customHeight="1" x14ac:dyDescent="0.15">
      <c r="B11" s="2714" t="s">
        <v>186</v>
      </c>
      <c r="C11" s="2715"/>
      <c r="D11" s="2740" t="s">
        <v>185</v>
      </c>
      <c r="E11" s="2783"/>
      <c r="F11" s="2740" t="str">
        <f>入力1!Q15</f>
        <v/>
      </c>
      <c r="G11" s="2741"/>
      <c r="H11" s="2741"/>
      <c r="I11" s="2741"/>
      <c r="J11" s="2741"/>
      <c r="K11" s="2741"/>
      <c r="L11" s="2741"/>
      <c r="M11" s="2741"/>
      <c r="N11" s="2741"/>
      <c r="O11" s="2741"/>
      <c r="P11" s="2741"/>
      <c r="Q11" s="2741"/>
      <c r="R11" s="2536" t="s">
        <v>184</v>
      </c>
      <c r="S11" s="2537"/>
      <c r="T11" s="2537"/>
      <c r="U11" s="2537"/>
      <c r="V11" s="2537"/>
      <c r="W11" s="2537"/>
      <c r="X11" s="2537"/>
      <c r="Y11" s="2537"/>
      <c r="Z11" s="2537"/>
      <c r="AA11" s="2538"/>
      <c r="AB11" s="2536" t="s">
        <v>638</v>
      </c>
      <c r="AC11" s="2537"/>
      <c r="AD11" s="2537"/>
      <c r="AE11" s="2537"/>
      <c r="AF11" s="2537"/>
      <c r="AG11" s="2537"/>
      <c r="AH11" s="2514"/>
      <c r="AI11" s="2537"/>
      <c r="AJ11" s="2514"/>
      <c r="AK11" s="2538"/>
      <c r="AL11" s="2731" t="s">
        <v>647</v>
      </c>
      <c r="AM11" s="2732"/>
      <c r="AN11" s="2733"/>
      <c r="AO11" s="1280"/>
      <c r="AP11" s="1280"/>
      <c r="AQ11" s="1280"/>
      <c r="AR11" s="1280"/>
      <c r="AS11" s="1229" t="s">
        <v>604</v>
      </c>
      <c r="AT11" s="1229"/>
      <c r="AU11" s="1229"/>
      <c r="AV11" s="1229"/>
      <c r="AW11" s="1238" t="s">
        <v>577</v>
      </c>
      <c r="AX11" s="1281" t="s">
        <v>597</v>
      </c>
      <c r="AY11" s="1238" t="s">
        <v>576</v>
      </c>
      <c r="AZ11" s="1281" t="s">
        <v>597</v>
      </c>
      <c r="BA11" s="1229" t="s">
        <v>579</v>
      </c>
      <c r="BB11" s="1229" t="s">
        <v>598</v>
      </c>
      <c r="BC11" s="1238" t="s">
        <v>615</v>
      </c>
      <c r="BD11" s="1279" t="s">
        <v>618</v>
      </c>
      <c r="BE11" s="1229" t="s">
        <v>578</v>
      </c>
      <c r="BF11" s="1229" t="s">
        <v>629</v>
      </c>
      <c r="BG11" s="1279" t="s">
        <v>663</v>
      </c>
      <c r="BH11" s="1237" t="s">
        <v>594</v>
      </c>
      <c r="BI11" s="1229" t="s">
        <v>576</v>
      </c>
      <c r="BJ11" s="1229" t="s">
        <v>628</v>
      </c>
      <c r="BK11" s="1229" t="s">
        <v>580</v>
      </c>
      <c r="BL11" s="1229" t="s">
        <v>610</v>
      </c>
      <c r="BM11" s="1229" t="s">
        <v>580</v>
      </c>
      <c r="BN11" s="1229" t="s">
        <v>610</v>
      </c>
    </row>
    <row r="12" spans="1:114" ht="5.25" customHeight="1" x14ac:dyDescent="0.15">
      <c r="B12" s="2716"/>
      <c r="C12" s="2717"/>
      <c r="D12" s="2720" t="s">
        <v>183</v>
      </c>
      <c r="E12" s="2721"/>
      <c r="F12" s="2720">
        <f>入力1!Q16</f>
        <v>0</v>
      </c>
      <c r="G12" s="2782"/>
      <c r="H12" s="2782"/>
      <c r="I12" s="2782"/>
      <c r="J12" s="2782"/>
      <c r="K12" s="2782"/>
      <c r="L12" s="2782"/>
      <c r="M12" s="2782"/>
      <c r="N12" s="2782"/>
      <c r="O12" s="2782"/>
      <c r="P12" s="2782"/>
      <c r="Q12" s="2782"/>
      <c r="R12" s="2539">
        <f>入力1!Q21</f>
        <v>0</v>
      </c>
      <c r="S12" s="2516"/>
      <c r="T12" s="2516"/>
      <c r="U12" s="2510" t="s">
        <v>15</v>
      </c>
      <c r="V12" s="2516">
        <f>入力1!T21</f>
        <v>0</v>
      </c>
      <c r="W12" s="2516"/>
      <c r="X12" s="2510" t="s">
        <v>16</v>
      </c>
      <c r="Y12" s="2516">
        <f>入力1!W21</f>
        <v>0</v>
      </c>
      <c r="Z12" s="2516"/>
      <c r="AA12" s="2790"/>
      <c r="AB12" s="2546"/>
      <c r="AC12" s="2518"/>
      <c r="AD12" s="2518"/>
      <c r="AE12" s="2510" t="s">
        <v>15</v>
      </c>
      <c r="AF12" s="2519"/>
      <c r="AG12" s="2519"/>
      <c r="AH12" s="2510" t="s">
        <v>16</v>
      </c>
      <c r="AI12" s="2519"/>
      <c r="AJ12" s="2519"/>
      <c r="AK12" s="2530"/>
      <c r="AL12" s="2734"/>
      <c r="AM12" s="2735"/>
      <c r="AN12" s="2736"/>
      <c r="AO12" s="1280"/>
      <c r="AP12" s="1280"/>
      <c r="AQ12" s="1280"/>
      <c r="AR12" s="1280"/>
      <c r="AS12" s="1229" t="s">
        <v>581</v>
      </c>
      <c r="AT12" s="1229"/>
      <c r="AU12" s="1229"/>
      <c r="AV12" s="1229"/>
      <c r="AW12" s="1238" t="s">
        <v>578</v>
      </c>
      <c r="AX12" s="1282" t="s">
        <v>598</v>
      </c>
      <c r="AY12" s="1238" t="s">
        <v>577</v>
      </c>
      <c r="AZ12" s="1282" t="s">
        <v>598</v>
      </c>
      <c r="BA12" s="1229" t="s">
        <v>580</v>
      </c>
      <c r="BB12" s="1229" t="s">
        <v>610</v>
      </c>
      <c r="BC12" s="1283" t="s">
        <v>574</v>
      </c>
      <c r="BD12" s="1279" t="s">
        <v>596</v>
      </c>
      <c r="BE12" s="1229" t="s">
        <v>579</v>
      </c>
      <c r="BF12" s="1229" t="s">
        <v>598</v>
      </c>
      <c r="BG12" s="1279" t="s">
        <v>582</v>
      </c>
      <c r="BH12" s="1279" t="s">
        <v>595</v>
      </c>
      <c r="BI12" s="1229" t="s">
        <v>578</v>
      </c>
      <c r="BJ12" s="1229" t="s">
        <v>629</v>
      </c>
      <c r="BK12" s="1229" t="s">
        <v>625</v>
      </c>
      <c r="BL12" s="1229" t="s">
        <v>606</v>
      </c>
      <c r="BM12" s="1229" t="s">
        <v>625</v>
      </c>
      <c r="BN12" s="1229" t="s">
        <v>606</v>
      </c>
    </row>
    <row r="13" spans="1:114" ht="21" customHeight="1" x14ac:dyDescent="0.15">
      <c r="B13" s="2716"/>
      <c r="C13" s="2717"/>
      <c r="D13" s="2722"/>
      <c r="E13" s="2723"/>
      <c r="F13" s="2722"/>
      <c r="G13" s="2510"/>
      <c r="H13" s="2510"/>
      <c r="I13" s="2510"/>
      <c r="J13" s="2510"/>
      <c r="K13" s="2510"/>
      <c r="L13" s="2510"/>
      <c r="M13" s="2510"/>
      <c r="N13" s="2510"/>
      <c r="O13" s="2510"/>
      <c r="P13" s="2510"/>
      <c r="Q13" s="2510"/>
      <c r="R13" s="2539"/>
      <c r="S13" s="2516"/>
      <c r="T13" s="2516"/>
      <c r="U13" s="2510"/>
      <c r="V13" s="2516"/>
      <c r="W13" s="2516"/>
      <c r="X13" s="2510"/>
      <c r="Y13" s="2516"/>
      <c r="Z13" s="2516"/>
      <c r="AA13" s="2790"/>
      <c r="AB13" s="2546"/>
      <c r="AC13" s="2518"/>
      <c r="AD13" s="2518"/>
      <c r="AE13" s="2510"/>
      <c r="AF13" s="2519"/>
      <c r="AG13" s="2519"/>
      <c r="AH13" s="2510"/>
      <c r="AI13" s="2519"/>
      <c r="AJ13" s="2519"/>
      <c r="AK13" s="2530"/>
      <c r="AL13" s="1181" t="str">
        <f>IF(入力1!F26="生活館","○","")</f>
        <v/>
      </c>
      <c r="AM13" s="2765" t="s">
        <v>536</v>
      </c>
      <c r="AN13" s="2766"/>
      <c r="AO13" s="1011" t="str">
        <f>IF(AND(入力1!F23&lt;&gt;0,入力1!$F$26="ロッジ"),"○","")</f>
        <v/>
      </c>
      <c r="AQ13" s="1284"/>
      <c r="AR13" s="1284"/>
      <c r="AS13" s="1229" t="s">
        <v>665</v>
      </c>
      <c r="AT13" s="1285"/>
      <c r="AU13" s="1285"/>
      <c r="AV13" s="1285"/>
      <c r="AW13" s="1238" t="s">
        <v>579</v>
      </c>
      <c r="AX13" s="1281" t="s">
        <v>611</v>
      </c>
      <c r="AY13" s="1238" t="s">
        <v>578</v>
      </c>
      <c r="AZ13" s="1281" t="s">
        <v>611</v>
      </c>
      <c r="BA13" s="1229" t="s">
        <v>625</v>
      </c>
      <c r="BB13" s="1229" t="s">
        <v>606</v>
      </c>
      <c r="BC13" s="1275" t="s">
        <v>658</v>
      </c>
      <c r="BD13" s="1281" t="s">
        <v>597</v>
      </c>
      <c r="BE13" s="1229" t="s">
        <v>580</v>
      </c>
      <c r="BF13" s="1229" t="s">
        <v>610</v>
      </c>
      <c r="BG13" s="1279" t="s">
        <v>662</v>
      </c>
      <c r="BH13" s="1279" t="s">
        <v>596</v>
      </c>
      <c r="BI13" s="1229" t="s">
        <v>579</v>
      </c>
      <c r="BJ13" s="1229" t="s">
        <v>598</v>
      </c>
    </row>
    <row r="14" spans="1:114" ht="21" customHeight="1" x14ac:dyDescent="0.15">
      <c r="B14" s="2718"/>
      <c r="C14" s="2719"/>
      <c r="D14" s="2724"/>
      <c r="E14" s="2725"/>
      <c r="F14" s="2724"/>
      <c r="G14" s="2542"/>
      <c r="H14" s="2542"/>
      <c r="I14" s="2542"/>
      <c r="J14" s="2542"/>
      <c r="K14" s="2542"/>
      <c r="L14" s="2542"/>
      <c r="M14" s="2542"/>
      <c r="N14" s="2542"/>
      <c r="O14" s="2542"/>
      <c r="P14" s="2542"/>
      <c r="Q14" s="2542"/>
      <c r="R14" s="2540"/>
      <c r="S14" s="2541"/>
      <c r="T14" s="2541"/>
      <c r="U14" s="2542"/>
      <c r="V14" s="2541"/>
      <c r="W14" s="2541"/>
      <c r="X14" s="2542"/>
      <c r="Y14" s="2541"/>
      <c r="Z14" s="2541"/>
      <c r="AA14" s="2791"/>
      <c r="AB14" s="2547"/>
      <c r="AC14" s="2548"/>
      <c r="AD14" s="2548"/>
      <c r="AE14" s="2542"/>
      <c r="AF14" s="2531"/>
      <c r="AG14" s="2531"/>
      <c r="AH14" s="2542"/>
      <c r="AI14" s="2531"/>
      <c r="AJ14" s="2531"/>
      <c r="AK14" s="2532"/>
      <c r="AL14" s="1182" t="str">
        <f>IF(入力1!F26="ロッジ","○","")</f>
        <v/>
      </c>
      <c r="AM14" s="2765" t="s">
        <v>537</v>
      </c>
      <c r="AN14" s="2766"/>
      <c r="AO14" s="1286"/>
      <c r="AP14" s="1287"/>
      <c r="AQ14" s="1288"/>
      <c r="AR14" s="1288"/>
      <c r="AS14" s="1289"/>
      <c r="AT14" s="1289"/>
      <c r="AU14" s="1289"/>
      <c r="AV14" s="1289"/>
      <c r="AW14" s="1238" t="s">
        <v>580</v>
      </c>
      <c r="AX14" s="1229" t="s">
        <v>606</v>
      </c>
      <c r="AY14" s="1238" t="s">
        <v>579</v>
      </c>
      <c r="AZ14" s="1229" t="s">
        <v>606</v>
      </c>
      <c r="BA14" s="1239" t="s">
        <v>622</v>
      </c>
      <c r="BB14" s="1289"/>
      <c r="BC14" s="1279" t="s">
        <v>662</v>
      </c>
      <c r="BD14" s="1282" t="s">
        <v>598</v>
      </c>
      <c r="BE14" s="1229" t="s">
        <v>625</v>
      </c>
      <c r="BF14" s="1229" t="s">
        <v>606</v>
      </c>
      <c r="BG14" s="1281" t="s">
        <v>583</v>
      </c>
      <c r="BH14" s="1281" t="s">
        <v>597</v>
      </c>
      <c r="BI14" s="1229" t="s">
        <v>580</v>
      </c>
      <c r="BJ14" s="1229" t="s">
        <v>610</v>
      </c>
    </row>
    <row r="15" spans="1:114" ht="21" customHeight="1" x14ac:dyDescent="0.15">
      <c r="B15" s="2684" t="s">
        <v>182</v>
      </c>
      <c r="C15" s="2684"/>
      <c r="D15" s="2684"/>
      <c r="E15" s="1193"/>
      <c r="F15" s="1194"/>
      <c r="G15" s="1195"/>
      <c r="H15" s="1195"/>
      <c r="I15" s="1195"/>
      <c r="J15" s="1195"/>
      <c r="K15" s="1195"/>
      <c r="L15" s="1195"/>
      <c r="M15" s="1195"/>
      <c r="N15" s="1195"/>
      <c r="O15" s="1196"/>
      <c r="P15" s="1196"/>
      <c r="Q15" s="1196"/>
      <c r="R15" s="1194"/>
      <c r="S15" s="1194"/>
      <c r="T15" s="1194"/>
      <c r="U15" s="1194"/>
      <c r="V15" s="1194"/>
      <c r="W15" s="1194"/>
      <c r="X15" s="1194"/>
      <c r="Y15" s="1194"/>
      <c r="Z15" s="1194"/>
      <c r="AA15" s="1194"/>
      <c r="AB15" s="1194"/>
      <c r="AC15" s="1194"/>
      <c r="AD15" s="1194"/>
      <c r="AE15" s="1194"/>
      <c r="AF15" s="1194"/>
      <c r="AG15" s="1194"/>
      <c r="AH15" s="1194"/>
      <c r="AI15" s="2787" t="s">
        <v>691</v>
      </c>
      <c r="AJ15" s="2787"/>
      <c r="AK15" s="2787"/>
      <c r="AL15" s="2787"/>
      <c r="AM15" s="2787"/>
      <c r="AN15" s="1197"/>
      <c r="AO15" s="1290"/>
      <c r="AQ15" s="1291"/>
      <c r="AR15" s="1292"/>
      <c r="AS15" s="1289"/>
      <c r="AT15" s="1289"/>
      <c r="AU15" s="1289"/>
      <c r="AV15" s="1289"/>
      <c r="AW15" s="1238" t="s">
        <v>604</v>
      </c>
      <c r="AX15" s="1289"/>
      <c r="AY15" s="1238" t="s">
        <v>580</v>
      </c>
      <c r="AZ15" s="1289"/>
      <c r="BA15" s="1289"/>
      <c r="BB15" s="1289"/>
      <c r="BC15" s="1275" t="s">
        <v>664</v>
      </c>
      <c r="BD15" s="1281" t="s">
        <v>611</v>
      </c>
      <c r="BE15" s="1239" t="s">
        <v>622</v>
      </c>
      <c r="BF15" s="1293"/>
      <c r="BG15" s="1282" t="s">
        <v>660</v>
      </c>
      <c r="BH15" s="1282" t="s">
        <v>598</v>
      </c>
      <c r="BI15" s="1229" t="s">
        <v>625</v>
      </c>
      <c r="BJ15" s="1229" t="s">
        <v>606</v>
      </c>
    </row>
    <row r="16" spans="1:114" ht="21" customHeight="1" x14ac:dyDescent="0.15">
      <c r="B16" s="2713" t="s">
        <v>61</v>
      </c>
      <c r="C16" s="2713" t="s">
        <v>527</v>
      </c>
      <c r="D16" s="2713"/>
      <c r="E16" s="2678">
        <v>6</v>
      </c>
      <c r="F16" s="2602"/>
      <c r="G16" s="2602">
        <v>7</v>
      </c>
      <c r="H16" s="2602"/>
      <c r="I16" s="2602">
        <v>8</v>
      </c>
      <c r="J16" s="2602"/>
      <c r="K16" s="2602">
        <v>9</v>
      </c>
      <c r="L16" s="2602"/>
      <c r="M16" s="2602">
        <v>10</v>
      </c>
      <c r="N16" s="2602"/>
      <c r="O16" s="2602">
        <v>11</v>
      </c>
      <c r="P16" s="2602"/>
      <c r="Q16" s="2602">
        <v>12</v>
      </c>
      <c r="R16" s="2602"/>
      <c r="S16" s="2602">
        <v>13</v>
      </c>
      <c r="T16" s="2602"/>
      <c r="U16" s="2602">
        <v>14</v>
      </c>
      <c r="V16" s="2602"/>
      <c r="W16" s="2602">
        <v>15</v>
      </c>
      <c r="X16" s="2602"/>
      <c r="Y16" s="2602">
        <v>16</v>
      </c>
      <c r="Z16" s="2602"/>
      <c r="AA16" s="2602">
        <v>17</v>
      </c>
      <c r="AB16" s="2602"/>
      <c r="AC16" s="2602">
        <v>18</v>
      </c>
      <c r="AD16" s="2602"/>
      <c r="AE16" s="2602">
        <v>19</v>
      </c>
      <c r="AF16" s="2602"/>
      <c r="AG16" s="2602">
        <v>20</v>
      </c>
      <c r="AH16" s="2602"/>
      <c r="AI16" s="2602">
        <v>21</v>
      </c>
      <c r="AJ16" s="2602"/>
      <c r="AK16" s="1213"/>
      <c r="AL16" s="2663" t="s">
        <v>181</v>
      </c>
      <c r="AM16" s="2664"/>
      <c r="AN16" s="2665"/>
      <c r="AQ16" s="1291"/>
      <c r="AR16" s="1292"/>
      <c r="AS16" s="1289"/>
      <c r="AT16" s="1289"/>
      <c r="AU16" s="1289"/>
      <c r="AV16" s="1289"/>
      <c r="AW16" s="1289"/>
      <c r="AX16" s="1289"/>
      <c r="AY16" s="1238" t="s">
        <v>604</v>
      </c>
      <c r="AZ16" s="1289"/>
      <c r="BA16" s="1289"/>
      <c r="BB16" s="1289"/>
      <c r="BC16" s="1275" t="s">
        <v>659</v>
      </c>
      <c r="BD16" s="1229" t="s">
        <v>606</v>
      </c>
      <c r="BE16" s="1293"/>
      <c r="BF16" s="1293"/>
      <c r="BG16" s="1281" t="s">
        <v>575</v>
      </c>
      <c r="BH16" s="1281" t="s">
        <v>611</v>
      </c>
      <c r="BI16" s="1239" t="s">
        <v>622</v>
      </c>
    </row>
    <row r="17" spans="2:60" ht="12" customHeight="1" x14ac:dyDescent="0.15">
      <c r="B17" s="2713"/>
      <c r="C17" s="2713"/>
      <c r="D17" s="2713"/>
      <c r="E17" s="1199"/>
      <c r="F17" s="1200"/>
      <c r="G17" s="1199"/>
      <c r="H17" s="1200"/>
      <c r="I17" s="1199"/>
      <c r="J17" s="1200"/>
      <c r="K17" s="1199"/>
      <c r="L17" s="1200"/>
      <c r="M17" s="1199"/>
      <c r="N17" s="1200"/>
      <c r="O17" s="1200"/>
      <c r="P17" s="1349"/>
      <c r="Q17" s="1327"/>
      <c r="R17" s="1349"/>
      <c r="S17" s="1350"/>
      <c r="T17" s="1201"/>
      <c r="U17" s="1199"/>
      <c r="V17" s="1200"/>
      <c r="W17" s="1200"/>
      <c r="X17" s="1201"/>
      <c r="Y17" s="1199"/>
      <c r="Z17" s="1200"/>
      <c r="AA17" s="1200"/>
      <c r="AB17" s="1201"/>
      <c r="AC17" s="1200"/>
      <c r="AD17" s="1201"/>
      <c r="AE17" s="1199"/>
      <c r="AF17" s="1201"/>
      <c r="AG17" s="1200"/>
      <c r="AH17" s="1201"/>
      <c r="AI17" s="1199"/>
      <c r="AJ17" s="1200"/>
      <c r="AK17" s="1200"/>
      <c r="AL17" s="2666"/>
      <c r="AM17" s="2667"/>
      <c r="AN17" s="2668"/>
      <c r="AO17" s="1294"/>
      <c r="AQ17" s="2808"/>
      <c r="AR17" s="1292"/>
      <c r="AS17" s="1289"/>
      <c r="AT17" s="1289"/>
      <c r="AU17" s="1289"/>
      <c r="AV17" s="1289"/>
      <c r="AW17" s="1289"/>
      <c r="AX17" s="1289"/>
      <c r="AY17" s="1289"/>
      <c r="AZ17" s="1289"/>
      <c r="BA17" s="1289"/>
      <c r="BB17" s="1289"/>
      <c r="BC17" s="1275" t="s">
        <v>575</v>
      </c>
      <c r="BD17" s="1282" t="s">
        <v>666</v>
      </c>
      <c r="BE17" s="1293"/>
      <c r="BF17" s="1293"/>
      <c r="BG17" s="1282" t="s">
        <v>576</v>
      </c>
      <c r="BH17" s="1229" t="s">
        <v>606</v>
      </c>
    </row>
    <row r="18" spans="2:60" ht="25.5" customHeight="1" thickBot="1" x14ac:dyDescent="0.2">
      <c r="B18" s="2794" t="s">
        <v>535</v>
      </c>
      <c r="C18" s="2650" t="s">
        <v>526</v>
      </c>
      <c r="D18" s="2651"/>
      <c r="E18" s="1018"/>
      <c r="F18" s="1019"/>
      <c r="G18" s="1019"/>
      <c r="H18" s="1020"/>
      <c r="I18" s="1020"/>
      <c r="J18" s="1020"/>
      <c r="K18" s="1020"/>
      <c r="L18" s="1143"/>
      <c r="M18" s="1143"/>
      <c r="N18" s="1144"/>
      <c r="O18" s="1343"/>
      <c r="P18" s="1145"/>
      <c r="Q18" s="1145"/>
      <c r="R18" s="1145"/>
      <c r="S18" s="1345"/>
      <c r="T18" s="2809" t="s">
        <v>621</v>
      </c>
      <c r="U18" s="2703"/>
      <c r="V18" s="2638"/>
      <c r="W18" s="2617"/>
      <c r="X18" s="2617"/>
      <c r="Y18" s="2617"/>
      <c r="Z18" s="2639"/>
      <c r="AA18" s="2589"/>
      <c r="AB18" s="2589"/>
      <c r="AC18" s="2572" t="s">
        <v>524</v>
      </c>
      <c r="AD18" s="2573"/>
      <c r="AE18" s="2635"/>
      <c r="AF18" s="2635"/>
      <c r="AG18" s="2568"/>
      <c r="AH18" s="2569"/>
      <c r="AI18" s="2645" t="s">
        <v>619</v>
      </c>
      <c r="AJ18" s="2669" t="s">
        <v>179</v>
      </c>
      <c r="AK18" s="2670"/>
      <c r="AL18" s="1183"/>
      <c r="AM18" s="1184" t="s">
        <v>133</v>
      </c>
      <c r="AN18" s="1185" t="s">
        <v>180</v>
      </c>
      <c r="AO18" s="1295"/>
      <c r="AQ18" s="2808"/>
      <c r="AR18" s="1296"/>
      <c r="AS18" s="1289"/>
      <c r="AT18" s="1289"/>
      <c r="AU18" s="1289"/>
      <c r="AV18" s="1289"/>
      <c r="AW18" s="1289"/>
      <c r="AX18" s="1289"/>
      <c r="AY18" s="1289"/>
      <c r="AZ18" s="1289"/>
      <c r="BA18" s="1289"/>
      <c r="BB18" s="1289"/>
      <c r="BC18" s="1238" t="s">
        <v>576</v>
      </c>
      <c r="BD18" s="1276"/>
      <c r="BE18" s="1293"/>
      <c r="BF18" s="1293"/>
      <c r="BG18" s="1229" t="s">
        <v>577</v>
      </c>
      <c r="BH18" s="1282" t="s">
        <v>666</v>
      </c>
    </row>
    <row r="19" spans="2:60" ht="25.5" customHeight="1" x14ac:dyDescent="0.15">
      <c r="B19" s="2795"/>
      <c r="C19" s="2652"/>
      <c r="D19" s="2653"/>
      <c r="E19" s="1133"/>
      <c r="F19" s="2687" t="s">
        <v>551</v>
      </c>
      <c r="G19" s="2688"/>
      <c r="H19" s="2688"/>
      <c r="I19" s="2689"/>
      <c r="J19" s="1135"/>
      <c r="K19" s="1132"/>
      <c r="L19" s="1146"/>
      <c r="M19" s="1140"/>
      <c r="N19" s="1144"/>
      <c r="O19" s="1344"/>
      <c r="P19" s="1147"/>
      <c r="Q19" s="1147"/>
      <c r="R19" s="1147"/>
      <c r="S19" s="1346"/>
      <c r="T19" s="2810"/>
      <c r="U19" s="2705"/>
      <c r="V19" s="2640"/>
      <c r="W19" s="2495"/>
      <c r="X19" s="2495"/>
      <c r="Y19" s="2495"/>
      <c r="Z19" s="2641"/>
      <c r="AA19" s="2484"/>
      <c r="AB19" s="2484"/>
      <c r="AC19" s="2574"/>
      <c r="AD19" s="2575"/>
      <c r="AE19" s="2478"/>
      <c r="AF19" s="2478"/>
      <c r="AG19" s="2570"/>
      <c r="AH19" s="2571"/>
      <c r="AI19" s="2646"/>
      <c r="AJ19" s="2671"/>
      <c r="AK19" s="2672"/>
      <c r="AL19" s="1186" t="s">
        <v>178</v>
      </c>
      <c r="AM19" s="1187" t="str">
        <f>IF(AND(入力1!AB3&lt;&gt;"",SUM(入力1!P44:R47)&gt;=1),"○",IF(AND(入力1!AB3&lt;&gt;"",SUM(入力1!P44:R47)=0),"-",""))</f>
        <v/>
      </c>
      <c r="AN19" s="1188" t="str">
        <f>IF(AND(入力1!AC3&lt;&gt;"",SUM(入力1!Q44:S47)&gt;=1),"○",IF(AND(入力1!AC3&lt;&gt;"",SUM(入力1!Q44:S47)=0),"-",""))</f>
        <v/>
      </c>
      <c r="AO19" s="1295"/>
      <c r="AQ19" s="2808"/>
      <c r="AR19" s="1297"/>
      <c r="AS19" s="1289"/>
      <c r="AT19" s="1289"/>
      <c r="AU19" s="1289"/>
      <c r="AV19" s="1289"/>
      <c r="AW19" s="1289"/>
      <c r="AX19" s="1289"/>
      <c r="AY19" s="1289"/>
      <c r="AZ19" s="1289"/>
      <c r="BA19" s="1289"/>
      <c r="BB19" s="1289"/>
      <c r="BC19" s="1238" t="s">
        <v>577</v>
      </c>
      <c r="BD19" s="1276"/>
      <c r="BE19" s="1293"/>
      <c r="BF19" s="1293"/>
      <c r="BG19" s="1229" t="s">
        <v>578</v>
      </c>
    </row>
    <row r="20" spans="2:60" ht="25.5" customHeight="1" x14ac:dyDescent="0.15">
      <c r="B20" s="2795"/>
      <c r="C20" s="2652"/>
      <c r="D20" s="2653"/>
      <c r="E20" s="1133"/>
      <c r="F20" s="2690"/>
      <c r="G20" s="2691"/>
      <c r="H20" s="2691"/>
      <c r="I20" s="2692"/>
      <c r="J20" s="1135"/>
      <c r="K20" s="1132"/>
      <c r="L20" s="1148"/>
      <c r="M20" s="1149"/>
      <c r="N20" s="1144"/>
      <c r="O20" s="1344"/>
      <c r="P20" s="1147"/>
      <c r="Q20" s="1147"/>
      <c r="R20" s="1147"/>
      <c r="S20" s="1346"/>
      <c r="T20" s="2810"/>
      <c r="U20" s="2705"/>
      <c r="V20" s="2640"/>
      <c r="W20" s="2495"/>
      <c r="X20" s="2495"/>
      <c r="Y20" s="2495"/>
      <c r="Z20" s="2641"/>
      <c r="AA20" s="2484"/>
      <c r="AB20" s="2484"/>
      <c r="AC20" s="2574"/>
      <c r="AD20" s="2575"/>
      <c r="AE20" s="2478"/>
      <c r="AF20" s="2478"/>
      <c r="AG20" s="2570"/>
      <c r="AH20" s="2571"/>
      <c r="AI20" s="2646"/>
      <c r="AJ20" s="2671"/>
      <c r="AK20" s="2672"/>
      <c r="AL20" s="1186" t="s">
        <v>177</v>
      </c>
      <c r="AM20" s="1187" t="str">
        <f>IF(AND(入力1!Z28&lt;&gt;"",SUM(入力1!H72:J75)&gt;=1),"○",IF(AND(入力1!Z28&lt;&gt;"",SUM(入力1!H72:J75)=0),"-",""))</f>
        <v/>
      </c>
      <c r="AN20" s="1187" t="str">
        <f>IF(AND(入力1!Z28&lt;&gt;"",SUM(入力1!H76)&gt;=1),"○",IF(入力1!Z28&lt;&gt;"","-",""))</f>
        <v/>
      </c>
      <c r="AO20" s="1295"/>
      <c r="AQ20" s="2808"/>
      <c r="AR20" s="1297"/>
      <c r="AS20" s="1289"/>
      <c r="AT20" s="1289"/>
      <c r="AU20" s="1289"/>
      <c r="AV20" s="1289"/>
      <c r="AW20" s="1289"/>
      <c r="AX20" s="1289"/>
      <c r="AY20" s="1289"/>
      <c r="AZ20" s="1289"/>
      <c r="BA20" s="1289"/>
      <c r="BB20" s="1289"/>
      <c r="BC20" s="1238" t="s">
        <v>578</v>
      </c>
      <c r="BD20" s="1276"/>
      <c r="BE20" s="1293"/>
      <c r="BF20" s="1293"/>
      <c r="BG20" s="1229" t="s">
        <v>579</v>
      </c>
    </row>
    <row r="21" spans="2:60" ht="25.5" customHeight="1" thickBot="1" x14ac:dyDescent="0.2">
      <c r="B21" s="2795"/>
      <c r="C21" s="2652"/>
      <c r="D21" s="2653"/>
      <c r="E21" s="1133"/>
      <c r="F21" s="2693"/>
      <c r="G21" s="2694"/>
      <c r="H21" s="2694"/>
      <c r="I21" s="2695"/>
      <c r="J21" s="1135"/>
      <c r="K21" s="1132"/>
      <c r="L21" s="1148"/>
      <c r="M21" s="1149"/>
      <c r="N21" s="1144"/>
      <c r="O21" s="1344"/>
      <c r="P21" s="1147"/>
      <c r="Q21" s="1147"/>
      <c r="R21" s="1147"/>
      <c r="S21" s="1346"/>
      <c r="T21" s="2810"/>
      <c r="U21" s="2705"/>
      <c r="V21" s="2640"/>
      <c r="W21" s="2495"/>
      <c r="X21" s="2495"/>
      <c r="Y21" s="2495"/>
      <c r="Z21" s="2641"/>
      <c r="AA21" s="2484"/>
      <c r="AB21" s="2484"/>
      <c r="AC21" s="2574"/>
      <c r="AD21" s="2575"/>
      <c r="AE21" s="2478"/>
      <c r="AF21" s="2478"/>
      <c r="AG21" s="2570"/>
      <c r="AH21" s="2571"/>
      <c r="AI21" s="2646"/>
      <c r="AJ21" s="2671"/>
      <c r="AK21" s="2672"/>
      <c r="AL21" s="1189" t="s">
        <v>637</v>
      </c>
      <c r="AM21" s="1190" t="str">
        <f>IF(AND(入力1!Z29&lt;&gt;"",SUM(入力1!H77:J80)&gt;=1),"○",IF(AND(入力1!Z29&lt;&gt;"",SUM(入力1!H77:J80)=0),"-",""))</f>
        <v/>
      </c>
      <c r="AN21" s="1188" t="str">
        <f>IF(AND(入力1!Z29&lt;&gt;"",SUM(入力1!H81)&gt;=1),"○",IF(入力1!Z29&lt;&gt;"","-",""))</f>
        <v/>
      </c>
      <c r="AO21" s="577"/>
      <c r="AQ21" s="1292"/>
      <c r="AR21" s="1297"/>
      <c r="AS21" s="1289"/>
      <c r="AT21" s="1289"/>
      <c r="AU21" s="1289"/>
      <c r="AV21" s="1289"/>
      <c r="AW21" s="1289"/>
      <c r="AX21" s="1289"/>
      <c r="AY21" s="1289"/>
      <c r="AZ21" s="1289"/>
      <c r="BA21" s="1289"/>
      <c r="BB21" s="1289"/>
      <c r="BC21" s="1238" t="s">
        <v>579</v>
      </c>
      <c r="BD21" s="1276"/>
      <c r="BE21" s="1293"/>
      <c r="BF21" s="1293"/>
      <c r="BG21" s="1229" t="s">
        <v>580</v>
      </c>
    </row>
    <row r="22" spans="2:60" ht="25.5" customHeight="1" x14ac:dyDescent="0.15">
      <c r="B22" s="2795"/>
      <c r="C22" s="2652"/>
      <c r="D22" s="2653"/>
      <c r="E22" s="1133"/>
      <c r="F22" s="2819" t="str">
        <f>IF(入力1!F23=0,"日帰り利用","")</f>
        <v>日帰り利用</v>
      </c>
      <c r="G22" s="2819"/>
      <c r="H22" s="2819"/>
      <c r="I22" s="2819"/>
      <c r="J22" s="1134"/>
      <c r="K22" s="1132"/>
      <c r="L22" s="1148"/>
      <c r="M22" s="1149"/>
      <c r="N22" s="1144"/>
      <c r="O22" s="1353"/>
      <c r="P22" s="1351"/>
      <c r="Q22" s="1351"/>
      <c r="R22" s="1351"/>
      <c r="S22" s="1352"/>
      <c r="T22" s="2810"/>
      <c r="U22" s="2705"/>
      <c r="V22" s="2640"/>
      <c r="W22" s="2495"/>
      <c r="X22" s="2495"/>
      <c r="Y22" s="2495"/>
      <c r="Z22" s="2641"/>
      <c r="AA22" s="2484"/>
      <c r="AB22" s="2484"/>
      <c r="AC22" s="2574"/>
      <c r="AD22" s="2575"/>
      <c r="AE22" s="2478"/>
      <c r="AF22" s="2478"/>
      <c r="AG22" s="2570"/>
      <c r="AH22" s="2571"/>
      <c r="AI22" s="2647"/>
      <c r="AJ22" s="2671"/>
      <c r="AK22" s="2672"/>
      <c r="AL22" s="2678" t="s">
        <v>176</v>
      </c>
      <c r="AM22" s="2602"/>
      <c r="AN22" s="2757"/>
      <c r="AO22" s="577"/>
      <c r="AQ22" s="1292"/>
      <c r="AR22" s="1297"/>
      <c r="AS22" s="1289"/>
      <c r="AT22" s="1289"/>
      <c r="AU22" s="1289"/>
      <c r="AV22" s="1289"/>
      <c r="AW22" s="1289"/>
      <c r="AX22" s="1289"/>
      <c r="AY22" s="1289"/>
      <c r="AZ22" s="1289"/>
      <c r="BA22" s="1289"/>
      <c r="BB22" s="1289"/>
      <c r="BC22" s="1238" t="s">
        <v>580</v>
      </c>
      <c r="BD22" s="1276"/>
      <c r="BE22" s="1293"/>
      <c r="BF22" s="1293"/>
      <c r="BG22" s="1229" t="s">
        <v>604</v>
      </c>
    </row>
    <row r="23" spans="2:60" ht="25.5" customHeight="1" x14ac:dyDescent="0.15">
      <c r="B23" s="1298" t="str">
        <f>入力1!I66</f>
        <v/>
      </c>
      <c r="C23" s="2659" t="s">
        <v>523</v>
      </c>
      <c r="D23" s="2660"/>
      <c r="E23" s="1021"/>
      <c r="F23" s="1137"/>
      <c r="G23" s="1137"/>
      <c r="H23" s="1137"/>
      <c r="I23" s="1137"/>
      <c r="J23" s="1137"/>
      <c r="K23" s="1137"/>
      <c r="L23" s="1150"/>
      <c r="M23" s="1150"/>
      <c r="N23" s="1151"/>
      <c r="O23" s="1211"/>
      <c r="P23" s="1152"/>
      <c r="Q23" s="1152"/>
      <c r="R23" s="1147"/>
      <c r="S23" s="1346"/>
      <c r="T23" s="2813" t="s">
        <v>620</v>
      </c>
      <c r="U23" s="2813"/>
      <c r="V23" s="2638"/>
      <c r="W23" s="2617"/>
      <c r="X23" s="2617"/>
      <c r="Y23" s="2617"/>
      <c r="Z23" s="2639"/>
      <c r="AA23" s="2589"/>
      <c r="AB23" s="2589"/>
      <c r="AC23" s="2580" t="s">
        <v>525</v>
      </c>
      <c r="AD23" s="2631"/>
      <c r="AE23" s="2576"/>
      <c r="AF23" s="2577"/>
      <c r="AG23" s="2576"/>
      <c r="AH23" s="2577"/>
      <c r="AI23" s="2777" t="s">
        <v>530</v>
      </c>
      <c r="AJ23" s="2671"/>
      <c r="AK23" s="2672"/>
      <c r="AL23" s="2758"/>
      <c r="AM23" s="2496"/>
      <c r="AN23" s="2759"/>
      <c r="AO23" s="1299"/>
      <c r="AR23" s="1297"/>
      <c r="AS23" s="1289"/>
      <c r="AT23" s="1289"/>
      <c r="AU23" s="1289"/>
      <c r="AV23" s="1289"/>
      <c r="AW23" s="1289"/>
      <c r="AX23" s="1289"/>
      <c r="AY23" s="1289"/>
      <c r="AZ23" s="1289"/>
      <c r="BA23" s="1289"/>
      <c r="BB23" s="1289"/>
      <c r="BC23" s="1238" t="s">
        <v>604</v>
      </c>
      <c r="BG23" s="1229" t="s">
        <v>581</v>
      </c>
    </row>
    <row r="24" spans="2:60" ht="25.5" customHeight="1" x14ac:dyDescent="0.15">
      <c r="B24" s="1160" t="s">
        <v>0</v>
      </c>
      <c r="C24" s="2661"/>
      <c r="D24" s="2662"/>
      <c r="E24" s="1018"/>
      <c r="F24" s="1019"/>
      <c r="G24" s="1019"/>
      <c r="H24" s="1019"/>
      <c r="I24" s="1019"/>
      <c r="J24" s="1019"/>
      <c r="K24" s="1019"/>
      <c r="L24" s="1146"/>
      <c r="M24" s="1146"/>
      <c r="N24" s="1144"/>
      <c r="O24" s="1212"/>
      <c r="P24" s="1152"/>
      <c r="Q24" s="1152"/>
      <c r="R24" s="1147"/>
      <c r="S24" s="1346"/>
      <c r="T24" s="2492"/>
      <c r="U24" s="2492"/>
      <c r="V24" s="2640"/>
      <c r="W24" s="2495"/>
      <c r="X24" s="2495"/>
      <c r="Y24" s="2495"/>
      <c r="Z24" s="2641"/>
      <c r="AA24" s="2484"/>
      <c r="AB24" s="2484"/>
      <c r="AC24" s="2582"/>
      <c r="AD24" s="2632"/>
      <c r="AE24" s="2578"/>
      <c r="AF24" s="2579"/>
      <c r="AG24" s="2578"/>
      <c r="AH24" s="2579"/>
      <c r="AI24" s="2778"/>
      <c r="AJ24" s="2671"/>
      <c r="AK24" s="2672"/>
      <c r="AL24" s="2758"/>
      <c r="AM24" s="2496"/>
      <c r="AN24" s="2759"/>
      <c r="AO24" s="1299"/>
      <c r="AR24" s="1297"/>
      <c r="AS24" s="1289"/>
      <c r="AT24" s="1289"/>
      <c r="AU24" s="1289"/>
      <c r="AV24" s="1289"/>
      <c r="AW24" s="1289"/>
      <c r="AX24" s="1289"/>
      <c r="AY24" s="1289"/>
      <c r="AZ24" s="1289"/>
      <c r="BA24" s="1289"/>
      <c r="BB24" s="1289"/>
      <c r="BC24" s="1229" t="s">
        <v>581</v>
      </c>
      <c r="BG24" s="1229" t="s">
        <v>665</v>
      </c>
    </row>
    <row r="25" spans="2:60" ht="25.5" customHeight="1" thickBot="1" x14ac:dyDescent="0.2">
      <c r="B25" s="1175" t="str">
        <f>入力1!I66</f>
        <v/>
      </c>
      <c r="C25" s="2661"/>
      <c r="D25" s="2662"/>
      <c r="E25" s="1018"/>
      <c r="F25" s="1019"/>
      <c r="G25" s="1019"/>
      <c r="H25" s="1019"/>
      <c r="I25" s="1019"/>
      <c r="J25" s="1019"/>
      <c r="K25" s="1019"/>
      <c r="L25" s="1146"/>
      <c r="M25" s="1146"/>
      <c r="N25" s="1144"/>
      <c r="O25" s="1212"/>
      <c r="P25" s="1152"/>
      <c r="Q25" s="1152"/>
      <c r="R25" s="1147"/>
      <c r="S25" s="1346"/>
      <c r="T25" s="2492"/>
      <c r="U25" s="2492"/>
      <c r="V25" s="2640"/>
      <c r="W25" s="2495"/>
      <c r="X25" s="2495"/>
      <c r="Y25" s="2495"/>
      <c r="Z25" s="2641"/>
      <c r="AA25" s="2484"/>
      <c r="AB25" s="2484"/>
      <c r="AC25" s="2636"/>
      <c r="AD25" s="2634"/>
      <c r="AE25" s="2615"/>
      <c r="AF25" s="2616"/>
      <c r="AG25" s="2578"/>
      <c r="AH25" s="2579"/>
      <c r="AI25" s="2779"/>
      <c r="AJ25" s="2671"/>
      <c r="AK25" s="2672"/>
      <c r="AL25" s="2758"/>
      <c r="AM25" s="2496"/>
      <c r="AN25" s="2759"/>
      <c r="AO25" s="1299"/>
      <c r="AR25" s="1297"/>
      <c r="AS25" s="1289"/>
      <c r="AT25" s="1289"/>
      <c r="AU25" s="1289"/>
      <c r="AV25" s="1289"/>
      <c r="AW25" s="1289"/>
      <c r="AX25" s="1289"/>
      <c r="AY25" s="1289"/>
      <c r="AZ25" s="1289"/>
      <c r="BA25" s="1289"/>
      <c r="BB25" s="1289"/>
      <c r="BC25" s="1229" t="s">
        <v>665</v>
      </c>
    </row>
    <row r="26" spans="2:60" ht="25.5" customHeight="1" thickTop="1" x14ac:dyDescent="0.15">
      <c r="B26" s="2796" t="s">
        <v>529</v>
      </c>
      <c r="C26" s="2655" t="s">
        <v>175</v>
      </c>
      <c r="D26" s="2656"/>
      <c r="E26" s="1014"/>
      <c r="F26" s="1015"/>
      <c r="G26" s="1015"/>
      <c r="H26" s="1015"/>
      <c r="I26" s="1015"/>
      <c r="J26" s="1015"/>
      <c r="K26" s="1015"/>
      <c r="L26" s="1139"/>
      <c r="M26" s="1139"/>
      <c r="N26" s="2812"/>
      <c r="O26" s="2812"/>
      <c r="P26" s="2812"/>
      <c r="Q26" s="2812"/>
      <c r="R26" s="1191"/>
      <c r="S26" s="1347"/>
      <c r="T26" s="2591"/>
      <c r="U26" s="2593"/>
      <c r="V26" s="2591"/>
      <c r="W26" s="2592"/>
      <c r="X26" s="2592"/>
      <c r="Y26" s="2592"/>
      <c r="Z26" s="2593"/>
      <c r="AA26" s="2591"/>
      <c r="AB26" s="2593"/>
      <c r="AC26" s="1154"/>
      <c r="AD26" s="1207"/>
      <c r="AE26" s="2591"/>
      <c r="AF26" s="2593"/>
      <c r="AG26" s="2767"/>
      <c r="AH26" s="2768"/>
      <c r="AI26" s="1191"/>
      <c r="AJ26" s="2671"/>
      <c r="AK26" s="2672"/>
      <c r="AL26" s="2760" t="s">
        <v>528</v>
      </c>
      <c r="AM26" s="2477"/>
      <c r="AN26" s="2761"/>
      <c r="AO26" s="1300"/>
      <c r="AR26" s="1297"/>
      <c r="AS26" s="1289"/>
      <c r="AT26" s="1289"/>
      <c r="AU26" s="1289"/>
      <c r="AV26" s="1289"/>
      <c r="AW26" s="1289"/>
      <c r="AX26" s="1289"/>
      <c r="AY26" s="1289"/>
      <c r="AZ26" s="1289"/>
      <c r="BA26" s="1289"/>
      <c r="BB26" s="1289"/>
    </row>
    <row r="27" spans="2:60" ht="25.5" customHeight="1" x14ac:dyDescent="0.15">
      <c r="B27" s="2796"/>
      <c r="C27" s="2657"/>
      <c r="D27" s="2658"/>
      <c r="E27" s="1016"/>
      <c r="F27" s="1017"/>
      <c r="G27" s="1017"/>
      <c r="H27" s="1017"/>
      <c r="I27" s="1017"/>
      <c r="J27" s="1017"/>
      <c r="K27" s="1095"/>
      <c r="L27" s="1146"/>
      <c r="M27" s="1141"/>
      <c r="N27" s="2648"/>
      <c r="O27" s="2648"/>
      <c r="P27" s="2648"/>
      <c r="Q27" s="2648"/>
      <c r="R27" s="1354"/>
      <c r="S27" s="1348"/>
      <c r="T27" s="2565"/>
      <c r="U27" s="2567"/>
      <c r="V27" s="2565"/>
      <c r="W27" s="2566"/>
      <c r="X27" s="2566"/>
      <c r="Y27" s="2566"/>
      <c r="Z27" s="2567"/>
      <c r="AA27" s="2565"/>
      <c r="AB27" s="2567"/>
      <c r="AC27" s="1157"/>
      <c r="AD27" s="1142"/>
      <c r="AE27" s="2565"/>
      <c r="AF27" s="2567"/>
      <c r="AG27" s="2682"/>
      <c r="AH27" s="2560"/>
      <c r="AI27" s="1192"/>
      <c r="AJ27" s="2673"/>
      <c r="AK27" s="2674"/>
      <c r="AL27" s="2762"/>
      <c r="AM27" s="2763"/>
      <c r="AN27" s="2764"/>
      <c r="AO27" s="1300"/>
      <c r="AR27" s="1297"/>
      <c r="AS27" s="1289"/>
      <c r="AT27" s="1289"/>
      <c r="AU27" s="1289"/>
      <c r="AV27" s="1289"/>
      <c r="AW27" s="1289"/>
      <c r="AX27" s="1289"/>
      <c r="AY27" s="1289"/>
      <c r="AZ27" s="1289"/>
      <c r="BA27" s="1289"/>
      <c r="BB27" s="1289"/>
    </row>
    <row r="28" spans="2:60" ht="20.25" customHeight="1" x14ac:dyDescent="0.15">
      <c r="B28" s="2677" t="s">
        <v>61</v>
      </c>
      <c r="C28" s="2677" t="s">
        <v>527</v>
      </c>
      <c r="D28" s="2677"/>
      <c r="E28" s="2678">
        <v>6</v>
      </c>
      <c r="F28" s="2602"/>
      <c r="G28" s="2602">
        <v>7</v>
      </c>
      <c r="H28" s="2602"/>
      <c r="I28" s="2602">
        <v>8</v>
      </c>
      <c r="J28" s="2602"/>
      <c r="K28" s="2602">
        <v>9</v>
      </c>
      <c r="L28" s="2602"/>
      <c r="M28" s="2602">
        <v>10</v>
      </c>
      <c r="N28" s="2602"/>
      <c r="O28" s="2602">
        <v>11</v>
      </c>
      <c r="P28" s="2602"/>
      <c r="Q28" s="2602">
        <v>12</v>
      </c>
      <c r="R28" s="2602"/>
      <c r="S28" s="2602">
        <v>13</v>
      </c>
      <c r="T28" s="2602"/>
      <c r="U28" s="2602">
        <v>14</v>
      </c>
      <c r="V28" s="2602"/>
      <c r="W28" s="2602">
        <v>15</v>
      </c>
      <c r="X28" s="2602"/>
      <c r="Y28" s="2602">
        <v>16</v>
      </c>
      <c r="Z28" s="2602"/>
      <c r="AA28" s="2602">
        <v>17</v>
      </c>
      <c r="AB28" s="2602"/>
      <c r="AC28" s="2602">
        <v>18</v>
      </c>
      <c r="AD28" s="2602"/>
      <c r="AE28" s="2602">
        <v>19</v>
      </c>
      <c r="AF28" s="2602"/>
      <c r="AG28" s="2602">
        <v>20</v>
      </c>
      <c r="AH28" s="2602"/>
      <c r="AI28" s="2602">
        <v>21</v>
      </c>
      <c r="AJ28" s="2602"/>
      <c r="AK28" s="1213"/>
      <c r="AL28" s="2663" t="s">
        <v>181</v>
      </c>
      <c r="AM28" s="2664"/>
      <c r="AN28" s="2665"/>
      <c r="AQ28" s="1221"/>
      <c r="AR28" s="1297"/>
      <c r="AS28" s="1289"/>
      <c r="AT28" s="1289"/>
      <c r="AU28" s="1289"/>
      <c r="AV28" s="1289"/>
      <c r="AW28" s="1289"/>
      <c r="AX28" s="1289"/>
      <c r="AY28" s="1289"/>
      <c r="AZ28" s="1289"/>
      <c r="BA28" s="1289"/>
      <c r="BB28" s="1289"/>
    </row>
    <row r="29" spans="2:60" ht="20.25" customHeight="1" x14ac:dyDescent="0.15">
      <c r="B29" s="2677"/>
      <c r="C29" s="2677"/>
      <c r="D29" s="2677"/>
      <c r="E29" s="1199"/>
      <c r="F29" s="1200"/>
      <c r="G29" s="1199"/>
      <c r="H29" s="1200"/>
      <c r="I29" s="1199"/>
      <c r="J29" s="1200"/>
      <c r="K29" s="1202"/>
      <c r="L29" s="1200"/>
      <c r="M29" s="1199"/>
      <c r="N29" s="1200"/>
      <c r="O29" s="1200"/>
      <c r="P29" s="1201"/>
      <c r="Q29" s="1200"/>
      <c r="R29" s="1201"/>
      <c r="S29" s="1199"/>
      <c r="T29" s="1201"/>
      <c r="U29" s="1199"/>
      <c r="V29" s="1200"/>
      <c r="W29" s="1200"/>
      <c r="X29" s="1201"/>
      <c r="Y29" s="1199"/>
      <c r="Z29" s="1200"/>
      <c r="AA29" s="1200"/>
      <c r="AB29" s="1201"/>
      <c r="AC29" s="1200"/>
      <c r="AD29" s="1201"/>
      <c r="AE29" s="1199"/>
      <c r="AF29" s="1201"/>
      <c r="AG29" s="1200"/>
      <c r="AH29" s="1201"/>
      <c r="AI29" s="1199"/>
      <c r="AJ29" s="1200"/>
      <c r="AK29" s="1200"/>
      <c r="AL29" s="2666"/>
      <c r="AM29" s="2667"/>
      <c r="AN29" s="2668"/>
      <c r="AO29" s="1294"/>
      <c r="AQ29" s="1221"/>
      <c r="AR29" s="1297"/>
      <c r="AS29" s="1289"/>
      <c r="AT29" s="1289"/>
      <c r="AU29" s="1289"/>
      <c r="AV29" s="1289"/>
      <c r="AW29" s="1289"/>
      <c r="AX29" s="1289"/>
      <c r="AY29" s="1289"/>
      <c r="AZ29" s="1289"/>
      <c r="BA29" s="1289"/>
      <c r="BB29" s="1289"/>
    </row>
    <row r="30" spans="2:60" ht="25.5" customHeight="1" x14ac:dyDescent="0.15">
      <c r="B30" s="2794" t="s">
        <v>534</v>
      </c>
      <c r="C30" s="2650" t="s">
        <v>526</v>
      </c>
      <c r="D30" s="2651"/>
      <c r="E30" s="1153"/>
      <c r="F30" s="2568"/>
      <c r="G30" s="2569"/>
      <c r="H30" s="2572" t="s">
        <v>531</v>
      </c>
      <c r="I30" s="2573"/>
      <c r="J30" s="2637"/>
      <c r="K30" s="2586"/>
      <c r="L30" s="2576"/>
      <c r="M30" s="2577"/>
      <c r="N30" s="2638"/>
      <c r="O30" s="2617"/>
      <c r="P30" s="2617"/>
      <c r="Q30" s="2639"/>
      <c r="R30" s="2568"/>
      <c r="S30" s="2569"/>
      <c r="T30" s="2635"/>
      <c r="U30" s="2635"/>
      <c r="V30" s="2638"/>
      <c r="W30" s="2617"/>
      <c r="X30" s="2617"/>
      <c r="Y30" s="2617"/>
      <c r="Z30" s="2639"/>
      <c r="AA30" s="2589"/>
      <c r="AB30" s="2589"/>
      <c r="AC30" s="2572" t="s">
        <v>524</v>
      </c>
      <c r="AD30" s="2573"/>
      <c r="AE30" s="2635"/>
      <c r="AF30" s="2635"/>
      <c r="AG30" s="2568"/>
      <c r="AH30" s="2569"/>
      <c r="AI30" s="2645" t="s">
        <v>619</v>
      </c>
      <c r="AJ30" s="2669" t="s">
        <v>179</v>
      </c>
      <c r="AK30" s="2670"/>
      <c r="AL30" s="1183"/>
      <c r="AM30" s="1184" t="s">
        <v>133</v>
      </c>
      <c r="AN30" s="1185" t="s">
        <v>180</v>
      </c>
      <c r="AO30" s="1295"/>
      <c r="AR30" s="1301"/>
    </row>
    <row r="31" spans="2:60" ht="25.5" customHeight="1" x14ac:dyDescent="0.15">
      <c r="B31" s="2795"/>
      <c r="C31" s="2652"/>
      <c r="D31" s="2653"/>
      <c r="E31" s="1154"/>
      <c r="F31" s="2570"/>
      <c r="G31" s="2571"/>
      <c r="H31" s="2574"/>
      <c r="I31" s="2575"/>
      <c r="J31" s="2483"/>
      <c r="K31" s="2587"/>
      <c r="L31" s="2578"/>
      <c r="M31" s="2579"/>
      <c r="N31" s="2640"/>
      <c r="O31" s="2495"/>
      <c r="P31" s="2495"/>
      <c r="Q31" s="2641"/>
      <c r="R31" s="2570"/>
      <c r="S31" s="2571"/>
      <c r="T31" s="2478"/>
      <c r="U31" s="2478"/>
      <c r="V31" s="2640"/>
      <c r="W31" s="2495"/>
      <c r="X31" s="2495"/>
      <c r="Y31" s="2495"/>
      <c r="Z31" s="2641"/>
      <c r="AA31" s="2484"/>
      <c r="AB31" s="2484"/>
      <c r="AC31" s="2574"/>
      <c r="AD31" s="2575"/>
      <c r="AE31" s="2478"/>
      <c r="AF31" s="2478"/>
      <c r="AG31" s="2570"/>
      <c r="AH31" s="2571"/>
      <c r="AI31" s="2646"/>
      <c r="AJ31" s="2671"/>
      <c r="AK31" s="2672"/>
      <c r="AL31" s="1186" t="s">
        <v>178</v>
      </c>
      <c r="AM31" s="1187" t="str">
        <f>IF(AND(入力1!AA27&lt;&gt;"",SUM(入力1!L68:N71)&gt;=1),"○",IF(AND(入力1!AA27&lt;&gt;"",SUM(入力1!L68:N71)=0),"-",""))</f>
        <v/>
      </c>
      <c r="AN31" s="1188" t="str">
        <f>IF(AND(入力1!AC15&lt;&gt;"",SUM(入力1!Q56:S59)&gt;=1),"○",IF(AND(入力1!AC15&lt;&gt;"",SUM(入力1!Q56:S59)=0),"-",""))</f>
        <v/>
      </c>
      <c r="AO31" s="1295"/>
      <c r="AR31" s="2811"/>
      <c r="AS31" s="2811"/>
      <c r="AT31" s="1302"/>
      <c r="AU31" s="1302"/>
      <c r="AV31" s="1302"/>
      <c r="AW31" s="1302"/>
      <c r="AX31" s="1302"/>
      <c r="AY31" s="1302"/>
      <c r="AZ31" s="1302"/>
      <c r="BA31" s="1302"/>
      <c r="BB31" s="1302"/>
    </row>
    <row r="32" spans="2:60" ht="25.5" customHeight="1" x14ac:dyDescent="0.15">
      <c r="B32" s="2795"/>
      <c r="C32" s="2652"/>
      <c r="D32" s="2653"/>
      <c r="E32" s="1154"/>
      <c r="F32" s="2570"/>
      <c r="G32" s="2571"/>
      <c r="H32" s="2574"/>
      <c r="I32" s="2575"/>
      <c r="J32" s="2483"/>
      <c r="K32" s="2587"/>
      <c r="L32" s="2578"/>
      <c r="M32" s="2579"/>
      <c r="N32" s="2640"/>
      <c r="O32" s="2495"/>
      <c r="P32" s="2495"/>
      <c r="Q32" s="2641"/>
      <c r="R32" s="2570"/>
      <c r="S32" s="2571"/>
      <c r="T32" s="2478"/>
      <c r="U32" s="2478"/>
      <c r="V32" s="2640"/>
      <c r="W32" s="2495"/>
      <c r="X32" s="2495"/>
      <c r="Y32" s="2495"/>
      <c r="Z32" s="2641"/>
      <c r="AA32" s="2484"/>
      <c r="AB32" s="2484"/>
      <c r="AC32" s="2574"/>
      <c r="AD32" s="2575"/>
      <c r="AE32" s="2478"/>
      <c r="AF32" s="2478"/>
      <c r="AG32" s="2570"/>
      <c r="AH32" s="2571"/>
      <c r="AI32" s="2646"/>
      <c r="AJ32" s="2671"/>
      <c r="AK32" s="2672"/>
      <c r="AL32" s="1186" t="s">
        <v>177</v>
      </c>
      <c r="AM32" s="1187" t="str">
        <f>IF(AND(入力1!AA28&lt;&gt;"",SUM(入力1!L72:N75)&gt;=1),"○",IF(AND(入力1!AA28&lt;&gt;"",SUM(入力1!L72:N75)=0),"-",""))</f>
        <v/>
      </c>
      <c r="AN32" s="1187" t="str">
        <f>IF(AND(入力1!AA28&lt;&gt;"",SUM(入力1!L76)&gt;=1),"○",IF(入力1!AA28&lt;&gt;"","-",""))</f>
        <v/>
      </c>
      <c r="AO32" s="1295"/>
    </row>
    <row r="33" spans="2:41" ht="25.5" customHeight="1" x14ac:dyDescent="0.15">
      <c r="B33" s="2795"/>
      <c r="C33" s="2652"/>
      <c r="D33" s="2653"/>
      <c r="E33" s="1154"/>
      <c r="F33" s="2570"/>
      <c r="G33" s="2571"/>
      <c r="H33" s="2574"/>
      <c r="I33" s="2575"/>
      <c r="J33" s="2483"/>
      <c r="K33" s="2587"/>
      <c r="L33" s="2578"/>
      <c r="M33" s="2579"/>
      <c r="N33" s="2640"/>
      <c r="O33" s="2495"/>
      <c r="P33" s="2495"/>
      <c r="Q33" s="2641"/>
      <c r="R33" s="2570"/>
      <c r="S33" s="2571"/>
      <c r="T33" s="2478"/>
      <c r="U33" s="2478"/>
      <c r="V33" s="2640"/>
      <c r="W33" s="2495"/>
      <c r="X33" s="2495"/>
      <c r="Y33" s="2495"/>
      <c r="Z33" s="2641"/>
      <c r="AA33" s="2484"/>
      <c r="AB33" s="2484"/>
      <c r="AC33" s="2574"/>
      <c r="AD33" s="2575"/>
      <c r="AE33" s="2478"/>
      <c r="AF33" s="2478"/>
      <c r="AG33" s="2570"/>
      <c r="AH33" s="2571"/>
      <c r="AI33" s="2646"/>
      <c r="AJ33" s="2671"/>
      <c r="AK33" s="2672"/>
      <c r="AL33" s="1189" t="s">
        <v>637</v>
      </c>
      <c r="AM33" s="1190" t="str">
        <f>IF(AND(入力1!AA29&lt;&gt;"",SUM(入力1!L77:N80)&gt;=1),"○",IF(AND(入力1!AA29&lt;&gt;"",SUM(入力1!L77:N80)=0),"-",""))</f>
        <v/>
      </c>
      <c r="AN33" s="1188" t="str">
        <f>IF(AND(入力1!AA29&lt;&gt;"",SUM(入力1!L81)&gt;=1),"○",IF(入力1!AA29&lt;&gt;"","-",""))</f>
        <v/>
      </c>
      <c r="AO33" s="577"/>
    </row>
    <row r="34" spans="2:41" ht="25.5" customHeight="1" x14ac:dyDescent="0.15">
      <c r="B34" s="2795"/>
      <c r="C34" s="2652"/>
      <c r="D34" s="2653"/>
      <c r="E34" s="1154"/>
      <c r="F34" s="2570"/>
      <c r="G34" s="2571"/>
      <c r="H34" s="2574"/>
      <c r="I34" s="2575"/>
      <c r="J34" s="2483"/>
      <c r="K34" s="2587"/>
      <c r="L34" s="2578"/>
      <c r="M34" s="2579"/>
      <c r="N34" s="2642"/>
      <c r="O34" s="2643"/>
      <c r="P34" s="2643"/>
      <c r="Q34" s="2644"/>
      <c r="R34" s="2570"/>
      <c r="S34" s="2571"/>
      <c r="T34" s="2478"/>
      <c r="U34" s="2478"/>
      <c r="V34" s="2640"/>
      <c r="W34" s="2495"/>
      <c r="X34" s="2495"/>
      <c r="Y34" s="2495"/>
      <c r="Z34" s="2641"/>
      <c r="AA34" s="2484"/>
      <c r="AB34" s="2484"/>
      <c r="AC34" s="2574"/>
      <c r="AD34" s="2575"/>
      <c r="AE34" s="2478"/>
      <c r="AF34" s="2478"/>
      <c r="AG34" s="2570"/>
      <c r="AH34" s="2571"/>
      <c r="AI34" s="2647"/>
      <c r="AJ34" s="2671"/>
      <c r="AK34" s="2672"/>
      <c r="AL34" s="2678" t="s">
        <v>176</v>
      </c>
      <c r="AM34" s="2602"/>
      <c r="AN34" s="2757"/>
      <c r="AO34" s="577"/>
    </row>
    <row r="35" spans="2:41" ht="25.5" customHeight="1" x14ac:dyDescent="0.15">
      <c r="B35" s="1303" t="str">
        <f>入力1!M66</f>
        <v/>
      </c>
      <c r="C35" s="2659" t="s">
        <v>523</v>
      </c>
      <c r="D35" s="2660"/>
      <c r="E35" s="1153"/>
      <c r="F35" s="2576"/>
      <c r="G35" s="2577"/>
      <c r="H35" s="2580" t="s">
        <v>525</v>
      </c>
      <c r="I35" s="2581"/>
      <c r="J35" s="2583"/>
      <c r="K35" s="2586"/>
      <c r="L35" s="2589"/>
      <c r="M35" s="2589"/>
      <c r="N35" s="2594"/>
      <c r="O35" s="2595"/>
      <c r="P35" s="2595"/>
      <c r="Q35" s="2596"/>
      <c r="R35" s="2589"/>
      <c r="S35" s="2589"/>
      <c r="T35" s="2576"/>
      <c r="U35" s="2577"/>
      <c r="V35" s="2638"/>
      <c r="W35" s="2617"/>
      <c r="X35" s="2617"/>
      <c r="Y35" s="2617"/>
      <c r="Z35" s="2639"/>
      <c r="AA35" s="2589"/>
      <c r="AB35" s="2589"/>
      <c r="AC35" s="2580" t="s">
        <v>525</v>
      </c>
      <c r="AD35" s="2631"/>
      <c r="AE35" s="2576"/>
      <c r="AF35" s="2577"/>
      <c r="AG35" s="2576"/>
      <c r="AH35" s="2577"/>
      <c r="AI35" s="2777" t="s">
        <v>530</v>
      </c>
      <c r="AJ35" s="2671"/>
      <c r="AK35" s="2672"/>
      <c r="AL35" s="2758"/>
      <c r="AM35" s="2496"/>
      <c r="AN35" s="2759"/>
      <c r="AO35" s="1299"/>
    </row>
    <row r="36" spans="2:41" ht="25.5" customHeight="1" x14ac:dyDescent="0.15">
      <c r="B36" s="1160" t="s">
        <v>0</v>
      </c>
      <c r="C36" s="2661"/>
      <c r="D36" s="2662"/>
      <c r="E36" s="1154"/>
      <c r="F36" s="2578"/>
      <c r="G36" s="2579"/>
      <c r="H36" s="2582"/>
      <c r="I36" s="2485"/>
      <c r="J36" s="2584"/>
      <c r="K36" s="2587"/>
      <c r="L36" s="2484"/>
      <c r="M36" s="2484"/>
      <c r="N36" s="2597"/>
      <c r="O36" s="2494"/>
      <c r="P36" s="2494"/>
      <c r="Q36" s="2598"/>
      <c r="R36" s="2484"/>
      <c r="S36" s="2484"/>
      <c r="T36" s="2578"/>
      <c r="U36" s="2579"/>
      <c r="V36" s="2640"/>
      <c r="W36" s="2495"/>
      <c r="X36" s="2495"/>
      <c r="Y36" s="2495"/>
      <c r="Z36" s="2641"/>
      <c r="AA36" s="2484"/>
      <c r="AB36" s="2484"/>
      <c r="AC36" s="2582"/>
      <c r="AD36" s="2632"/>
      <c r="AE36" s="2578"/>
      <c r="AF36" s="2579"/>
      <c r="AG36" s="2578"/>
      <c r="AH36" s="2579"/>
      <c r="AI36" s="2778"/>
      <c r="AJ36" s="2671"/>
      <c r="AK36" s="2672"/>
      <c r="AL36" s="2758"/>
      <c r="AM36" s="2496"/>
      <c r="AN36" s="2759"/>
      <c r="AO36" s="1299"/>
    </row>
    <row r="37" spans="2:41" ht="25.5" customHeight="1" thickBot="1" x14ac:dyDescent="0.2">
      <c r="B37" s="1175" t="str">
        <f>入力1!M66</f>
        <v/>
      </c>
      <c r="C37" s="2661"/>
      <c r="D37" s="2662"/>
      <c r="E37" s="1154"/>
      <c r="F37" s="2578"/>
      <c r="G37" s="2579"/>
      <c r="H37" s="2582"/>
      <c r="I37" s="2485"/>
      <c r="J37" s="2585"/>
      <c r="K37" s="2588"/>
      <c r="L37" s="2590"/>
      <c r="M37" s="2590"/>
      <c r="N37" s="2599"/>
      <c r="O37" s="2600"/>
      <c r="P37" s="2600"/>
      <c r="Q37" s="2601"/>
      <c r="R37" s="2590"/>
      <c r="S37" s="2590"/>
      <c r="T37" s="2615"/>
      <c r="U37" s="2616"/>
      <c r="V37" s="2640"/>
      <c r="W37" s="2495"/>
      <c r="X37" s="2495"/>
      <c r="Y37" s="2495"/>
      <c r="Z37" s="2641"/>
      <c r="AA37" s="2484"/>
      <c r="AB37" s="2484"/>
      <c r="AC37" s="2636"/>
      <c r="AD37" s="2634"/>
      <c r="AE37" s="2615"/>
      <c r="AF37" s="2616"/>
      <c r="AG37" s="2578"/>
      <c r="AH37" s="2579"/>
      <c r="AI37" s="2779"/>
      <c r="AJ37" s="2671"/>
      <c r="AK37" s="2672"/>
      <c r="AL37" s="2758"/>
      <c r="AM37" s="2496"/>
      <c r="AN37" s="2759"/>
      <c r="AO37" s="1299"/>
    </row>
    <row r="38" spans="2:41" ht="25.5" customHeight="1" thickTop="1" x14ac:dyDescent="0.15">
      <c r="B38" s="2796" t="s">
        <v>529</v>
      </c>
      <c r="C38" s="2655" t="s">
        <v>175</v>
      </c>
      <c r="D38" s="2656"/>
      <c r="E38" s="1155"/>
      <c r="F38" s="2557" t="s">
        <v>530</v>
      </c>
      <c r="G38" s="2558"/>
      <c r="H38" s="1139"/>
      <c r="I38" s="1139"/>
      <c r="J38" s="1214"/>
      <c r="K38" s="1215"/>
      <c r="L38" s="2484"/>
      <c r="M38" s="2484"/>
      <c r="N38" s="2570"/>
      <c r="O38" s="2478"/>
      <c r="P38" s="2478"/>
      <c r="Q38" s="2571"/>
      <c r="R38" s="2492"/>
      <c r="S38" s="2492"/>
      <c r="T38" s="2591"/>
      <c r="U38" s="2593"/>
      <c r="V38" s="2591"/>
      <c r="W38" s="2592"/>
      <c r="X38" s="2592"/>
      <c r="Y38" s="2592"/>
      <c r="Z38" s="2593"/>
      <c r="AA38" s="2591"/>
      <c r="AB38" s="2593"/>
      <c r="AC38" s="1154"/>
      <c r="AD38" s="1207"/>
      <c r="AE38" s="2591"/>
      <c r="AF38" s="2593"/>
      <c r="AG38" s="2767"/>
      <c r="AH38" s="2768"/>
      <c r="AI38" s="1191"/>
      <c r="AJ38" s="2671"/>
      <c r="AK38" s="2672"/>
      <c r="AL38" s="2760" t="s">
        <v>528</v>
      </c>
      <c r="AM38" s="2477"/>
      <c r="AN38" s="2761"/>
      <c r="AO38" s="1300"/>
    </row>
    <row r="39" spans="2:41" ht="25.5" customHeight="1" x14ac:dyDescent="0.15">
      <c r="B39" s="2796"/>
      <c r="C39" s="2685"/>
      <c r="D39" s="2686"/>
      <c r="E39" s="1154"/>
      <c r="F39" s="2559"/>
      <c r="G39" s="2560"/>
      <c r="H39" s="1146"/>
      <c r="I39" s="1146"/>
      <c r="J39" s="1216"/>
      <c r="K39" s="1216"/>
      <c r="L39" s="2565"/>
      <c r="M39" s="2567"/>
      <c r="N39" s="2565"/>
      <c r="O39" s="2566"/>
      <c r="P39" s="2566"/>
      <c r="Q39" s="2567"/>
      <c r="R39" s="2607"/>
      <c r="S39" s="2607"/>
      <c r="T39" s="2565"/>
      <c r="U39" s="2567"/>
      <c r="V39" s="2565"/>
      <c r="W39" s="2566"/>
      <c r="X39" s="2566"/>
      <c r="Y39" s="2566"/>
      <c r="Z39" s="2567"/>
      <c r="AA39" s="2565"/>
      <c r="AB39" s="2567"/>
      <c r="AC39" s="1157"/>
      <c r="AD39" s="1142"/>
      <c r="AE39" s="2565"/>
      <c r="AF39" s="2567"/>
      <c r="AG39" s="2682"/>
      <c r="AH39" s="2560"/>
      <c r="AI39" s="1192"/>
      <c r="AJ39" s="2673"/>
      <c r="AK39" s="2674"/>
      <c r="AL39" s="2762"/>
      <c r="AM39" s="2763"/>
      <c r="AN39" s="2764"/>
      <c r="AO39" s="1300"/>
    </row>
    <row r="40" spans="2:41" ht="21" customHeight="1" x14ac:dyDescent="0.15">
      <c r="B40" s="2677" t="s">
        <v>61</v>
      </c>
      <c r="C40" s="2677" t="s">
        <v>527</v>
      </c>
      <c r="D40" s="2677"/>
      <c r="E40" s="2678">
        <v>6</v>
      </c>
      <c r="F40" s="2602"/>
      <c r="G40" s="2602">
        <v>7</v>
      </c>
      <c r="H40" s="2602"/>
      <c r="I40" s="2602">
        <v>8</v>
      </c>
      <c r="J40" s="2496"/>
      <c r="K40" s="2496">
        <v>9</v>
      </c>
      <c r="L40" s="2496"/>
      <c r="M40" s="2496">
        <v>10</v>
      </c>
      <c r="N40" s="2496"/>
      <c r="O40" s="2496">
        <v>11</v>
      </c>
      <c r="P40" s="2496"/>
      <c r="Q40" s="2496">
        <v>12</v>
      </c>
      <c r="R40" s="2496"/>
      <c r="S40" s="2496">
        <v>13</v>
      </c>
      <c r="T40" s="2496"/>
      <c r="U40" s="2496">
        <v>14</v>
      </c>
      <c r="V40" s="2496"/>
      <c r="W40" s="2496">
        <v>15</v>
      </c>
      <c r="X40" s="2496"/>
      <c r="Y40" s="2496">
        <v>16</v>
      </c>
      <c r="Z40" s="2496"/>
      <c r="AA40" s="2496">
        <v>17</v>
      </c>
      <c r="AB40" s="2496"/>
      <c r="AC40" s="2496">
        <v>18</v>
      </c>
      <c r="AD40" s="2496"/>
      <c r="AE40" s="2496">
        <v>19</v>
      </c>
      <c r="AF40" s="2496"/>
      <c r="AG40" s="2602">
        <v>20</v>
      </c>
      <c r="AH40" s="2602"/>
      <c r="AI40" s="2602">
        <v>21</v>
      </c>
      <c r="AJ40" s="2602"/>
      <c r="AK40" s="1213"/>
      <c r="AL40" s="2663" t="s">
        <v>181</v>
      </c>
      <c r="AM40" s="2664"/>
      <c r="AN40" s="2665"/>
    </row>
    <row r="41" spans="2:41" ht="12" customHeight="1" x14ac:dyDescent="0.15">
      <c r="B41" s="2677"/>
      <c r="C41" s="2677"/>
      <c r="D41" s="2677"/>
      <c r="E41" s="1199"/>
      <c r="F41" s="1200"/>
      <c r="G41" s="1199"/>
      <c r="H41" s="1200"/>
      <c r="I41" s="1199"/>
      <c r="J41" s="1200"/>
      <c r="K41" s="1202"/>
      <c r="L41" s="1200"/>
      <c r="M41" s="1199"/>
      <c r="N41" s="1200"/>
      <c r="O41" s="1200"/>
      <c r="P41" s="1201"/>
      <c r="Q41" s="1200"/>
      <c r="R41" s="1201"/>
      <c r="S41" s="1199"/>
      <c r="T41" s="1201"/>
      <c r="U41" s="1199"/>
      <c r="V41" s="1200"/>
      <c r="W41" s="1200"/>
      <c r="X41" s="1201"/>
      <c r="Y41" s="1199"/>
      <c r="Z41" s="1200"/>
      <c r="AA41" s="1200"/>
      <c r="AB41" s="1201"/>
      <c r="AC41" s="1200"/>
      <c r="AD41" s="1201"/>
      <c r="AE41" s="1199"/>
      <c r="AF41" s="1201"/>
      <c r="AG41" s="1200"/>
      <c r="AH41" s="1201"/>
      <c r="AI41" s="1199"/>
      <c r="AJ41" s="1200"/>
      <c r="AK41" s="1200"/>
      <c r="AL41" s="2666"/>
      <c r="AM41" s="2667"/>
      <c r="AN41" s="2668"/>
      <c r="AO41" s="1294"/>
    </row>
    <row r="42" spans="2:41" ht="25.5" customHeight="1" x14ac:dyDescent="0.15">
      <c r="B42" s="2794" t="s">
        <v>533</v>
      </c>
      <c r="C42" s="2650" t="s">
        <v>526</v>
      </c>
      <c r="D42" s="2651"/>
      <c r="E42" s="1158"/>
      <c r="F42" s="2568"/>
      <c r="G42" s="2569"/>
      <c r="H42" s="2572" t="s">
        <v>531</v>
      </c>
      <c r="I42" s="2573"/>
      <c r="J42" s="2637"/>
      <c r="K42" s="2586"/>
      <c r="L42" s="2576"/>
      <c r="M42" s="2589"/>
      <c r="N42" s="2638"/>
      <c r="O42" s="2617"/>
      <c r="P42" s="2617"/>
      <c r="Q42" s="2639"/>
      <c r="R42" s="2635"/>
      <c r="S42" s="2635"/>
      <c r="T42" s="2568"/>
      <c r="U42" s="2569"/>
      <c r="V42" s="2617"/>
      <c r="W42" s="2617"/>
      <c r="X42" s="2617"/>
      <c r="Y42" s="2617"/>
      <c r="Z42" s="2617"/>
      <c r="AA42" s="2619" t="s">
        <v>622</v>
      </c>
      <c r="AB42" s="2620"/>
      <c r="AC42" s="2792" t="s">
        <v>524</v>
      </c>
      <c r="AD42" s="2573"/>
      <c r="AE42" s="2793"/>
      <c r="AF42" s="2793"/>
      <c r="AG42" s="2611"/>
      <c r="AH42" s="2612"/>
      <c r="AI42" s="2645" t="s">
        <v>619</v>
      </c>
      <c r="AJ42" s="2669" t="s">
        <v>179</v>
      </c>
      <c r="AK42" s="2670"/>
      <c r="AL42" s="1183"/>
      <c r="AM42" s="1184" t="s">
        <v>133</v>
      </c>
      <c r="AN42" s="1185" t="s">
        <v>180</v>
      </c>
      <c r="AO42" s="1295"/>
    </row>
    <row r="43" spans="2:41" ht="25.5" customHeight="1" x14ac:dyDescent="0.15">
      <c r="B43" s="2795"/>
      <c r="C43" s="2652"/>
      <c r="D43" s="2653"/>
      <c r="E43" s="1159"/>
      <c r="F43" s="2570"/>
      <c r="G43" s="2571"/>
      <c r="H43" s="2574"/>
      <c r="I43" s="2575"/>
      <c r="J43" s="2483"/>
      <c r="K43" s="2587"/>
      <c r="L43" s="2578"/>
      <c r="M43" s="2484"/>
      <c r="N43" s="2640"/>
      <c r="O43" s="2495"/>
      <c r="P43" s="2495"/>
      <c r="Q43" s="2641"/>
      <c r="R43" s="2478"/>
      <c r="S43" s="2478"/>
      <c r="T43" s="2570"/>
      <c r="U43" s="2571"/>
      <c r="V43" s="2495"/>
      <c r="W43" s="2495"/>
      <c r="X43" s="2495"/>
      <c r="Y43" s="2495"/>
      <c r="Z43" s="2495"/>
      <c r="AA43" s="2621"/>
      <c r="AB43" s="2622"/>
      <c r="AC43" s="2482"/>
      <c r="AD43" s="2575"/>
      <c r="AE43" s="2502"/>
      <c r="AF43" s="2502"/>
      <c r="AG43" s="2613"/>
      <c r="AH43" s="2614"/>
      <c r="AI43" s="2646"/>
      <c r="AJ43" s="2671"/>
      <c r="AK43" s="2672"/>
      <c r="AL43" s="1186" t="s">
        <v>178</v>
      </c>
      <c r="AM43" s="1187" t="str">
        <f>IF(AND(入力1!AB27&lt;&gt;"",SUM(入力1!P68:R71)&gt;=1),"○",IF(AND(入力1!AB27&lt;&gt;"",SUM(入力1!P68:R71)=0),"-",""))</f>
        <v/>
      </c>
      <c r="AN43" s="1188" t="str">
        <f>IF(AND(入力1!AC27&lt;&gt;"",SUM(入力1!Q68:S71)&gt;=1),"○",IF(AND(入力1!AC27&lt;&gt;"",SUM(入力1!Q68:S71)=0),"-",""))</f>
        <v/>
      </c>
      <c r="AO43" s="1295"/>
    </row>
    <row r="44" spans="2:41" ht="25.5" customHeight="1" x14ac:dyDescent="0.15">
      <c r="B44" s="2795"/>
      <c r="C44" s="2652"/>
      <c r="D44" s="2653"/>
      <c r="E44" s="1159"/>
      <c r="F44" s="2570"/>
      <c r="G44" s="2571"/>
      <c r="H44" s="2574"/>
      <c r="I44" s="2575"/>
      <c r="J44" s="2483"/>
      <c r="K44" s="2587"/>
      <c r="L44" s="2578"/>
      <c r="M44" s="2484"/>
      <c r="N44" s="2640"/>
      <c r="O44" s="2495"/>
      <c r="P44" s="2495"/>
      <c r="Q44" s="2641"/>
      <c r="R44" s="2478"/>
      <c r="S44" s="2478"/>
      <c r="T44" s="2570"/>
      <c r="U44" s="2571"/>
      <c r="V44" s="2495"/>
      <c r="W44" s="2495"/>
      <c r="X44" s="2495"/>
      <c r="Y44" s="2495"/>
      <c r="Z44" s="2495"/>
      <c r="AA44" s="2621"/>
      <c r="AB44" s="2622"/>
      <c r="AC44" s="2482"/>
      <c r="AD44" s="2575"/>
      <c r="AE44" s="2502"/>
      <c r="AF44" s="2502"/>
      <c r="AG44" s="2613"/>
      <c r="AH44" s="2614"/>
      <c r="AI44" s="2646"/>
      <c r="AJ44" s="2671"/>
      <c r="AK44" s="2672"/>
      <c r="AL44" s="1186" t="s">
        <v>177</v>
      </c>
      <c r="AM44" s="1187" t="str">
        <f>IF(AND(入力1!AB28&lt;&gt;"",SUM(入力1!P72:R75)&gt;=1),"○",IF(AND(入力1!AB28&lt;&gt;"",SUM(入力1!P72:R75)=0),"-",""))</f>
        <v/>
      </c>
      <c r="AN44" s="1187" t="str">
        <f>IF(AND(入力1!AB28&lt;&gt;"",SUM(入力1!P76)&gt;=1),"○",IF(入力1!AB28&lt;&gt;"","-",""))</f>
        <v/>
      </c>
      <c r="AO44" s="1295"/>
    </row>
    <row r="45" spans="2:41" ht="25.5" customHeight="1" x14ac:dyDescent="0.15">
      <c r="B45" s="2795"/>
      <c r="C45" s="2652"/>
      <c r="D45" s="2653"/>
      <c r="E45" s="1159"/>
      <c r="F45" s="2570"/>
      <c r="G45" s="2571"/>
      <c r="H45" s="2574"/>
      <c r="I45" s="2575"/>
      <c r="J45" s="2483"/>
      <c r="K45" s="2587"/>
      <c r="L45" s="2578"/>
      <c r="M45" s="2484"/>
      <c r="N45" s="2640"/>
      <c r="O45" s="2495"/>
      <c r="P45" s="2495"/>
      <c r="Q45" s="2641"/>
      <c r="R45" s="2478"/>
      <c r="S45" s="2478"/>
      <c r="T45" s="2570"/>
      <c r="U45" s="2571"/>
      <c r="V45" s="2495"/>
      <c r="W45" s="2495"/>
      <c r="X45" s="2495"/>
      <c r="Y45" s="2495"/>
      <c r="Z45" s="2495"/>
      <c r="AA45" s="2621"/>
      <c r="AB45" s="2622"/>
      <c r="AC45" s="2482"/>
      <c r="AD45" s="2575"/>
      <c r="AE45" s="2502"/>
      <c r="AF45" s="2502"/>
      <c r="AG45" s="2613"/>
      <c r="AH45" s="2614"/>
      <c r="AI45" s="2646"/>
      <c r="AJ45" s="2671"/>
      <c r="AK45" s="2672"/>
      <c r="AL45" s="1189" t="s">
        <v>637</v>
      </c>
      <c r="AM45" s="1190" t="str">
        <f>IF(AND(入力1!AB29&lt;&gt;"",SUM(入力1!P70:R73)&gt;=1),"○",IF(AND(入力1!AB29&lt;&gt;"",SUM(入力1!P70:R73)=0),"-",""))</f>
        <v/>
      </c>
      <c r="AN45" s="1188" t="str">
        <f>IF(AND(入力1!AC29&lt;&gt;"",SUM(入力1!Q70:S73)&gt;=1),"○",IF(AND(入力1!AC29&lt;&gt;"",SUM(入力1!Q70:S73)=0),"-",""))</f>
        <v/>
      </c>
      <c r="AO45" s="577"/>
    </row>
    <row r="46" spans="2:41" ht="25.5" customHeight="1" x14ac:dyDescent="0.15">
      <c r="B46" s="2795"/>
      <c r="C46" s="2652"/>
      <c r="D46" s="2653"/>
      <c r="E46" s="1159"/>
      <c r="F46" s="2570"/>
      <c r="G46" s="2571"/>
      <c r="H46" s="2574"/>
      <c r="I46" s="2575"/>
      <c r="J46" s="2483"/>
      <c r="K46" s="2587"/>
      <c r="L46" s="2578"/>
      <c r="M46" s="2484"/>
      <c r="N46" s="2642"/>
      <c r="O46" s="2643"/>
      <c r="P46" s="2643"/>
      <c r="Q46" s="2644"/>
      <c r="R46" s="2478"/>
      <c r="S46" s="2478"/>
      <c r="T46" s="2570"/>
      <c r="U46" s="2571"/>
      <c r="V46" s="2495"/>
      <c r="W46" s="2495"/>
      <c r="X46" s="2495"/>
      <c r="Y46" s="2495"/>
      <c r="Z46" s="2495"/>
      <c r="AA46" s="2621"/>
      <c r="AB46" s="2622"/>
      <c r="AC46" s="2482"/>
      <c r="AD46" s="2575"/>
      <c r="AE46" s="2502"/>
      <c r="AF46" s="2502"/>
      <c r="AG46" s="2613"/>
      <c r="AH46" s="2614"/>
      <c r="AI46" s="2647"/>
      <c r="AJ46" s="2671"/>
      <c r="AK46" s="2672"/>
      <c r="AL46" s="2678" t="s">
        <v>176</v>
      </c>
      <c r="AM46" s="2602"/>
      <c r="AN46" s="2757"/>
      <c r="AO46" s="577"/>
    </row>
    <row r="47" spans="2:41" ht="25.5" customHeight="1" x14ac:dyDescent="0.15">
      <c r="B47" s="1303" t="str">
        <f>入力1!Q66</f>
        <v/>
      </c>
      <c r="C47" s="2659" t="s">
        <v>523</v>
      </c>
      <c r="D47" s="2660"/>
      <c r="E47" s="1158"/>
      <c r="F47" s="2576"/>
      <c r="G47" s="2577"/>
      <c r="H47" s="2580" t="s">
        <v>525</v>
      </c>
      <c r="I47" s="2581"/>
      <c r="J47" s="2583"/>
      <c r="K47" s="2586"/>
      <c r="L47" s="2589"/>
      <c r="M47" s="2589"/>
      <c r="N47" s="2594"/>
      <c r="O47" s="2595"/>
      <c r="P47" s="2595"/>
      <c r="Q47" s="2596"/>
      <c r="R47" s="2589"/>
      <c r="S47" s="2589"/>
      <c r="T47" s="2576"/>
      <c r="U47" s="2577"/>
      <c r="V47" s="2617"/>
      <c r="W47" s="2617"/>
      <c r="X47" s="2617"/>
      <c r="Y47" s="2617"/>
      <c r="Z47" s="2617"/>
      <c r="AA47" s="2619"/>
      <c r="AB47" s="2620"/>
      <c r="AC47" s="2581" t="s">
        <v>525</v>
      </c>
      <c r="AD47" s="2631"/>
      <c r="AE47" s="2771"/>
      <c r="AF47" s="2772"/>
      <c r="AG47" s="2771"/>
      <c r="AH47" s="2772"/>
      <c r="AI47" s="2777" t="s">
        <v>530</v>
      </c>
      <c r="AJ47" s="2671"/>
      <c r="AK47" s="2672"/>
      <c r="AL47" s="2758"/>
      <c r="AM47" s="2496"/>
      <c r="AN47" s="2759"/>
      <c r="AO47" s="1299"/>
    </row>
    <row r="48" spans="2:41" ht="25.5" customHeight="1" x14ac:dyDescent="0.15">
      <c r="B48" s="1160" t="s">
        <v>0</v>
      </c>
      <c r="C48" s="2661"/>
      <c r="D48" s="2662"/>
      <c r="E48" s="1159"/>
      <c r="F48" s="2578"/>
      <c r="G48" s="2579"/>
      <c r="H48" s="2582"/>
      <c r="I48" s="2485"/>
      <c r="J48" s="2584"/>
      <c r="K48" s="2587"/>
      <c r="L48" s="2484"/>
      <c r="M48" s="2484"/>
      <c r="N48" s="2597"/>
      <c r="O48" s="2494"/>
      <c r="P48" s="2494"/>
      <c r="Q48" s="2598"/>
      <c r="R48" s="2484"/>
      <c r="S48" s="2484"/>
      <c r="T48" s="2578"/>
      <c r="U48" s="2579"/>
      <c r="V48" s="2495"/>
      <c r="W48" s="2495"/>
      <c r="X48" s="2495"/>
      <c r="Y48" s="2495"/>
      <c r="Z48" s="2495"/>
      <c r="AA48" s="2621"/>
      <c r="AB48" s="2622"/>
      <c r="AC48" s="2485"/>
      <c r="AD48" s="2632"/>
      <c r="AE48" s="2773"/>
      <c r="AF48" s="2774"/>
      <c r="AG48" s="2773"/>
      <c r="AH48" s="2774"/>
      <c r="AI48" s="2778"/>
      <c r="AJ48" s="2671"/>
      <c r="AK48" s="2672"/>
      <c r="AL48" s="2758"/>
      <c r="AM48" s="2496"/>
      <c r="AN48" s="2759"/>
      <c r="AO48" s="1299"/>
    </row>
    <row r="49" spans="2:58" ht="25.5" customHeight="1" thickBot="1" x14ac:dyDescent="0.2">
      <c r="B49" s="1175" t="str">
        <f>入力1!Q66</f>
        <v/>
      </c>
      <c r="C49" s="2661"/>
      <c r="D49" s="2662"/>
      <c r="E49" s="1159"/>
      <c r="F49" s="2578"/>
      <c r="G49" s="2579"/>
      <c r="H49" s="2582"/>
      <c r="I49" s="2485"/>
      <c r="J49" s="2585"/>
      <c r="K49" s="2588"/>
      <c r="L49" s="2590"/>
      <c r="M49" s="2590"/>
      <c r="N49" s="2599"/>
      <c r="O49" s="2600"/>
      <c r="P49" s="2600"/>
      <c r="Q49" s="2601"/>
      <c r="R49" s="2590"/>
      <c r="S49" s="2590"/>
      <c r="T49" s="2615"/>
      <c r="U49" s="2616"/>
      <c r="V49" s="2618"/>
      <c r="W49" s="2618"/>
      <c r="X49" s="2618"/>
      <c r="Y49" s="2618"/>
      <c r="Z49" s="2618"/>
      <c r="AA49" s="2623"/>
      <c r="AB49" s="2624"/>
      <c r="AC49" s="2633"/>
      <c r="AD49" s="2634"/>
      <c r="AE49" s="2775"/>
      <c r="AF49" s="2776"/>
      <c r="AG49" s="2775"/>
      <c r="AH49" s="2776"/>
      <c r="AI49" s="2779"/>
      <c r="AJ49" s="2671"/>
      <c r="AK49" s="2672"/>
      <c r="AL49" s="2758"/>
      <c r="AM49" s="2496"/>
      <c r="AN49" s="2759"/>
      <c r="AO49" s="1299"/>
    </row>
    <row r="50" spans="2:58" ht="25.5" customHeight="1" thickTop="1" x14ac:dyDescent="0.15">
      <c r="B50" s="2796" t="s">
        <v>529</v>
      </c>
      <c r="C50" s="2655" t="s">
        <v>175</v>
      </c>
      <c r="D50" s="2656"/>
      <c r="E50" s="1156"/>
      <c r="F50" s="2561" t="s">
        <v>530</v>
      </c>
      <c r="G50" s="2562"/>
      <c r="H50" s="1139"/>
      <c r="I50" s="1139"/>
      <c r="J50" s="1214"/>
      <c r="K50" s="1215"/>
      <c r="L50" s="2484"/>
      <c r="M50" s="2484"/>
      <c r="N50" s="2570"/>
      <c r="O50" s="2478"/>
      <c r="P50" s="2478"/>
      <c r="Q50" s="2571"/>
      <c r="R50" s="2492"/>
      <c r="S50" s="2492"/>
      <c r="T50" s="2591"/>
      <c r="U50" s="2593"/>
      <c r="V50" s="2591"/>
      <c r="W50" s="2592"/>
      <c r="X50" s="2592"/>
      <c r="Y50" s="2592"/>
      <c r="Z50" s="2593"/>
      <c r="AA50" s="2561"/>
      <c r="AB50" s="2562"/>
      <c r="AC50" s="1146"/>
      <c r="AD50" s="1146"/>
      <c r="AE50" s="1206"/>
      <c r="AF50" s="1206"/>
      <c r="AG50" s="2489"/>
      <c r="AH50" s="2489"/>
      <c r="AI50" s="1191"/>
      <c r="AJ50" s="2671"/>
      <c r="AK50" s="2672"/>
      <c r="AL50" s="2760" t="s">
        <v>528</v>
      </c>
      <c r="AM50" s="2477"/>
      <c r="AN50" s="2761"/>
      <c r="AO50" s="1300"/>
    </row>
    <row r="51" spans="2:58" ht="25.5" customHeight="1" x14ac:dyDescent="0.15">
      <c r="B51" s="2796"/>
      <c r="C51" s="2685"/>
      <c r="D51" s="2686"/>
      <c r="E51" s="1159"/>
      <c r="F51" s="2563"/>
      <c r="G51" s="2564"/>
      <c r="H51" s="1146"/>
      <c r="I51" s="1146"/>
      <c r="J51" s="1216"/>
      <c r="K51" s="1216"/>
      <c r="L51" s="2565"/>
      <c r="M51" s="2567"/>
      <c r="N51" s="2565"/>
      <c r="O51" s="2566"/>
      <c r="P51" s="2566"/>
      <c r="Q51" s="2567"/>
      <c r="R51" s="2607"/>
      <c r="S51" s="2607"/>
      <c r="T51" s="2565"/>
      <c r="U51" s="2567"/>
      <c r="V51" s="2565"/>
      <c r="W51" s="2566"/>
      <c r="X51" s="2566"/>
      <c r="Y51" s="2566"/>
      <c r="Z51" s="2567"/>
      <c r="AA51" s="2563"/>
      <c r="AB51" s="2564"/>
      <c r="AC51" s="1141"/>
      <c r="AD51" s="1142"/>
      <c r="AE51" s="1146"/>
      <c r="AF51" s="1146"/>
      <c r="AG51" s="2559"/>
      <c r="AH51" s="2560"/>
      <c r="AI51" s="1192"/>
      <c r="AJ51" s="2673"/>
      <c r="AK51" s="2674"/>
      <c r="AL51" s="2762"/>
      <c r="AM51" s="2763"/>
      <c r="AN51" s="2764"/>
      <c r="AO51" s="1304"/>
      <c r="AP51" s="1221"/>
      <c r="AQ51" s="1221"/>
      <c r="AR51" s="1221"/>
      <c r="AS51" s="1289"/>
      <c r="AT51" s="1289"/>
      <c r="AU51" s="1289"/>
      <c r="AV51" s="1289"/>
      <c r="AW51" s="1289"/>
      <c r="AX51" s="1289"/>
      <c r="AY51" s="1289"/>
      <c r="AZ51" s="1289"/>
      <c r="BA51" s="1289"/>
      <c r="BB51" s="1289"/>
    </row>
    <row r="52" spans="2:58" ht="22.5" customHeight="1" x14ac:dyDescent="0.15">
      <c r="B52" s="2770" t="s">
        <v>650</v>
      </c>
      <c r="C52" s="2770"/>
      <c r="D52" s="2770"/>
      <c r="E52" s="2770"/>
      <c r="F52" s="2770"/>
      <c r="G52" s="2770"/>
      <c r="H52" s="2770"/>
      <c r="I52" s="2770"/>
      <c r="J52" s="2770"/>
      <c r="K52" s="2770"/>
      <c r="L52" s="2770"/>
      <c r="M52" s="2770"/>
      <c r="N52" s="2770"/>
      <c r="O52" s="2770"/>
      <c r="P52" s="2770"/>
      <c r="Q52" s="2770"/>
      <c r="R52" s="2770"/>
      <c r="S52" s="2770"/>
      <c r="T52" s="2770"/>
      <c r="U52" s="2770"/>
      <c r="V52" s="2770"/>
      <c r="W52" s="2770"/>
      <c r="X52" s="2770"/>
      <c r="Y52" s="2770"/>
      <c r="Z52" s="2770"/>
      <c r="AA52" s="2770"/>
      <c r="AB52" s="2770"/>
      <c r="AC52" s="2770"/>
      <c r="AD52" s="2770"/>
      <c r="AE52" s="2770"/>
      <c r="AF52" s="2770"/>
      <c r="AG52" s="2770"/>
      <c r="AH52" s="2770"/>
      <c r="AI52" s="2770"/>
      <c r="AJ52" s="2770"/>
      <c r="AK52" s="2770"/>
      <c r="AL52" s="2770"/>
      <c r="AM52" s="2770"/>
      <c r="AN52" s="2770"/>
      <c r="AO52" s="1305"/>
      <c r="AP52" s="1305"/>
      <c r="AQ52" s="1305"/>
      <c r="AR52" s="1305"/>
      <c r="AS52" s="1289"/>
      <c r="AT52" s="1289"/>
      <c r="AU52" s="1289"/>
      <c r="AV52" s="1289"/>
      <c r="AW52" s="1289"/>
      <c r="AX52" s="1289"/>
      <c r="AY52" s="1289"/>
      <c r="AZ52" s="1289"/>
      <c r="BA52" s="1289"/>
      <c r="BB52" s="1289"/>
      <c r="BC52" s="1275"/>
      <c r="BD52" s="1276"/>
      <c r="BE52" s="1306"/>
      <c r="BF52" s="1306"/>
    </row>
    <row r="53" spans="2:58" ht="33.75" customHeight="1" x14ac:dyDescent="0.15">
      <c r="F53" s="1132"/>
      <c r="G53" s="1132"/>
      <c r="H53" s="1132"/>
      <c r="I53" s="1132"/>
      <c r="J53" s="1138"/>
      <c r="K53" s="1136"/>
      <c r="L53" s="1307"/>
      <c r="M53" s="1307"/>
      <c r="N53" s="1308"/>
      <c r="O53" s="1308"/>
      <c r="P53" s="1308"/>
      <c r="Q53" s="1308"/>
      <c r="R53" s="1308"/>
      <c r="S53" s="1308"/>
      <c r="T53" s="1308"/>
      <c r="U53" s="1308"/>
      <c r="V53" s="1121"/>
      <c r="W53" s="1121"/>
      <c r="X53" s="1121"/>
      <c r="Y53" s="1121"/>
      <c r="Z53" s="1121"/>
      <c r="AA53" s="1308"/>
      <c r="AB53" s="1308"/>
      <c r="AC53" s="1308"/>
      <c r="AD53" s="1308"/>
      <c r="AE53" s="1308"/>
      <c r="AF53" s="1308"/>
      <c r="AG53" s="1308"/>
      <c r="AH53" s="1308"/>
      <c r="AI53" s="1309"/>
    </row>
    <row r="54" spans="2:58" ht="40.5" customHeight="1" x14ac:dyDescent="0.25">
      <c r="B54" s="2520"/>
      <c r="C54" s="2520"/>
      <c r="D54" s="2520"/>
      <c r="E54" s="2520"/>
      <c r="F54" s="2520"/>
      <c r="G54" s="2520"/>
      <c r="H54" s="2520"/>
      <c r="I54" s="2520"/>
      <c r="J54" s="2520"/>
      <c r="K54" s="2520"/>
      <c r="L54" s="2520"/>
      <c r="M54" s="2520"/>
      <c r="N54" s="2520"/>
      <c r="O54" s="2520"/>
      <c r="P54" s="2520"/>
      <c r="Q54" s="2520"/>
      <c r="R54" s="2520"/>
      <c r="S54" s="2520"/>
      <c r="T54" s="2520"/>
      <c r="U54" s="2520"/>
      <c r="V54" s="2520"/>
      <c r="W54" s="2520"/>
      <c r="X54" s="2520"/>
      <c r="Y54" s="2520"/>
      <c r="Z54" s="2520"/>
      <c r="AA54" s="2520"/>
      <c r="AB54" s="2521"/>
      <c r="AC54" s="2521"/>
      <c r="AD54" s="2521"/>
      <c r="AE54" s="2521"/>
      <c r="AF54" s="2521"/>
      <c r="AG54" s="2521"/>
      <c r="AH54" s="2521"/>
      <c r="AI54" s="2521"/>
      <c r="AJ54" s="2521"/>
      <c r="AK54" s="2521"/>
      <c r="AL54" s="1324"/>
      <c r="AM54" s="1274"/>
      <c r="AN54" s="1325"/>
    </row>
    <row r="55" spans="2:58" ht="24.75" customHeight="1" x14ac:dyDescent="0.2">
      <c r="B55" s="2513"/>
      <c r="C55" s="2513"/>
      <c r="D55" s="2510"/>
      <c r="E55" s="2510"/>
      <c r="F55" s="2510"/>
      <c r="G55" s="2510"/>
      <c r="H55" s="2510"/>
      <c r="I55" s="2522"/>
      <c r="J55" s="2522"/>
      <c r="K55" s="2523"/>
      <c r="L55" s="2523"/>
      <c r="M55" s="2523"/>
      <c r="N55" s="2524"/>
      <c r="O55" s="2524"/>
      <c r="P55" s="2524"/>
      <c r="Q55" s="2510"/>
      <c r="R55" s="2510"/>
      <c r="S55" s="2525"/>
      <c r="T55" s="2509"/>
      <c r="U55" s="2525"/>
      <c r="V55" s="2509"/>
      <c r="W55" s="2525"/>
      <c r="X55" s="2509"/>
      <c r="Y55" s="2509"/>
      <c r="Z55" s="2509"/>
      <c r="AA55" s="2526"/>
      <c r="AB55" s="2509"/>
      <c r="AC55" s="2527"/>
      <c r="AD55" s="2509"/>
      <c r="AE55" s="2509"/>
      <c r="AF55" s="2509"/>
      <c r="AG55" s="2509"/>
      <c r="AH55" s="2509"/>
      <c r="AI55" s="2509"/>
      <c r="AJ55" s="2509"/>
      <c r="AK55" s="2510"/>
      <c r="AL55" s="2510"/>
      <c r="AM55" s="1322"/>
      <c r="AN55" s="1322"/>
    </row>
    <row r="56" spans="2:58" ht="23.25" customHeight="1" x14ac:dyDescent="0.15">
      <c r="B56" s="2513"/>
      <c r="C56" s="2513"/>
      <c r="D56" s="2510"/>
      <c r="E56" s="2510"/>
      <c r="F56" s="2510"/>
      <c r="G56" s="2510"/>
      <c r="H56" s="2510"/>
      <c r="I56" s="2511"/>
      <c r="J56" s="2511"/>
      <c r="K56" s="2523"/>
      <c r="L56" s="2523"/>
      <c r="M56" s="2523"/>
      <c r="N56" s="2524"/>
      <c r="O56" s="2524"/>
      <c r="P56" s="2524"/>
      <c r="Q56" s="2510"/>
      <c r="R56" s="2510"/>
      <c r="S56" s="2525"/>
      <c r="T56" s="2509"/>
      <c r="U56" s="2525"/>
      <c r="V56" s="2509"/>
      <c r="W56" s="2525"/>
      <c r="X56" s="2509"/>
      <c r="Y56" s="2509"/>
      <c r="Z56" s="2509"/>
      <c r="AA56" s="2526"/>
      <c r="AB56" s="2509"/>
      <c r="AC56" s="2527"/>
      <c r="AD56" s="2509"/>
      <c r="AE56" s="2509"/>
      <c r="AF56" s="2509"/>
      <c r="AG56" s="2509"/>
      <c r="AH56" s="2509"/>
      <c r="AI56" s="2509"/>
      <c r="AJ56" s="2509"/>
      <c r="AK56" s="2510"/>
      <c r="AL56" s="2510"/>
      <c r="AM56" s="1322"/>
      <c r="AN56" s="1322"/>
    </row>
    <row r="57" spans="2:58" ht="19.5" customHeight="1" x14ac:dyDescent="0.15">
      <c r="B57" s="2512"/>
      <c r="C57" s="2513"/>
      <c r="D57" s="2510"/>
      <c r="E57" s="2510"/>
      <c r="F57" s="2510"/>
      <c r="G57" s="2510"/>
      <c r="H57" s="2510"/>
      <c r="I57" s="2510"/>
      <c r="J57" s="2510"/>
      <c r="K57" s="2510"/>
      <c r="L57" s="2510"/>
      <c r="M57" s="2510"/>
      <c r="N57" s="2510"/>
      <c r="O57" s="2510"/>
      <c r="P57" s="2510"/>
      <c r="Q57" s="2510"/>
      <c r="R57" s="2514"/>
      <c r="S57" s="2514"/>
      <c r="T57" s="2514"/>
      <c r="U57" s="2514"/>
      <c r="V57" s="2514"/>
      <c r="W57" s="2514"/>
      <c r="X57" s="2514"/>
      <c r="Y57" s="2514"/>
      <c r="Z57" s="2514"/>
      <c r="AA57" s="2514"/>
      <c r="AB57" s="2514"/>
      <c r="AC57" s="2514"/>
      <c r="AD57" s="2514"/>
      <c r="AE57" s="2514"/>
      <c r="AF57" s="2514"/>
      <c r="AG57" s="2514"/>
      <c r="AH57" s="2514"/>
      <c r="AI57" s="2514"/>
      <c r="AJ57" s="2514"/>
      <c r="AK57" s="2514"/>
      <c r="AL57" s="2515"/>
      <c r="AM57" s="2515"/>
      <c r="AN57" s="2515"/>
    </row>
    <row r="58" spans="2:58" ht="5.25" customHeight="1" x14ac:dyDescent="0.15">
      <c r="B58" s="2513"/>
      <c r="C58" s="2513"/>
      <c r="D58" s="2510"/>
      <c r="E58" s="2510"/>
      <c r="F58" s="2510"/>
      <c r="G58" s="2510"/>
      <c r="H58" s="2510"/>
      <c r="I58" s="2510"/>
      <c r="J58" s="2510"/>
      <c r="K58" s="2510"/>
      <c r="L58" s="2510"/>
      <c r="M58" s="2510"/>
      <c r="N58" s="2510"/>
      <c r="O58" s="2510"/>
      <c r="P58" s="2510"/>
      <c r="Q58" s="2510"/>
      <c r="R58" s="2516"/>
      <c r="S58" s="2516"/>
      <c r="T58" s="2516"/>
      <c r="U58" s="2510"/>
      <c r="V58" s="2516"/>
      <c r="W58" s="2516"/>
      <c r="X58" s="2510"/>
      <c r="Y58" s="2516"/>
      <c r="Z58" s="2516"/>
      <c r="AA58" s="2516"/>
      <c r="AB58" s="2518"/>
      <c r="AC58" s="2518"/>
      <c r="AD58" s="2518"/>
      <c r="AE58" s="2510"/>
      <c r="AF58" s="2519"/>
      <c r="AG58" s="2519"/>
      <c r="AH58" s="2510"/>
      <c r="AI58" s="2519"/>
      <c r="AJ58" s="2519"/>
      <c r="AK58" s="2519"/>
      <c r="AL58" s="2515"/>
      <c r="AM58" s="2515"/>
      <c r="AN58" s="2515"/>
    </row>
    <row r="59" spans="2:58" ht="19.5" customHeight="1" x14ac:dyDescent="0.15">
      <c r="B59" s="2513"/>
      <c r="C59" s="2513"/>
      <c r="D59" s="2510"/>
      <c r="E59" s="2510"/>
      <c r="F59" s="2510"/>
      <c r="G59" s="2510"/>
      <c r="H59" s="2510"/>
      <c r="I59" s="2510"/>
      <c r="J59" s="2510"/>
      <c r="K59" s="2510"/>
      <c r="L59" s="2510"/>
      <c r="M59" s="2510"/>
      <c r="N59" s="2510"/>
      <c r="O59" s="2510"/>
      <c r="P59" s="2510"/>
      <c r="Q59" s="2510"/>
      <c r="R59" s="2516"/>
      <c r="S59" s="2516"/>
      <c r="T59" s="2516"/>
      <c r="U59" s="2510"/>
      <c r="V59" s="2516"/>
      <c r="W59" s="2516"/>
      <c r="X59" s="2510"/>
      <c r="Y59" s="2516"/>
      <c r="Z59" s="2516"/>
      <c r="AA59" s="2516"/>
      <c r="AB59" s="2518"/>
      <c r="AC59" s="2518"/>
      <c r="AD59" s="2518"/>
      <c r="AE59" s="2510"/>
      <c r="AF59" s="2519"/>
      <c r="AG59" s="2519"/>
      <c r="AH59" s="2510"/>
      <c r="AI59" s="2519"/>
      <c r="AJ59" s="2519"/>
      <c r="AK59" s="2519"/>
      <c r="AL59" s="1326"/>
      <c r="AM59" s="2505"/>
      <c r="AN59" s="2505"/>
    </row>
    <row r="60" spans="2:58" ht="19.5" customHeight="1" x14ac:dyDescent="0.15">
      <c r="B60" s="2513"/>
      <c r="C60" s="2513"/>
      <c r="D60" s="2510"/>
      <c r="E60" s="2510"/>
      <c r="F60" s="2510"/>
      <c r="G60" s="2510"/>
      <c r="H60" s="2510"/>
      <c r="I60" s="2510"/>
      <c r="J60" s="2510"/>
      <c r="K60" s="2510"/>
      <c r="L60" s="2510"/>
      <c r="M60" s="2510"/>
      <c r="N60" s="2510"/>
      <c r="O60" s="2510"/>
      <c r="P60" s="2510"/>
      <c r="Q60" s="2510"/>
      <c r="R60" s="2516"/>
      <c r="S60" s="2516"/>
      <c r="T60" s="2516"/>
      <c r="U60" s="2510"/>
      <c r="V60" s="2516"/>
      <c r="W60" s="2516"/>
      <c r="X60" s="2510"/>
      <c r="Y60" s="2516"/>
      <c r="Z60" s="2516"/>
      <c r="AA60" s="2516"/>
      <c r="AB60" s="2518"/>
      <c r="AC60" s="2518"/>
      <c r="AD60" s="2518"/>
      <c r="AE60" s="2510"/>
      <c r="AF60" s="2519"/>
      <c r="AG60" s="2519"/>
      <c r="AH60" s="2510"/>
      <c r="AI60" s="2519"/>
      <c r="AJ60" s="2519"/>
      <c r="AK60" s="2519"/>
      <c r="AL60" s="1326"/>
      <c r="AM60" s="2505"/>
      <c r="AN60" s="2505"/>
    </row>
    <row r="61" spans="2:58" ht="21" customHeight="1" x14ac:dyDescent="0.15">
      <c r="B61" s="2506"/>
      <c r="C61" s="2506"/>
      <c r="D61" s="2506"/>
      <c r="E61" s="1327"/>
      <c r="F61" s="1327"/>
      <c r="G61" s="1328"/>
      <c r="H61" s="1328"/>
      <c r="I61" s="1328"/>
      <c r="J61" s="1328"/>
      <c r="K61" s="1328"/>
      <c r="L61" s="1328"/>
      <c r="M61" s="1328"/>
      <c r="N61" s="1328"/>
      <c r="O61" s="1315"/>
      <c r="P61" s="1315"/>
      <c r="Q61" s="1315"/>
      <c r="R61" s="1327"/>
      <c r="S61" s="1327"/>
      <c r="T61" s="1327"/>
      <c r="U61" s="1327"/>
      <c r="V61" s="1327"/>
      <c r="W61" s="1327"/>
      <c r="X61" s="1327"/>
      <c r="Y61" s="1327"/>
      <c r="Z61" s="1327"/>
      <c r="AA61" s="1327"/>
      <c r="AB61" s="1327"/>
      <c r="AC61" s="1327"/>
      <c r="AD61" s="1327"/>
      <c r="AE61" s="1327"/>
      <c r="AF61" s="1327"/>
      <c r="AG61" s="1327"/>
      <c r="AH61" s="1327"/>
      <c r="AI61" s="1327"/>
      <c r="AJ61" s="2507"/>
      <c r="AK61" s="2507"/>
      <c r="AL61" s="2507"/>
      <c r="AM61" s="2507"/>
      <c r="AN61" s="1327"/>
    </row>
    <row r="62" spans="2:58" ht="21.75" customHeight="1" x14ac:dyDescent="0.15">
      <c r="B62" s="2508"/>
      <c r="C62" s="2508"/>
      <c r="D62" s="2508"/>
      <c r="E62" s="2496"/>
      <c r="F62" s="2496"/>
      <c r="G62" s="2496"/>
      <c r="H62" s="2496"/>
      <c r="I62" s="2496"/>
      <c r="J62" s="2496"/>
      <c r="K62" s="2496"/>
      <c r="L62" s="2496"/>
      <c r="M62" s="2496"/>
      <c r="N62" s="2496"/>
      <c r="O62" s="2496"/>
      <c r="P62" s="2496"/>
      <c r="Q62" s="2496"/>
      <c r="R62" s="2496"/>
      <c r="S62" s="2496"/>
      <c r="T62" s="2496"/>
      <c r="U62" s="2496"/>
      <c r="V62" s="2496"/>
      <c r="W62" s="2496"/>
      <c r="X62" s="2496"/>
      <c r="Y62" s="2496"/>
      <c r="Z62" s="2496"/>
      <c r="AA62" s="2496"/>
      <c r="AB62" s="2496"/>
      <c r="AC62" s="2496"/>
      <c r="AD62" s="2496"/>
      <c r="AE62" s="2496"/>
      <c r="AF62" s="2496"/>
      <c r="AG62" s="2496"/>
      <c r="AH62" s="2496"/>
      <c r="AI62" s="2496"/>
      <c r="AJ62" s="2496"/>
      <c r="AK62" s="1315"/>
      <c r="AL62" s="2497"/>
      <c r="AM62" s="2497"/>
      <c r="AN62" s="2497"/>
    </row>
    <row r="63" spans="2:58" ht="12.75" customHeight="1" x14ac:dyDescent="0.15">
      <c r="B63" s="2508"/>
      <c r="C63" s="2508"/>
      <c r="D63" s="2508"/>
      <c r="E63" s="1327"/>
      <c r="F63" s="1327"/>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c r="AG63" s="1327"/>
      <c r="AH63" s="1327"/>
      <c r="AI63" s="1327"/>
      <c r="AJ63" s="1327"/>
      <c r="AK63" s="1327"/>
      <c r="AL63" s="2497"/>
      <c r="AM63" s="2497"/>
      <c r="AN63" s="2497"/>
    </row>
    <row r="64" spans="2:58" ht="26.25" customHeight="1" x14ac:dyDescent="0.15">
      <c r="B64" s="2789"/>
      <c r="C64" s="2499"/>
      <c r="D64" s="2499"/>
      <c r="E64" s="1146"/>
      <c r="F64" s="2478"/>
      <c r="G64" s="2478"/>
      <c r="H64" s="2482"/>
      <c r="I64" s="2482"/>
      <c r="J64" s="2483"/>
      <c r="K64" s="2483"/>
      <c r="L64" s="2484"/>
      <c r="M64" s="2484"/>
      <c r="N64" s="2495"/>
      <c r="O64" s="2495"/>
      <c r="P64" s="2495"/>
      <c r="Q64" s="2495"/>
      <c r="R64" s="2478"/>
      <c r="S64" s="2478"/>
      <c r="T64" s="2478"/>
      <c r="U64" s="2478"/>
      <c r="V64" s="2495"/>
      <c r="W64" s="2495"/>
      <c r="X64" s="2495"/>
      <c r="Y64" s="2495"/>
      <c r="Z64" s="2495"/>
      <c r="AA64" s="2484"/>
      <c r="AB64" s="2484"/>
      <c r="AC64" s="2482"/>
      <c r="AD64" s="2482"/>
      <c r="AE64" s="2478"/>
      <c r="AF64" s="2478"/>
      <c r="AG64" s="2478"/>
      <c r="AH64" s="2478"/>
      <c r="AI64" s="2479"/>
      <c r="AJ64" s="2503"/>
      <c r="AK64" s="2503"/>
      <c r="AL64" s="1329"/>
      <c r="AM64" s="1330"/>
      <c r="AN64" s="1330"/>
    </row>
    <row r="65" spans="2:40" ht="26.25" customHeight="1" x14ac:dyDescent="0.15">
      <c r="B65" s="2789"/>
      <c r="C65" s="2499"/>
      <c r="D65" s="2499"/>
      <c r="E65" s="1146"/>
      <c r="F65" s="2478"/>
      <c r="G65" s="2478"/>
      <c r="H65" s="2482"/>
      <c r="I65" s="2482"/>
      <c r="J65" s="2483"/>
      <c r="K65" s="2483"/>
      <c r="L65" s="2484"/>
      <c r="M65" s="2484"/>
      <c r="N65" s="2495"/>
      <c r="O65" s="2495"/>
      <c r="P65" s="2495"/>
      <c r="Q65" s="2495"/>
      <c r="R65" s="2478"/>
      <c r="S65" s="2478"/>
      <c r="T65" s="2478"/>
      <c r="U65" s="2478"/>
      <c r="V65" s="2495"/>
      <c r="W65" s="2495"/>
      <c r="X65" s="2495"/>
      <c r="Y65" s="2495"/>
      <c r="Z65" s="2495"/>
      <c r="AA65" s="2484"/>
      <c r="AB65" s="2484"/>
      <c r="AC65" s="2482"/>
      <c r="AD65" s="2482"/>
      <c r="AE65" s="2478"/>
      <c r="AF65" s="2478"/>
      <c r="AG65" s="2478"/>
      <c r="AH65" s="2478"/>
      <c r="AI65" s="2479"/>
      <c r="AJ65" s="2503"/>
      <c r="AK65" s="2503"/>
      <c r="AL65" s="1330"/>
      <c r="AM65" s="1331"/>
      <c r="AN65" s="1331"/>
    </row>
    <row r="66" spans="2:40" ht="26.25" customHeight="1" x14ac:dyDescent="0.15">
      <c r="B66" s="2789"/>
      <c r="C66" s="2499"/>
      <c r="D66" s="2499"/>
      <c r="E66" s="1146"/>
      <c r="F66" s="2478"/>
      <c r="G66" s="2478"/>
      <c r="H66" s="2482"/>
      <c r="I66" s="2482"/>
      <c r="J66" s="2483"/>
      <c r="K66" s="2483"/>
      <c r="L66" s="2484"/>
      <c r="M66" s="2484"/>
      <c r="N66" s="2495"/>
      <c r="O66" s="2495"/>
      <c r="P66" s="2495"/>
      <c r="Q66" s="2495"/>
      <c r="R66" s="2478"/>
      <c r="S66" s="2478"/>
      <c r="T66" s="2478"/>
      <c r="U66" s="2478"/>
      <c r="V66" s="2495"/>
      <c r="W66" s="2495"/>
      <c r="X66" s="2495"/>
      <c r="Y66" s="2495"/>
      <c r="Z66" s="2495"/>
      <c r="AA66" s="2484"/>
      <c r="AB66" s="2484"/>
      <c r="AC66" s="2482"/>
      <c r="AD66" s="2482"/>
      <c r="AE66" s="2478"/>
      <c r="AF66" s="2478"/>
      <c r="AG66" s="2478"/>
      <c r="AH66" s="2478"/>
      <c r="AI66" s="2479"/>
      <c r="AJ66" s="2503"/>
      <c r="AK66" s="2503"/>
      <c r="AL66" s="1330"/>
      <c r="AM66" s="1331"/>
      <c r="AN66" s="1331"/>
    </row>
    <row r="67" spans="2:40" ht="26.25" customHeight="1" x14ac:dyDescent="0.15">
      <c r="B67" s="2789"/>
      <c r="C67" s="2499"/>
      <c r="D67" s="2499"/>
      <c r="E67" s="1146"/>
      <c r="F67" s="2478"/>
      <c r="G67" s="2478"/>
      <c r="H67" s="2482"/>
      <c r="I67" s="2482"/>
      <c r="J67" s="2483"/>
      <c r="K67" s="2483"/>
      <c r="L67" s="2484"/>
      <c r="M67" s="2484"/>
      <c r="N67" s="2495"/>
      <c r="O67" s="2495"/>
      <c r="P67" s="2495"/>
      <c r="Q67" s="2495"/>
      <c r="R67" s="2478"/>
      <c r="S67" s="2478"/>
      <c r="T67" s="2478"/>
      <c r="U67" s="2478"/>
      <c r="V67" s="2495"/>
      <c r="W67" s="2495"/>
      <c r="X67" s="2495"/>
      <c r="Y67" s="2495"/>
      <c r="Z67" s="2495"/>
      <c r="AA67" s="2484"/>
      <c r="AB67" s="2484"/>
      <c r="AC67" s="2482"/>
      <c r="AD67" s="2482"/>
      <c r="AE67" s="2478"/>
      <c r="AF67" s="2478"/>
      <c r="AG67" s="2478"/>
      <c r="AH67" s="2478"/>
      <c r="AI67" s="2479"/>
      <c r="AJ67" s="2503"/>
      <c r="AK67" s="2503"/>
      <c r="AL67" s="1330"/>
      <c r="AM67" s="1331"/>
      <c r="AN67" s="1331"/>
    </row>
    <row r="68" spans="2:40" ht="26.25" customHeight="1" x14ac:dyDescent="0.15">
      <c r="B68" s="2789"/>
      <c r="C68" s="2499"/>
      <c r="D68" s="2499"/>
      <c r="E68" s="1146"/>
      <c r="F68" s="2478"/>
      <c r="G68" s="2478"/>
      <c r="H68" s="2482"/>
      <c r="I68" s="2482"/>
      <c r="J68" s="2483"/>
      <c r="K68" s="2483"/>
      <c r="L68" s="2484"/>
      <c r="M68" s="2484"/>
      <c r="N68" s="2495"/>
      <c r="O68" s="2495"/>
      <c r="P68" s="2495"/>
      <c r="Q68" s="2495"/>
      <c r="R68" s="2478"/>
      <c r="S68" s="2478"/>
      <c r="T68" s="2478"/>
      <c r="U68" s="2478"/>
      <c r="V68" s="2495"/>
      <c r="W68" s="2495"/>
      <c r="X68" s="2495"/>
      <c r="Y68" s="2495"/>
      <c r="Z68" s="2495"/>
      <c r="AA68" s="2484"/>
      <c r="AB68" s="2484"/>
      <c r="AC68" s="2482"/>
      <c r="AD68" s="2482"/>
      <c r="AE68" s="2478"/>
      <c r="AF68" s="2478"/>
      <c r="AG68" s="2478"/>
      <c r="AH68" s="2478"/>
      <c r="AI68" s="2479"/>
      <c r="AJ68" s="2503"/>
      <c r="AK68" s="2503"/>
      <c r="AL68" s="2496"/>
      <c r="AM68" s="2496"/>
      <c r="AN68" s="2496"/>
    </row>
    <row r="69" spans="2:40" ht="26.25" customHeight="1" x14ac:dyDescent="0.15">
      <c r="B69" s="1338"/>
      <c r="C69" s="2504"/>
      <c r="D69" s="2504"/>
      <c r="E69" s="1146"/>
      <c r="F69" s="2484"/>
      <c r="G69" s="2484"/>
      <c r="H69" s="2485"/>
      <c r="I69" s="2485"/>
      <c r="J69" s="2483"/>
      <c r="K69" s="2483"/>
      <c r="L69" s="2484"/>
      <c r="M69" s="2484"/>
      <c r="N69" s="2494"/>
      <c r="O69" s="2494"/>
      <c r="P69" s="2494"/>
      <c r="Q69" s="2494"/>
      <c r="R69" s="2484"/>
      <c r="S69" s="2484"/>
      <c r="T69" s="2484"/>
      <c r="U69" s="2484"/>
      <c r="V69" s="2495"/>
      <c r="W69" s="2495"/>
      <c r="X69" s="2495"/>
      <c r="Y69" s="2495"/>
      <c r="Z69" s="2495"/>
      <c r="AA69" s="2484"/>
      <c r="AB69" s="2484"/>
      <c r="AC69" s="2485"/>
      <c r="AD69" s="2485"/>
      <c r="AE69" s="2484"/>
      <c r="AF69" s="2484"/>
      <c r="AG69" s="2484"/>
      <c r="AH69" s="2484"/>
      <c r="AI69" s="2489"/>
      <c r="AJ69" s="2503"/>
      <c r="AK69" s="2503"/>
      <c r="AL69" s="2496"/>
      <c r="AM69" s="2496"/>
      <c r="AN69" s="2496"/>
    </row>
    <row r="70" spans="2:40" ht="26.25" customHeight="1" x14ac:dyDescent="0.15">
      <c r="B70" s="1339"/>
      <c r="C70" s="2504"/>
      <c r="D70" s="2504"/>
      <c r="E70" s="1146"/>
      <c r="F70" s="2484"/>
      <c r="G70" s="2484"/>
      <c r="H70" s="2485"/>
      <c r="I70" s="2485"/>
      <c r="J70" s="2483"/>
      <c r="K70" s="2483"/>
      <c r="L70" s="2484"/>
      <c r="M70" s="2484"/>
      <c r="N70" s="2494"/>
      <c r="O70" s="2494"/>
      <c r="P70" s="2494"/>
      <c r="Q70" s="2494"/>
      <c r="R70" s="2484"/>
      <c r="S70" s="2484"/>
      <c r="T70" s="2484"/>
      <c r="U70" s="2484"/>
      <c r="V70" s="2495"/>
      <c r="W70" s="2495"/>
      <c r="X70" s="2495"/>
      <c r="Y70" s="2495"/>
      <c r="Z70" s="2495"/>
      <c r="AA70" s="2484"/>
      <c r="AB70" s="2484"/>
      <c r="AC70" s="2485"/>
      <c r="AD70" s="2485"/>
      <c r="AE70" s="2484"/>
      <c r="AF70" s="2484"/>
      <c r="AG70" s="2484"/>
      <c r="AH70" s="2484"/>
      <c r="AI70" s="2489"/>
      <c r="AJ70" s="2503"/>
      <c r="AK70" s="2503"/>
      <c r="AL70" s="2496"/>
      <c r="AM70" s="2496"/>
      <c r="AN70" s="2496"/>
    </row>
    <row r="71" spans="2:40" ht="26.25" customHeight="1" x14ac:dyDescent="0.15">
      <c r="B71" s="1340"/>
      <c r="C71" s="2504"/>
      <c r="D71" s="2504"/>
      <c r="E71" s="1146"/>
      <c r="F71" s="2484"/>
      <c r="G71" s="2484"/>
      <c r="H71" s="2485"/>
      <c r="I71" s="2485"/>
      <c r="J71" s="2483"/>
      <c r="K71" s="2483"/>
      <c r="L71" s="2484"/>
      <c r="M71" s="2484"/>
      <c r="N71" s="2494"/>
      <c r="O71" s="2494"/>
      <c r="P71" s="2494"/>
      <c r="Q71" s="2494"/>
      <c r="R71" s="2484"/>
      <c r="S71" s="2484"/>
      <c r="T71" s="2484"/>
      <c r="U71" s="2484"/>
      <c r="V71" s="2495"/>
      <c r="W71" s="2495"/>
      <c r="X71" s="2495"/>
      <c r="Y71" s="2495"/>
      <c r="Z71" s="2495"/>
      <c r="AA71" s="2484"/>
      <c r="AB71" s="2484"/>
      <c r="AC71" s="2485"/>
      <c r="AD71" s="2485"/>
      <c r="AE71" s="2484"/>
      <c r="AF71" s="2484"/>
      <c r="AG71" s="2484"/>
      <c r="AH71" s="2484"/>
      <c r="AI71" s="2489"/>
      <c r="AJ71" s="2503"/>
      <c r="AK71" s="2503"/>
      <c r="AL71" s="2496"/>
      <c r="AM71" s="2496"/>
      <c r="AN71" s="2496"/>
    </row>
    <row r="72" spans="2:40" ht="26.25" customHeight="1" x14ac:dyDescent="0.15">
      <c r="B72" s="2788"/>
      <c r="C72" s="2491"/>
      <c r="D72" s="2491"/>
      <c r="E72" s="1146"/>
      <c r="F72" s="2486"/>
      <c r="G72" s="2486"/>
      <c r="H72" s="1146"/>
      <c r="I72" s="1146"/>
      <c r="J72" s="1335"/>
      <c r="K72" s="1335"/>
      <c r="L72" s="2484"/>
      <c r="M72" s="2484"/>
      <c r="N72" s="2478"/>
      <c r="O72" s="2478"/>
      <c r="P72" s="2478"/>
      <c r="Q72" s="2478"/>
      <c r="R72" s="2492"/>
      <c r="S72" s="2492"/>
      <c r="T72" s="2478"/>
      <c r="U72" s="2478"/>
      <c r="V72" s="2478"/>
      <c r="W72" s="2478"/>
      <c r="X72" s="2478"/>
      <c r="Y72" s="2478"/>
      <c r="Z72" s="2478"/>
      <c r="AA72" s="2478"/>
      <c r="AB72" s="2478"/>
      <c r="AC72" s="1146"/>
      <c r="AD72" s="1146"/>
      <c r="AE72" s="2478"/>
      <c r="AF72" s="2478"/>
      <c r="AG72" s="2489"/>
      <c r="AH72" s="2489"/>
      <c r="AI72" s="1336"/>
      <c r="AJ72" s="2503"/>
      <c r="AK72" s="2503"/>
      <c r="AL72" s="2477"/>
      <c r="AM72" s="2477"/>
      <c r="AN72" s="2477"/>
    </row>
    <row r="73" spans="2:40" ht="26.25" customHeight="1" x14ac:dyDescent="0.15">
      <c r="B73" s="2788"/>
      <c r="C73" s="2491"/>
      <c r="D73" s="2491"/>
      <c r="E73" s="1146"/>
      <c r="F73" s="2486"/>
      <c r="G73" s="2486"/>
      <c r="H73" s="1146"/>
      <c r="I73" s="1146"/>
      <c r="J73" s="1335"/>
      <c r="K73" s="1335"/>
      <c r="L73" s="2478"/>
      <c r="M73" s="2478"/>
      <c r="N73" s="2478"/>
      <c r="O73" s="2478"/>
      <c r="P73" s="2478"/>
      <c r="Q73" s="2478"/>
      <c r="R73" s="2492"/>
      <c r="S73" s="2492"/>
      <c r="T73" s="2478"/>
      <c r="U73" s="2478"/>
      <c r="V73" s="2478"/>
      <c r="W73" s="2478"/>
      <c r="X73" s="2478"/>
      <c r="Y73" s="2478"/>
      <c r="Z73" s="2478"/>
      <c r="AA73" s="2478"/>
      <c r="AB73" s="2478"/>
      <c r="AC73" s="1146"/>
      <c r="AD73" s="1146"/>
      <c r="AE73" s="2478"/>
      <c r="AF73" s="2478"/>
      <c r="AG73" s="2486"/>
      <c r="AH73" s="2486"/>
      <c r="AI73" s="1337"/>
      <c r="AJ73" s="2503"/>
      <c r="AK73" s="2503"/>
      <c r="AL73" s="2477"/>
      <c r="AM73" s="2477"/>
      <c r="AN73" s="2477"/>
    </row>
    <row r="74" spans="2:40" ht="20.25" customHeight="1" x14ac:dyDescent="0.15">
      <c r="B74" s="2496"/>
      <c r="C74" s="2496"/>
      <c r="D74" s="2496"/>
      <c r="E74" s="2496"/>
      <c r="F74" s="2496"/>
      <c r="G74" s="2496"/>
      <c r="H74" s="2496"/>
      <c r="I74" s="2496"/>
      <c r="J74" s="2496"/>
      <c r="K74" s="2496"/>
      <c r="L74" s="2496"/>
      <c r="M74" s="2496"/>
      <c r="N74" s="2496"/>
      <c r="O74" s="2496"/>
      <c r="P74" s="2496"/>
      <c r="Q74" s="2496"/>
      <c r="R74" s="2496"/>
      <c r="S74" s="2496"/>
      <c r="T74" s="2496"/>
      <c r="U74" s="2496"/>
      <c r="V74" s="2496"/>
      <c r="W74" s="2496"/>
      <c r="X74" s="2496"/>
      <c r="Y74" s="2496"/>
      <c r="Z74" s="2496"/>
      <c r="AA74" s="2496"/>
      <c r="AB74" s="2496"/>
      <c r="AC74" s="2496"/>
      <c r="AD74" s="2496"/>
      <c r="AE74" s="2496"/>
      <c r="AF74" s="2496"/>
      <c r="AG74" s="2496"/>
      <c r="AH74" s="2496"/>
      <c r="AI74" s="2496"/>
      <c r="AJ74" s="2496"/>
      <c r="AK74" s="1315"/>
      <c r="AL74" s="2497"/>
      <c r="AM74" s="2497"/>
      <c r="AN74" s="2497"/>
    </row>
    <row r="75" spans="2:40" ht="12.75" customHeight="1" x14ac:dyDescent="0.15">
      <c r="B75" s="2496"/>
      <c r="C75" s="2496"/>
      <c r="D75" s="2496"/>
      <c r="E75" s="1327"/>
      <c r="F75" s="1327"/>
      <c r="G75" s="1327"/>
      <c r="H75" s="1327"/>
      <c r="I75" s="1327"/>
      <c r="J75" s="1327"/>
      <c r="K75" s="1327"/>
      <c r="L75" s="1327"/>
      <c r="M75" s="1327"/>
      <c r="N75" s="1327"/>
      <c r="O75" s="1327"/>
      <c r="P75" s="1327"/>
      <c r="Q75" s="1327"/>
      <c r="R75" s="1327"/>
      <c r="S75" s="1327"/>
      <c r="T75" s="1327"/>
      <c r="U75" s="1327"/>
      <c r="V75" s="1327"/>
      <c r="W75" s="1327"/>
      <c r="X75" s="1327"/>
      <c r="Y75" s="1327"/>
      <c r="Z75" s="1327"/>
      <c r="AA75" s="1327"/>
      <c r="AB75" s="1327"/>
      <c r="AC75" s="1327"/>
      <c r="AD75" s="1327"/>
      <c r="AE75" s="1327"/>
      <c r="AF75" s="1327"/>
      <c r="AG75" s="1327"/>
      <c r="AH75" s="1327"/>
      <c r="AI75" s="1327"/>
      <c r="AJ75" s="1327"/>
      <c r="AK75" s="1327"/>
      <c r="AL75" s="2497"/>
      <c r="AM75" s="2497"/>
      <c r="AN75" s="2497"/>
    </row>
    <row r="76" spans="2:40" ht="25.5" customHeight="1" x14ac:dyDescent="0.15">
      <c r="B76" s="2789"/>
      <c r="C76" s="2499"/>
      <c r="D76" s="2499"/>
      <c r="E76" s="1146"/>
      <c r="F76" s="2478"/>
      <c r="G76" s="2478"/>
      <c r="H76" s="2482"/>
      <c r="I76" s="2482"/>
      <c r="J76" s="2483"/>
      <c r="K76" s="2483"/>
      <c r="L76" s="2484"/>
      <c r="M76" s="2484"/>
      <c r="N76" s="2495"/>
      <c r="O76" s="2495"/>
      <c r="P76" s="2495"/>
      <c r="Q76" s="2495"/>
      <c r="R76" s="2478"/>
      <c r="S76" s="2478"/>
      <c r="T76" s="2478"/>
      <c r="U76" s="2478"/>
      <c r="V76" s="2495"/>
      <c r="W76" s="2495"/>
      <c r="X76" s="2495"/>
      <c r="Y76" s="2495"/>
      <c r="Z76" s="2495"/>
      <c r="AA76" s="2484"/>
      <c r="AB76" s="2484"/>
      <c r="AC76" s="2482"/>
      <c r="AD76" s="2482"/>
      <c r="AE76" s="2478"/>
      <c r="AF76" s="2478"/>
      <c r="AG76" s="2478"/>
      <c r="AH76" s="2478"/>
      <c r="AI76" s="2479"/>
      <c r="AJ76" s="2503"/>
      <c r="AK76" s="2503"/>
      <c r="AL76" s="1329"/>
      <c r="AM76" s="1330"/>
      <c r="AN76" s="1330"/>
    </row>
    <row r="77" spans="2:40" ht="25.5" customHeight="1" x14ac:dyDescent="0.15">
      <c r="B77" s="2789"/>
      <c r="C77" s="2499"/>
      <c r="D77" s="2499"/>
      <c r="E77" s="1146"/>
      <c r="F77" s="2478"/>
      <c r="G77" s="2478"/>
      <c r="H77" s="2482"/>
      <c r="I77" s="2482"/>
      <c r="J77" s="2483"/>
      <c r="K77" s="2483"/>
      <c r="L77" s="2484"/>
      <c r="M77" s="2484"/>
      <c r="N77" s="2495"/>
      <c r="O77" s="2495"/>
      <c r="P77" s="2495"/>
      <c r="Q77" s="2495"/>
      <c r="R77" s="2478"/>
      <c r="S77" s="2478"/>
      <c r="T77" s="2478"/>
      <c r="U77" s="2478"/>
      <c r="V77" s="2495"/>
      <c r="W77" s="2495"/>
      <c r="X77" s="2495"/>
      <c r="Y77" s="2495"/>
      <c r="Z77" s="2495"/>
      <c r="AA77" s="2484"/>
      <c r="AB77" s="2484"/>
      <c r="AC77" s="2482"/>
      <c r="AD77" s="2482"/>
      <c r="AE77" s="2478"/>
      <c r="AF77" s="2478"/>
      <c r="AG77" s="2478"/>
      <c r="AH77" s="2478"/>
      <c r="AI77" s="2479"/>
      <c r="AJ77" s="2503"/>
      <c r="AK77" s="2503"/>
      <c r="AL77" s="1330"/>
      <c r="AM77" s="1331"/>
      <c r="AN77" s="1331"/>
    </row>
    <row r="78" spans="2:40" ht="25.5" customHeight="1" x14ac:dyDescent="0.15">
      <c r="B78" s="2789"/>
      <c r="C78" s="2499"/>
      <c r="D78" s="2499"/>
      <c r="E78" s="1146"/>
      <c r="F78" s="2478"/>
      <c r="G78" s="2478"/>
      <c r="H78" s="2482"/>
      <c r="I78" s="2482"/>
      <c r="J78" s="2483"/>
      <c r="K78" s="2483"/>
      <c r="L78" s="2484"/>
      <c r="M78" s="2484"/>
      <c r="N78" s="2495"/>
      <c r="O78" s="2495"/>
      <c r="P78" s="2495"/>
      <c r="Q78" s="2495"/>
      <c r="R78" s="2478"/>
      <c r="S78" s="2478"/>
      <c r="T78" s="2478"/>
      <c r="U78" s="2478"/>
      <c r="V78" s="2495"/>
      <c r="W78" s="2495"/>
      <c r="X78" s="2495"/>
      <c r="Y78" s="2495"/>
      <c r="Z78" s="2495"/>
      <c r="AA78" s="2484"/>
      <c r="AB78" s="2484"/>
      <c r="AC78" s="2482"/>
      <c r="AD78" s="2482"/>
      <c r="AE78" s="2478"/>
      <c r="AF78" s="2478"/>
      <c r="AG78" s="2478"/>
      <c r="AH78" s="2478"/>
      <c r="AI78" s="2479"/>
      <c r="AJ78" s="2503"/>
      <c r="AK78" s="2503"/>
      <c r="AL78" s="1330"/>
      <c r="AM78" s="1331"/>
      <c r="AN78" s="1331"/>
    </row>
    <row r="79" spans="2:40" ht="25.5" customHeight="1" x14ac:dyDescent="0.15">
      <c r="B79" s="2789"/>
      <c r="C79" s="2499"/>
      <c r="D79" s="2499"/>
      <c r="E79" s="1146"/>
      <c r="F79" s="2478"/>
      <c r="G79" s="2478"/>
      <c r="H79" s="2482"/>
      <c r="I79" s="2482"/>
      <c r="J79" s="2483"/>
      <c r="K79" s="2483"/>
      <c r="L79" s="2484"/>
      <c r="M79" s="2484"/>
      <c r="N79" s="2495"/>
      <c r="O79" s="2495"/>
      <c r="P79" s="2495"/>
      <c r="Q79" s="2495"/>
      <c r="R79" s="2478"/>
      <c r="S79" s="2478"/>
      <c r="T79" s="2478"/>
      <c r="U79" s="2478"/>
      <c r="V79" s="2495"/>
      <c r="W79" s="2495"/>
      <c r="X79" s="2495"/>
      <c r="Y79" s="2495"/>
      <c r="Z79" s="2495"/>
      <c r="AA79" s="2484"/>
      <c r="AB79" s="2484"/>
      <c r="AC79" s="2482"/>
      <c r="AD79" s="2482"/>
      <c r="AE79" s="2478"/>
      <c r="AF79" s="2478"/>
      <c r="AG79" s="2478"/>
      <c r="AH79" s="2478"/>
      <c r="AI79" s="2479"/>
      <c r="AJ79" s="2503"/>
      <c r="AK79" s="2503"/>
      <c r="AL79" s="1330"/>
      <c r="AM79" s="1331"/>
      <c r="AN79" s="1331"/>
    </row>
    <row r="80" spans="2:40" ht="25.5" customHeight="1" x14ac:dyDescent="0.15">
      <c r="B80" s="2789"/>
      <c r="C80" s="2499"/>
      <c r="D80" s="2499"/>
      <c r="E80" s="1146"/>
      <c r="F80" s="2478"/>
      <c r="G80" s="2478"/>
      <c r="H80" s="2482"/>
      <c r="I80" s="2482"/>
      <c r="J80" s="2483"/>
      <c r="K80" s="2483"/>
      <c r="L80" s="2484"/>
      <c r="M80" s="2484"/>
      <c r="N80" s="2495"/>
      <c r="O80" s="2495"/>
      <c r="P80" s="2495"/>
      <c r="Q80" s="2495"/>
      <c r="R80" s="2478"/>
      <c r="S80" s="2478"/>
      <c r="T80" s="2478"/>
      <c r="U80" s="2478"/>
      <c r="V80" s="2495"/>
      <c r="W80" s="2495"/>
      <c r="X80" s="2495"/>
      <c r="Y80" s="2495"/>
      <c r="Z80" s="2495"/>
      <c r="AA80" s="2484"/>
      <c r="AB80" s="2484"/>
      <c r="AC80" s="2482"/>
      <c r="AD80" s="2482"/>
      <c r="AE80" s="2478"/>
      <c r="AF80" s="2478"/>
      <c r="AG80" s="2478"/>
      <c r="AH80" s="2478"/>
      <c r="AI80" s="2479"/>
      <c r="AJ80" s="2503"/>
      <c r="AK80" s="2503"/>
      <c r="AL80" s="2496"/>
      <c r="AM80" s="2496"/>
      <c r="AN80" s="2496"/>
    </row>
    <row r="81" spans="2:40" ht="25.5" customHeight="1" x14ac:dyDescent="0.15">
      <c r="B81" s="1341"/>
      <c r="C81" s="2504"/>
      <c r="D81" s="2504"/>
      <c r="E81" s="1146"/>
      <c r="F81" s="2484"/>
      <c r="G81" s="2484"/>
      <c r="H81" s="2485"/>
      <c r="I81" s="2485"/>
      <c r="J81" s="2483"/>
      <c r="K81" s="2483"/>
      <c r="L81" s="2484"/>
      <c r="M81" s="2484"/>
      <c r="N81" s="2494"/>
      <c r="O81" s="2494"/>
      <c r="P81" s="2494"/>
      <c r="Q81" s="2494"/>
      <c r="R81" s="2484"/>
      <c r="S81" s="2484"/>
      <c r="T81" s="2484"/>
      <c r="U81" s="2484"/>
      <c r="V81" s="2495"/>
      <c r="W81" s="2495"/>
      <c r="X81" s="2495"/>
      <c r="Y81" s="2495"/>
      <c r="Z81" s="2495"/>
      <c r="AA81" s="2484"/>
      <c r="AB81" s="2484"/>
      <c r="AC81" s="2485"/>
      <c r="AD81" s="2485"/>
      <c r="AE81" s="2484"/>
      <c r="AF81" s="2484"/>
      <c r="AG81" s="2484"/>
      <c r="AH81" s="2484"/>
      <c r="AI81" s="2489"/>
      <c r="AJ81" s="2503"/>
      <c r="AK81" s="2503"/>
      <c r="AL81" s="2496"/>
      <c r="AM81" s="2496"/>
      <c r="AN81" s="2496"/>
    </row>
    <row r="82" spans="2:40" ht="25.5" customHeight="1" x14ac:dyDescent="0.15">
      <c r="B82" s="1339"/>
      <c r="C82" s="2504"/>
      <c r="D82" s="2504"/>
      <c r="E82" s="1146"/>
      <c r="F82" s="2484"/>
      <c r="G82" s="2484"/>
      <c r="H82" s="2485"/>
      <c r="I82" s="2485"/>
      <c r="J82" s="2483"/>
      <c r="K82" s="2483"/>
      <c r="L82" s="2484"/>
      <c r="M82" s="2484"/>
      <c r="N82" s="2494"/>
      <c r="O82" s="2494"/>
      <c r="P82" s="2494"/>
      <c r="Q82" s="2494"/>
      <c r="R82" s="2484"/>
      <c r="S82" s="2484"/>
      <c r="T82" s="2484"/>
      <c r="U82" s="2484"/>
      <c r="V82" s="2495"/>
      <c r="W82" s="2495"/>
      <c r="X82" s="2495"/>
      <c r="Y82" s="2495"/>
      <c r="Z82" s="2495"/>
      <c r="AA82" s="2484"/>
      <c r="AB82" s="2484"/>
      <c r="AC82" s="2485"/>
      <c r="AD82" s="2485"/>
      <c r="AE82" s="2484"/>
      <c r="AF82" s="2484"/>
      <c r="AG82" s="2484"/>
      <c r="AH82" s="2484"/>
      <c r="AI82" s="2489"/>
      <c r="AJ82" s="2503"/>
      <c r="AK82" s="2503"/>
      <c r="AL82" s="2496"/>
      <c r="AM82" s="2496"/>
      <c r="AN82" s="2496"/>
    </row>
    <row r="83" spans="2:40" ht="25.5" customHeight="1" x14ac:dyDescent="0.15">
      <c r="B83" s="1340"/>
      <c r="C83" s="2504"/>
      <c r="D83" s="2504"/>
      <c r="E83" s="1146"/>
      <c r="F83" s="2484"/>
      <c r="G83" s="2484"/>
      <c r="H83" s="2485"/>
      <c r="I83" s="2485"/>
      <c r="J83" s="2483"/>
      <c r="K83" s="2483"/>
      <c r="L83" s="2484"/>
      <c r="M83" s="2484"/>
      <c r="N83" s="2494"/>
      <c r="O83" s="2494"/>
      <c r="P83" s="2494"/>
      <c r="Q83" s="2494"/>
      <c r="R83" s="2484"/>
      <c r="S83" s="2484"/>
      <c r="T83" s="2484"/>
      <c r="U83" s="2484"/>
      <c r="V83" s="2495"/>
      <c r="W83" s="2495"/>
      <c r="X83" s="2495"/>
      <c r="Y83" s="2495"/>
      <c r="Z83" s="2495"/>
      <c r="AA83" s="2484"/>
      <c r="AB83" s="2484"/>
      <c r="AC83" s="2485"/>
      <c r="AD83" s="2485"/>
      <c r="AE83" s="2484"/>
      <c r="AF83" s="2484"/>
      <c r="AG83" s="2484"/>
      <c r="AH83" s="2484"/>
      <c r="AI83" s="2489"/>
      <c r="AJ83" s="2503"/>
      <c r="AK83" s="2503"/>
      <c r="AL83" s="2496"/>
      <c r="AM83" s="2496"/>
      <c r="AN83" s="2496"/>
    </row>
    <row r="84" spans="2:40" ht="25.5" customHeight="1" x14ac:dyDescent="0.15">
      <c r="B84" s="2788"/>
      <c r="C84" s="2491"/>
      <c r="D84" s="2491"/>
      <c r="E84" s="1146"/>
      <c r="F84" s="2486"/>
      <c r="G84" s="2486"/>
      <c r="H84" s="1146"/>
      <c r="I84" s="1146"/>
      <c r="J84" s="1335"/>
      <c r="K84" s="1335"/>
      <c r="L84" s="2484"/>
      <c r="M84" s="2484"/>
      <c r="N84" s="2478"/>
      <c r="O84" s="2478"/>
      <c r="P84" s="2478"/>
      <c r="Q84" s="2478"/>
      <c r="R84" s="2492"/>
      <c r="S84" s="2492"/>
      <c r="T84" s="2478"/>
      <c r="U84" s="2478"/>
      <c r="V84" s="2478"/>
      <c r="W84" s="2478"/>
      <c r="X84" s="2478"/>
      <c r="Y84" s="2478"/>
      <c r="Z84" s="2478"/>
      <c r="AA84" s="2478"/>
      <c r="AB84" s="2478"/>
      <c r="AC84" s="1146"/>
      <c r="AD84" s="1146"/>
      <c r="AE84" s="2478"/>
      <c r="AF84" s="2478"/>
      <c r="AG84" s="2489"/>
      <c r="AH84" s="2489"/>
      <c r="AI84" s="1336"/>
      <c r="AJ84" s="2503"/>
      <c r="AK84" s="2503"/>
      <c r="AL84" s="2477"/>
      <c r="AM84" s="2477"/>
      <c r="AN84" s="2477"/>
    </row>
    <row r="85" spans="2:40" ht="25.5" customHeight="1" x14ac:dyDescent="0.15">
      <c r="B85" s="2788"/>
      <c r="C85" s="2491"/>
      <c r="D85" s="2491"/>
      <c r="E85" s="1146"/>
      <c r="F85" s="2486"/>
      <c r="G85" s="2486"/>
      <c r="H85" s="1146"/>
      <c r="I85" s="1146"/>
      <c r="J85" s="1335"/>
      <c r="K85" s="1335"/>
      <c r="L85" s="2478"/>
      <c r="M85" s="2478"/>
      <c r="N85" s="2478"/>
      <c r="O85" s="2478"/>
      <c r="P85" s="2478"/>
      <c r="Q85" s="2478"/>
      <c r="R85" s="2492"/>
      <c r="S85" s="2492"/>
      <c r="T85" s="2478"/>
      <c r="U85" s="2478"/>
      <c r="V85" s="2478"/>
      <c r="W85" s="2478"/>
      <c r="X85" s="2478"/>
      <c r="Y85" s="2478"/>
      <c r="Z85" s="2478"/>
      <c r="AA85" s="2478"/>
      <c r="AB85" s="2478"/>
      <c r="AC85" s="1146"/>
      <c r="AD85" s="1146"/>
      <c r="AE85" s="2478"/>
      <c r="AF85" s="2478"/>
      <c r="AG85" s="2486"/>
      <c r="AH85" s="2486"/>
      <c r="AI85" s="1337"/>
      <c r="AJ85" s="2503"/>
      <c r="AK85" s="2503"/>
      <c r="AL85" s="2477"/>
      <c r="AM85" s="2477"/>
      <c r="AN85" s="2477"/>
    </row>
    <row r="86" spans="2:40" ht="20.25" customHeight="1" x14ac:dyDescent="0.15">
      <c r="B86" s="2496"/>
      <c r="C86" s="2496"/>
      <c r="D86" s="2496"/>
      <c r="E86" s="2496"/>
      <c r="F86" s="2496"/>
      <c r="G86" s="2496"/>
      <c r="H86" s="2496"/>
      <c r="I86" s="2496"/>
      <c r="J86" s="2496"/>
      <c r="K86" s="2496"/>
      <c r="L86" s="2496"/>
      <c r="M86" s="2496"/>
      <c r="N86" s="2496"/>
      <c r="O86" s="2496"/>
      <c r="P86" s="2496"/>
      <c r="Q86" s="2496"/>
      <c r="R86" s="2496"/>
      <c r="S86" s="2496"/>
      <c r="T86" s="2496"/>
      <c r="U86" s="2496"/>
      <c r="V86" s="2496"/>
      <c r="W86" s="2496"/>
      <c r="X86" s="2496"/>
      <c r="Y86" s="2496"/>
      <c r="Z86" s="2496"/>
      <c r="AA86" s="2496"/>
      <c r="AB86" s="2496"/>
      <c r="AC86" s="2496"/>
      <c r="AD86" s="2496"/>
      <c r="AE86" s="2496"/>
      <c r="AF86" s="2496"/>
      <c r="AG86" s="2496"/>
      <c r="AH86" s="2496"/>
      <c r="AI86" s="2496"/>
      <c r="AJ86" s="2496"/>
      <c r="AK86" s="1315"/>
      <c r="AL86" s="2497"/>
      <c r="AM86" s="2497"/>
      <c r="AN86" s="2497"/>
    </row>
    <row r="87" spans="2:40" x14ac:dyDescent="0.15">
      <c r="B87" s="2496"/>
      <c r="C87" s="2496"/>
      <c r="D87" s="2496"/>
      <c r="E87" s="1327"/>
      <c r="F87" s="1327"/>
      <c r="G87" s="1327"/>
      <c r="H87" s="1327"/>
      <c r="I87" s="1327"/>
      <c r="J87" s="1327"/>
      <c r="K87" s="1327"/>
      <c r="L87" s="1327"/>
      <c r="M87" s="1327"/>
      <c r="N87" s="1327"/>
      <c r="O87" s="1327"/>
      <c r="P87" s="1327"/>
      <c r="Q87" s="1327"/>
      <c r="R87" s="1327"/>
      <c r="S87" s="1327"/>
      <c r="T87" s="1327"/>
      <c r="U87" s="1327"/>
      <c r="V87" s="1327"/>
      <c r="W87" s="1327"/>
      <c r="X87" s="1327"/>
      <c r="Y87" s="1327"/>
      <c r="Z87" s="1327"/>
      <c r="AA87" s="1327"/>
      <c r="AB87" s="1327"/>
      <c r="AC87" s="1327"/>
      <c r="AD87" s="1327"/>
      <c r="AE87" s="1327"/>
      <c r="AF87" s="1327"/>
      <c r="AG87" s="1327"/>
      <c r="AH87" s="1327"/>
      <c r="AI87" s="1327"/>
      <c r="AJ87" s="1327"/>
      <c r="AK87" s="1327"/>
      <c r="AL87" s="2497"/>
      <c r="AM87" s="2497"/>
      <c r="AN87" s="2497"/>
    </row>
    <row r="88" spans="2:40" ht="25.5" customHeight="1" x14ac:dyDescent="0.15">
      <c r="B88" s="2789"/>
      <c r="C88" s="2499"/>
      <c r="D88" s="2499"/>
      <c r="E88" s="1146"/>
      <c r="F88" s="2478"/>
      <c r="G88" s="2478"/>
      <c r="H88" s="2482"/>
      <c r="I88" s="2482"/>
      <c r="J88" s="2483"/>
      <c r="K88" s="2483"/>
      <c r="L88" s="2484"/>
      <c r="M88" s="2484"/>
      <c r="N88" s="2495"/>
      <c r="O88" s="2495"/>
      <c r="P88" s="2495"/>
      <c r="Q88" s="2495"/>
      <c r="R88" s="2478"/>
      <c r="S88" s="2478"/>
      <c r="T88" s="2478"/>
      <c r="U88" s="2478"/>
      <c r="V88" s="2495"/>
      <c r="W88" s="2495"/>
      <c r="X88" s="2495"/>
      <c r="Y88" s="2495"/>
      <c r="Z88" s="2495"/>
      <c r="AA88" s="2489"/>
      <c r="AB88" s="2489"/>
      <c r="AC88" s="2482"/>
      <c r="AD88" s="2482"/>
      <c r="AE88" s="2502"/>
      <c r="AF88" s="2502"/>
      <c r="AG88" s="2502"/>
      <c r="AH88" s="2502"/>
      <c r="AI88" s="2479"/>
      <c r="AJ88" s="2503"/>
      <c r="AK88" s="2503"/>
      <c r="AL88" s="1329"/>
      <c r="AM88" s="1330"/>
      <c r="AN88" s="1330"/>
    </row>
    <row r="89" spans="2:40" ht="25.5" customHeight="1" x14ac:dyDescent="0.15">
      <c r="B89" s="2789"/>
      <c r="C89" s="2499"/>
      <c r="D89" s="2499"/>
      <c r="E89" s="1146"/>
      <c r="F89" s="2478"/>
      <c r="G89" s="2478"/>
      <c r="H89" s="2482"/>
      <c r="I89" s="2482"/>
      <c r="J89" s="2483"/>
      <c r="K89" s="2483"/>
      <c r="L89" s="2484"/>
      <c r="M89" s="2484"/>
      <c r="N89" s="2495"/>
      <c r="O89" s="2495"/>
      <c r="P89" s="2495"/>
      <c r="Q89" s="2495"/>
      <c r="R89" s="2478"/>
      <c r="S89" s="2478"/>
      <c r="T89" s="2478"/>
      <c r="U89" s="2478"/>
      <c r="V89" s="2495"/>
      <c r="W89" s="2495"/>
      <c r="X89" s="2495"/>
      <c r="Y89" s="2495"/>
      <c r="Z89" s="2495"/>
      <c r="AA89" s="2489"/>
      <c r="AB89" s="2489"/>
      <c r="AC89" s="2482"/>
      <c r="AD89" s="2482"/>
      <c r="AE89" s="2502"/>
      <c r="AF89" s="2502"/>
      <c r="AG89" s="2502"/>
      <c r="AH89" s="2502"/>
      <c r="AI89" s="2479"/>
      <c r="AJ89" s="2503"/>
      <c r="AK89" s="2503"/>
      <c r="AL89" s="1330"/>
      <c r="AM89" s="1331"/>
      <c r="AN89" s="1331"/>
    </row>
    <row r="90" spans="2:40" ht="25.5" customHeight="1" x14ac:dyDescent="0.15">
      <c r="B90" s="2789"/>
      <c r="C90" s="2499"/>
      <c r="D90" s="2499"/>
      <c r="E90" s="1146"/>
      <c r="F90" s="2478"/>
      <c r="G90" s="2478"/>
      <c r="H90" s="2482"/>
      <c r="I90" s="2482"/>
      <c r="J90" s="2483"/>
      <c r="K90" s="2483"/>
      <c r="L90" s="2484"/>
      <c r="M90" s="2484"/>
      <c r="N90" s="2495"/>
      <c r="O90" s="2495"/>
      <c r="P90" s="2495"/>
      <c r="Q90" s="2495"/>
      <c r="R90" s="2478"/>
      <c r="S90" s="2478"/>
      <c r="T90" s="2478"/>
      <c r="U90" s="2478"/>
      <c r="V90" s="2495"/>
      <c r="W90" s="2495"/>
      <c r="X90" s="2495"/>
      <c r="Y90" s="2495"/>
      <c r="Z90" s="2495"/>
      <c r="AA90" s="2489"/>
      <c r="AB90" s="2489"/>
      <c r="AC90" s="2482"/>
      <c r="AD90" s="2482"/>
      <c r="AE90" s="2502"/>
      <c r="AF90" s="2502"/>
      <c r="AG90" s="2502"/>
      <c r="AH90" s="2502"/>
      <c r="AI90" s="2479"/>
      <c r="AJ90" s="2503"/>
      <c r="AK90" s="2503"/>
      <c r="AL90" s="1330"/>
      <c r="AM90" s="1331"/>
      <c r="AN90" s="1331"/>
    </row>
    <row r="91" spans="2:40" ht="25.5" customHeight="1" x14ac:dyDescent="0.15">
      <c r="B91" s="2789"/>
      <c r="C91" s="2499"/>
      <c r="D91" s="2499"/>
      <c r="E91" s="1146"/>
      <c r="F91" s="2478"/>
      <c r="G91" s="2478"/>
      <c r="H91" s="2482"/>
      <c r="I91" s="2482"/>
      <c r="J91" s="2483"/>
      <c r="K91" s="2483"/>
      <c r="L91" s="2484"/>
      <c r="M91" s="2484"/>
      <c r="N91" s="2495"/>
      <c r="O91" s="2495"/>
      <c r="P91" s="2495"/>
      <c r="Q91" s="2495"/>
      <c r="R91" s="2478"/>
      <c r="S91" s="2478"/>
      <c r="T91" s="2478"/>
      <c r="U91" s="2478"/>
      <c r="V91" s="2495"/>
      <c r="W91" s="2495"/>
      <c r="X91" s="2495"/>
      <c r="Y91" s="2495"/>
      <c r="Z91" s="2495"/>
      <c r="AA91" s="2489"/>
      <c r="AB91" s="2489"/>
      <c r="AC91" s="2482"/>
      <c r="AD91" s="2482"/>
      <c r="AE91" s="2502"/>
      <c r="AF91" s="2502"/>
      <c r="AG91" s="2502"/>
      <c r="AH91" s="2502"/>
      <c r="AI91" s="2479"/>
      <c r="AJ91" s="2503"/>
      <c r="AK91" s="2503"/>
      <c r="AL91" s="1330"/>
      <c r="AM91" s="1331"/>
      <c r="AN91" s="1331"/>
    </row>
    <row r="92" spans="2:40" ht="25.5" customHeight="1" x14ac:dyDescent="0.15">
      <c r="B92" s="2789"/>
      <c r="C92" s="2499"/>
      <c r="D92" s="2499"/>
      <c r="E92" s="1146"/>
      <c r="F92" s="2478"/>
      <c r="G92" s="2478"/>
      <c r="H92" s="2482"/>
      <c r="I92" s="2482"/>
      <c r="J92" s="2483"/>
      <c r="K92" s="2483"/>
      <c r="L92" s="2484"/>
      <c r="M92" s="2484"/>
      <c r="N92" s="2495"/>
      <c r="O92" s="2495"/>
      <c r="P92" s="2495"/>
      <c r="Q92" s="2495"/>
      <c r="R92" s="2478"/>
      <c r="S92" s="2478"/>
      <c r="T92" s="2478"/>
      <c r="U92" s="2478"/>
      <c r="V92" s="2495"/>
      <c r="W92" s="2495"/>
      <c r="X92" s="2495"/>
      <c r="Y92" s="2495"/>
      <c r="Z92" s="2495"/>
      <c r="AA92" s="2489"/>
      <c r="AB92" s="2489"/>
      <c r="AC92" s="2482"/>
      <c r="AD92" s="2482"/>
      <c r="AE92" s="2502"/>
      <c r="AF92" s="2502"/>
      <c r="AG92" s="2502"/>
      <c r="AH92" s="2502"/>
      <c r="AI92" s="2479"/>
      <c r="AJ92" s="2503"/>
      <c r="AK92" s="2503"/>
      <c r="AL92" s="2496"/>
      <c r="AM92" s="2496"/>
      <c r="AN92" s="2496"/>
    </row>
    <row r="93" spans="2:40" ht="25.5" customHeight="1" x14ac:dyDescent="0.15">
      <c r="B93" s="1341"/>
      <c r="C93" s="2504"/>
      <c r="D93" s="2504"/>
      <c r="E93" s="1146"/>
      <c r="F93" s="2484"/>
      <c r="G93" s="2484"/>
      <c r="H93" s="2485"/>
      <c r="I93" s="2485"/>
      <c r="J93" s="2483"/>
      <c r="K93" s="2483"/>
      <c r="L93" s="2484"/>
      <c r="M93" s="2484"/>
      <c r="N93" s="2494"/>
      <c r="O93" s="2494"/>
      <c r="P93" s="2494"/>
      <c r="Q93" s="2494"/>
      <c r="R93" s="2484"/>
      <c r="S93" s="2484"/>
      <c r="T93" s="2484"/>
      <c r="U93" s="2484"/>
      <c r="V93" s="2495"/>
      <c r="W93" s="2495"/>
      <c r="X93" s="2495"/>
      <c r="Y93" s="2495"/>
      <c r="Z93" s="2495"/>
      <c r="AA93" s="2489"/>
      <c r="AB93" s="2489"/>
      <c r="AC93" s="2485"/>
      <c r="AD93" s="2485"/>
      <c r="AE93" s="2487"/>
      <c r="AF93" s="2487"/>
      <c r="AG93" s="2487"/>
      <c r="AH93" s="2487"/>
      <c r="AI93" s="2489"/>
      <c r="AJ93" s="2503"/>
      <c r="AK93" s="2503"/>
      <c r="AL93" s="2496"/>
      <c r="AM93" s="2496"/>
      <c r="AN93" s="2496"/>
    </row>
    <row r="94" spans="2:40" ht="25.5" customHeight="1" x14ac:dyDescent="0.15">
      <c r="B94" s="1339"/>
      <c r="C94" s="2504"/>
      <c r="D94" s="2504"/>
      <c r="E94" s="1146"/>
      <c r="F94" s="2484"/>
      <c r="G94" s="2484"/>
      <c r="H94" s="2485"/>
      <c r="I94" s="2485"/>
      <c r="J94" s="2483"/>
      <c r="K94" s="2483"/>
      <c r="L94" s="2484"/>
      <c r="M94" s="2484"/>
      <c r="N94" s="2494"/>
      <c r="O94" s="2494"/>
      <c r="P94" s="2494"/>
      <c r="Q94" s="2494"/>
      <c r="R94" s="2484"/>
      <c r="S94" s="2484"/>
      <c r="T94" s="2484"/>
      <c r="U94" s="2484"/>
      <c r="V94" s="2495"/>
      <c r="W94" s="2495"/>
      <c r="X94" s="2495"/>
      <c r="Y94" s="2495"/>
      <c r="Z94" s="2495"/>
      <c r="AA94" s="2489"/>
      <c r="AB94" s="2489"/>
      <c r="AC94" s="2485"/>
      <c r="AD94" s="2485"/>
      <c r="AE94" s="2487"/>
      <c r="AF94" s="2487"/>
      <c r="AG94" s="2487"/>
      <c r="AH94" s="2487"/>
      <c r="AI94" s="2489"/>
      <c r="AJ94" s="2503"/>
      <c r="AK94" s="2503"/>
      <c r="AL94" s="2496"/>
      <c r="AM94" s="2496"/>
      <c r="AN94" s="2496"/>
    </row>
    <row r="95" spans="2:40" ht="25.5" customHeight="1" x14ac:dyDescent="0.15">
      <c r="B95" s="1340"/>
      <c r="C95" s="2504"/>
      <c r="D95" s="2504"/>
      <c r="E95" s="1146"/>
      <c r="F95" s="2484"/>
      <c r="G95" s="2484"/>
      <c r="H95" s="2485"/>
      <c r="I95" s="2485"/>
      <c r="J95" s="2483"/>
      <c r="K95" s="2483"/>
      <c r="L95" s="2484"/>
      <c r="M95" s="2484"/>
      <c r="N95" s="2494"/>
      <c r="O95" s="2494"/>
      <c r="P95" s="2494"/>
      <c r="Q95" s="2494"/>
      <c r="R95" s="2484"/>
      <c r="S95" s="2484"/>
      <c r="T95" s="2484"/>
      <c r="U95" s="2484"/>
      <c r="V95" s="2495"/>
      <c r="W95" s="2495"/>
      <c r="X95" s="2495"/>
      <c r="Y95" s="2495"/>
      <c r="Z95" s="2495"/>
      <c r="AA95" s="2489"/>
      <c r="AB95" s="2489"/>
      <c r="AC95" s="2485"/>
      <c r="AD95" s="2485"/>
      <c r="AE95" s="2487"/>
      <c r="AF95" s="2487"/>
      <c r="AG95" s="2487"/>
      <c r="AH95" s="2487"/>
      <c r="AI95" s="2489"/>
      <c r="AJ95" s="2503"/>
      <c r="AK95" s="2503"/>
      <c r="AL95" s="2496"/>
      <c r="AM95" s="2496"/>
      <c r="AN95" s="2496"/>
    </row>
    <row r="96" spans="2:40" ht="25.5" customHeight="1" x14ac:dyDescent="0.15">
      <c r="B96" s="2788"/>
      <c r="C96" s="2491"/>
      <c r="D96" s="2491"/>
      <c r="E96" s="1146"/>
      <c r="F96" s="2479"/>
      <c r="G96" s="2479"/>
      <c r="H96" s="1146"/>
      <c r="I96" s="1146"/>
      <c r="J96" s="1335"/>
      <c r="K96" s="1335"/>
      <c r="L96" s="2484"/>
      <c r="M96" s="2484"/>
      <c r="N96" s="2478"/>
      <c r="O96" s="2478"/>
      <c r="P96" s="2478"/>
      <c r="Q96" s="2478"/>
      <c r="R96" s="2492"/>
      <c r="S96" s="2492"/>
      <c r="T96" s="2478"/>
      <c r="U96" s="2478"/>
      <c r="V96" s="2478"/>
      <c r="W96" s="2478"/>
      <c r="X96" s="2478"/>
      <c r="Y96" s="2478"/>
      <c r="Z96" s="2478"/>
      <c r="AA96" s="2479"/>
      <c r="AB96" s="2479"/>
      <c r="AC96" s="1146"/>
      <c r="AD96" s="1146"/>
      <c r="AE96" s="1206"/>
      <c r="AF96" s="1206"/>
      <c r="AG96" s="2489"/>
      <c r="AH96" s="2489"/>
      <c r="AI96" s="1336"/>
      <c r="AJ96" s="2503"/>
      <c r="AK96" s="2503"/>
      <c r="AL96" s="2477"/>
      <c r="AM96" s="2477"/>
      <c r="AN96" s="2477"/>
    </row>
    <row r="97" spans="2:40" ht="25.5" customHeight="1" x14ac:dyDescent="0.15">
      <c r="B97" s="2788"/>
      <c r="C97" s="2491"/>
      <c r="D97" s="2491"/>
      <c r="E97" s="1146"/>
      <c r="F97" s="2479"/>
      <c r="G97" s="2479"/>
      <c r="H97" s="1146"/>
      <c r="I97" s="1146"/>
      <c r="J97" s="1335"/>
      <c r="K97" s="1335"/>
      <c r="L97" s="2478"/>
      <c r="M97" s="2478"/>
      <c r="N97" s="2478"/>
      <c r="O97" s="2478"/>
      <c r="P97" s="2478"/>
      <c r="Q97" s="2478"/>
      <c r="R97" s="2492"/>
      <c r="S97" s="2492"/>
      <c r="T97" s="2478"/>
      <c r="U97" s="2478"/>
      <c r="V97" s="2478"/>
      <c r="W97" s="2478"/>
      <c r="X97" s="2478"/>
      <c r="Y97" s="2478"/>
      <c r="Z97" s="2478"/>
      <c r="AA97" s="2479"/>
      <c r="AB97" s="2479"/>
      <c r="AC97" s="1146"/>
      <c r="AD97" s="1146"/>
      <c r="AE97" s="1146"/>
      <c r="AF97" s="1146"/>
      <c r="AG97" s="2486"/>
      <c r="AH97" s="2486"/>
      <c r="AI97" s="1337"/>
      <c r="AJ97" s="2503"/>
      <c r="AK97" s="2503"/>
      <c r="AL97" s="2477"/>
      <c r="AM97" s="2477"/>
      <c r="AN97" s="2477"/>
    </row>
    <row r="98" spans="2:40" ht="17.25" x14ac:dyDescent="0.15">
      <c r="B98" s="2481"/>
      <c r="C98" s="2481"/>
      <c r="D98" s="2481"/>
      <c r="E98" s="2481"/>
      <c r="F98" s="2481"/>
      <c r="G98" s="2481"/>
      <c r="H98" s="2481"/>
      <c r="I98" s="2481"/>
      <c r="J98" s="2481"/>
      <c r="K98" s="2481"/>
      <c r="L98" s="2481"/>
      <c r="M98" s="2481"/>
      <c r="N98" s="2481"/>
      <c r="O98" s="2481"/>
      <c r="P98" s="2481"/>
      <c r="Q98" s="2481"/>
      <c r="R98" s="2481"/>
      <c r="S98" s="2481"/>
      <c r="T98" s="2481"/>
      <c r="U98" s="2481"/>
      <c r="V98" s="2481"/>
      <c r="W98" s="2481"/>
      <c r="X98" s="2481"/>
      <c r="Y98" s="2481"/>
      <c r="Z98" s="2481"/>
      <c r="AA98" s="2481"/>
      <c r="AB98" s="2481"/>
      <c r="AC98" s="2481"/>
      <c r="AD98" s="2481"/>
      <c r="AE98" s="2481"/>
      <c r="AF98" s="2481"/>
      <c r="AG98" s="2481"/>
      <c r="AH98" s="2481"/>
      <c r="AI98" s="2481"/>
      <c r="AJ98" s="2481"/>
      <c r="AK98" s="2481"/>
      <c r="AL98" s="2481"/>
      <c r="AM98" s="2481"/>
      <c r="AN98" s="2481"/>
    </row>
    <row r="99" spans="2:40" x14ac:dyDescent="0.15">
      <c r="B99" s="1221"/>
      <c r="C99" s="1221"/>
      <c r="D99" s="1221"/>
      <c r="E99" s="1221"/>
      <c r="F99" s="1221"/>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c r="AL99" s="1221"/>
      <c r="AM99" s="1221"/>
      <c r="AN99" s="1221"/>
    </row>
  </sheetData>
  <sheetProtection sheet="1" selectLockedCells="1"/>
  <mergeCells count="529">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AI47:AI49"/>
    <mergeCell ref="AE28:AF28"/>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L30:M34"/>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V39:Z39"/>
    <mergeCell ref="AE38:AF38"/>
    <mergeCell ref="AG38:AH38"/>
    <mergeCell ref="T39:U39"/>
    <mergeCell ref="AA47:AB49"/>
    <mergeCell ref="AC47:AD49"/>
    <mergeCell ref="U40:V40"/>
    <mergeCell ref="W40:X40"/>
    <mergeCell ref="AG28:AH28"/>
    <mergeCell ref="AI28:AJ28"/>
    <mergeCell ref="AJ18:AK27"/>
    <mergeCell ref="F11:Q11"/>
    <mergeCell ref="Q28:R28"/>
    <mergeCell ref="C38:D39"/>
    <mergeCell ref="B40:B41"/>
    <mergeCell ref="C40:D41"/>
    <mergeCell ref="E40:F40"/>
    <mergeCell ref="G40:H40"/>
    <mergeCell ref="I40:J40"/>
    <mergeCell ref="K40:L40"/>
    <mergeCell ref="F38:G39"/>
    <mergeCell ref="K35:K37"/>
    <mergeCell ref="L35:M37"/>
    <mergeCell ref="N35:Q37"/>
    <mergeCell ref="R35:S37"/>
    <mergeCell ref="M40:N40"/>
    <mergeCell ref="O40:P40"/>
    <mergeCell ref="Q40:R40"/>
    <mergeCell ref="S40:T40"/>
    <mergeCell ref="N39:Q39"/>
    <mergeCell ref="N38:Q38"/>
    <mergeCell ref="L38:M38"/>
    <mergeCell ref="L39:M39"/>
    <mergeCell ref="T35:U37"/>
    <mergeCell ref="R38:S39"/>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B38:B39"/>
    <mergeCell ref="AQ17:AQ18"/>
    <mergeCell ref="B11:C14"/>
    <mergeCell ref="B15:D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AE18:AF22"/>
    <mergeCell ref="AA18:AB22"/>
    <mergeCell ref="AC18:AD22"/>
    <mergeCell ref="D11:E11"/>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R30:S34"/>
    <mergeCell ref="T27:U27"/>
    <mergeCell ref="AA27:AB27"/>
    <mergeCell ref="AE27:AF27"/>
    <mergeCell ref="AG27:AH27"/>
    <mergeCell ref="T38:U38"/>
    <mergeCell ref="V38:Z38"/>
    <mergeCell ref="AA38:AB38"/>
    <mergeCell ref="V35:Z37"/>
    <mergeCell ref="T30:U34"/>
    <mergeCell ref="V30:Z34"/>
    <mergeCell ref="AA30:AB34"/>
    <mergeCell ref="AC30:AD34"/>
    <mergeCell ref="AE30:AF34"/>
    <mergeCell ref="AG30:AH34"/>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P9:P10"/>
    <mergeCell ref="Q9:R10"/>
    <mergeCell ref="V9:V10"/>
    <mergeCell ref="Y9:Y10"/>
    <mergeCell ref="X9:X10"/>
    <mergeCell ref="Z9:Z10"/>
    <mergeCell ref="W9:W10"/>
    <mergeCell ref="AB9:AB10"/>
    <mergeCell ref="AD9:AD10"/>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 ref="B54:AA54"/>
    <mergeCell ref="AB54:AK54"/>
    <mergeCell ref="B55:C56"/>
    <mergeCell ref="D55:H56"/>
    <mergeCell ref="I55:J55"/>
    <mergeCell ref="K55:M56"/>
    <mergeCell ref="N55:O56"/>
    <mergeCell ref="P55:P56"/>
    <mergeCell ref="Q55:R56"/>
    <mergeCell ref="S55:S56"/>
    <mergeCell ref="T55:T56"/>
    <mergeCell ref="U55:U56"/>
    <mergeCell ref="V55:V56"/>
    <mergeCell ref="W55:W56"/>
    <mergeCell ref="X55:X56"/>
    <mergeCell ref="Y55:Y56"/>
    <mergeCell ref="Z55:Z56"/>
    <mergeCell ref="AA55:AA56"/>
    <mergeCell ref="AB55:AB56"/>
    <mergeCell ref="AC55:AC56"/>
    <mergeCell ref="AD55:AD56"/>
    <mergeCell ref="AE55:AE56"/>
    <mergeCell ref="AF55:AF56"/>
    <mergeCell ref="AG55:AG56"/>
    <mergeCell ref="AH55:AH56"/>
    <mergeCell ref="AI55:AI56"/>
    <mergeCell ref="AJ55:AJ56"/>
    <mergeCell ref="AK55:AL55"/>
    <mergeCell ref="I56:J56"/>
    <mergeCell ref="AK56:AL56"/>
    <mergeCell ref="B57:C60"/>
    <mergeCell ref="D57:E57"/>
    <mergeCell ref="F57:Q57"/>
    <mergeCell ref="R57:AA57"/>
    <mergeCell ref="AB57:AK57"/>
    <mergeCell ref="AL57:AN58"/>
    <mergeCell ref="D58:E60"/>
    <mergeCell ref="F58:Q60"/>
    <mergeCell ref="R58:T60"/>
    <mergeCell ref="U58:U60"/>
    <mergeCell ref="V58:W60"/>
    <mergeCell ref="X58:X60"/>
    <mergeCell ref="Y58:AA60"/>
    <mergeCell ref="AB58:AD60"/>
    <mergeCell ref="AE58:AE60"/>
    <mergeCell ref="AF58:AG60"/>
    <mergeCell ref="AH58:AH60"/>
    <mergeCell ref="AI58:AK60"/>
    <mergeCell ref="AM59:AN59"/>
    <mergeCell ref="AM60:AN60"/>
    <mergeCell ref="B61:D61"/>
    <mergeCell ref="AJ61:AM61"/>
    <mergeCell ref="B62:B63"/>
    <mergeCell ref="C62:D63"/>
    <mergeCell ref="E62:F62"/>
    <mergeCell ref="G62:H62"/>
    <mergeCell ref="I62:J62"/>
    <mergeCell ref="K62:L62"/>
    <mergeCell ref="M62:N62"/>
    <mergeCell ref="O62:P62"/>
    <mergeCell ref="Q62:R62"/>
    <mergeCell ref="S62:T62"/>
    <mergeCell ref="U62:V62"/>
    <mergeCell ref="W62:X62"/>
    <mergeCell ref="Y62:Z62"/>
    <mergeCell ref="AA62:AB62"/>
    <mergeCell ref="AC62:AD62"/>
    <mergeCell ref="AE62:AF62"/>
    <mergeCell ref="AG62:AH62"/>
    <mergeCell ref="AI62:AJ62"/>
    <mergeCell ref="AL62:AN63"/>
    <mergeCell ref="B64:B68"/>
    <mergeCell ref="C64:D68"/>
    <mergeCell ref="R64:S68"/>
    <mergeCell ref="T64:U68"/>
    <mergeCell ref="V64:Z68"/>
    <mergeCell ref="AA64:AB68"/>
    <mergeCell ref="AC64:AD68"/>
    <mergeCell ref="AE64:AF68"/>
    <mergeCell ref="AG64:AH68"/>
    <mergeCell ref="AI64:AI68"/>
    <mergeCell ref="AJ64:AK73"/>
    <mergeCell ref="AL68:AN71"/>
    <mergeCell ref="C69:D71"/>
    <mergeCell ref="R69:S71"/>
    <mergeCell ref="T69:U71"/>
    <mergeCell ref="V69:Z71"/>
    <mergeCell ref="AA69:AB71"/>
    <mergeCell ref="AC69:AD71"/>
    <mergeCell ref="AE69:AF71"/>
    <mergeCell ref="AG69:AH71"/>
    <mergeCell ref="AI69:AI71"/>
    <mergeCell ref="AL72:AN73"/>
    <mergeCell ref="B72:B73"/>
    <mergeCell ref="C72:D73"/>
    <mergeCell ref="N72:Q72"/>
    <mergeCell ref="R72:S73"/>
    <mergeCell ref="T72:U72"/>
    <mergeCell ref="V72:Z72"/>
    <mergeCell ref="AA72:AB72"/>
    <mergeCell ref="AE72:AF72"/>
    <mergeCell ref="AG72:AH72"/>
    <mergeCell ref="N73:Q73"/>
    <mergeCell ref="T73:U73"/>
    <mergeCell ref="V73:Z73"/>
    <mergeCell ref="AA73:AB73"/>
    <mergeCell ref="AE73:AF73"/>
    <mergeCell ref="AG73:AH73"/>
    <mergeCell ref="B74:B75"/>
    <mergeCell ref="C74:D75"/>
    <mergeCell ref="E74:F74"/>
    <mergeCell ref="G74:H74"/>
    <mergeCell ref="I74:J74"/>
    <mergeCell ref="K74:L74"/>
    <mergeCell ref="M74:N74"/>
    <mergeCell ref="O74:P74"/>
    <mergeCell ref="Q74:R74"/>
    <mergeCell ref="S74:T74"/>
    <mergeCell ref="U74:V74"/>
    <mergeCell ref="W74:X74"/>
    <mergeCell ref="Y74:Z74"/>
    <mergeCell ref="AA74:AB74"/>
    <mergeCell ref="AC74:AD74"/>
    <mergeCell ref="AE74:AF74"/>
    <mergeCell ref="AG74:AH74"/>
    <mergeCell ref="AI74:AJ74"/>
    <mergeCell ref="AL74:AN75"/>
    <mergeCell ref="B76:B80"/>
    <mergeCell ref="C76:D80"/>
    <mergeCell ref="F76:G80"/>
    <mergeCell ref="H76:I80"/>
    <mergeCell ref="J76:J80"/>
    <mergeCell ref="K76:K80"/>
    <mergeCell ref="L76:M80"/>
    <mergeCell ref="N76:Q80"/>
    <mergeCell ref="R76:S80"/>
    <mergeCell ref="T76:U80"/>
    <mergeCell ref="V76:Z80"/>
    <mergeCell ref="AA76:AB80"/>
    <mergeCell ref="AC76:AD80"/>
    <mergeCell ref="AE76:AF80"/>
    <mergeCell ref="AG76:AH80"/>
    <mergeCell ref="AI76:AI80"/>
    <mergeCell ref="AJ76:AK85"/>
    <mergeCell ref="AL80:AN83"/>
    <mergeCell ref="C81:D83"/>
    <mergeCell ref="F81:G83"/>
    <mergeCell ref="H81:I83"/>
    <mergeCell ref="J81:J83"/>
    <mergeCell ref="K81:K83"/>
    <mergeCell ref="AI81:AI83"/>
    <mergeCell ref="B84:B85"/>
    <mergeCell ref="C84:D85"/>
    <mergeCell ref="F84:G85"/>
    <mergeCell ref="L84:M84"/>
    <mergeCell ref="N84:Q84"/>
    <mergeCell ref="R84:S85"/>
    <mergeCell ref="T84:U84"/>
    <mergeCell ref="V84:Z84"/>
    <mergeCell ref="AA84:AB84"/>
    <mergeCell ref="AE84:AF84"/>
    <mergeCell ref="AG84:AH84"/>
    <mergeCell ref="L81:M83"/>
    <mergeCell ref="N81:Q83"/>
    <mergeCell ref="R81:S83"/>
    <mergeCell ref="T81:U83"/>
    <mergeCell ref="V81:Z83"/>
    <mergeCell ref="AA81:AB83"/>
    <mergeCell ref="AC81:AD83"/>
    <mergeCell ref="AE81:AF83"/>
    <mergeCell ref="AG81:AH83"/>
    <mergeCell ref="AL84:AN85"/>
    <mergeCell ref="L85:M85"/>
    <mergeCell ref="N85:Q85"/>
    <mergeCell ref="T85:U85"/>
    <mergeCell ref="V85:Z85"/>
    <mergeCell ref="AA85:AB85"/>
    <mergeCell ref="AE85:AF85"/>
    <mergeCell ref="AG85:AH85"/>
    <mergeCell ref="B86:B87"/>
    <mergeCell ref="C86:D87"/>
    <mergeCell ref="E86:F86"/>
    <mergeCell ref="G86:H86"/>
    <mergeCell ref="I86:J86"/>
    <mergeCell ref="K86:L86"/>
    <mergeCell ref="M86:N86"/>
    <mergeCell ref="O86:P86"/>
    <mergeCell ref="Q86:R86"/>
    <mergeCell ref="S86:T86"/>
    <mergeCell ref="U86:V86"/>
    <mergeCell ref="W86:X86"/>
    <mergeCell ref="Y86:Z86"/>
    <mergeCell ref="AA86:AB86"/>
    <mergeCell ref="AC86:AD86"/>
    <mergeCell ref="AE86:AF86"/>
    <mergeCell ref="AG86:AH86"/>
    <mergeCell ref="AI86:AJ86"/>
    <mergeCell ref="AL86:AN87"/>
    <mergeCell ref="B88:B92"/>
    <mergeCell ref="C88:D92"/>
    <mergeCell ref="F88:G92"/>
    <mergeCell ref="H88:I92"/>
    <mergeCell ref="J88:J92"/>
    <mergeCell ref="K88:K92"/>
    <mergeCell ref="L88:M92"/>
    <mergeCell ref="N88:Q92"/>
    <mergeCell ref="R88:S92"/>
    <mergeCell ref="T88:U92"/>
    <mergeCell ref="V88:Z92"/>
    <mergeCell ref="AA88:AB92"/>
    <mergeCell ref="AC88:AD92"/>
    <mergeCell ref="AE88:AF92"/>
    <mergeCell ref="AG88:AH92"/>
    <mergeCell ref="AI88:AI92"/>
    <mergeCell ref="AJ88:AK97"/>
    <mergeCell ref="AL92:AN95"/>
    <mergeCell ref="C93:D95"/>
    <mergeCell ref="F93:G95"/>
    <mergeCell ref="H93:I95"/>
    <mergeCell ref="AE93:AF95"/>
    <mergeCell ref="AG93:AH95"/>
    <mergeCell ref="AI93:AI95"/>
    <mergeCell ref="B96:B97"/>
    <mergeCell ref="C96:D97"/>
    <mergeCell ref="F96:G97"/>
    <mergeCell ref="L96:M96"/>
    <mergeCell ref="N96:Q96"/>
    <mergeCell ref="R96:S97"/>
    <mergeCell ref="T96:U96"/>
    <mergeCell ref="V96:Z96"/>
    <mergeCell ref="AA96:AB96"/>
    <mergeCell ref="AG96:AH96"/>
    <mergeCell ref="J93:J95"/>
    <mergeCell ref="K93:K95"/>
    <mergeCell ref="L93:M95"/>
    <mergeCell ref="N93:Q95"/>
    <mergeCell ref="R93:S95"/>
    <mergeCell ref="T93:U95"/>
    <mergeCell ref="V93:Z95"/>
    <mergeCell ref="AA93:AB95"/>
    <mergeCell ref="AC93:AD95"/>
    <mergeCell ref="AI15:AM15"/>
    <mergeCell ref="AL96:AN97"/>
    <mergeCell ref="L97:M97"/>
    <mergeCell ref="N97:Q97"/>
    <mergeCell ref="T97:U97"/>
    <mergeCell ref="V97:Z97"/>
    <mergeCell ref="AA97:AB97"/>
    <mergeCell ref="AG97:AH97"/>
    <mergeCell ref="B98:AN98"/>
    <mergeCell ref="F64:G68"/>
    <mergeCell ref="H64:I68"/>
    <mergeCell ref="J64:J68"/>
    <mergeCell ref="K64:K68"/>
    <mergeCell ref="L64:M68"/>
    <mergeCell ref="N64:Q68"/>
    <mergeCell ref="F69:G71"/>
    <mergeCell ref="H69:I71"/>
    <mergeCell ref="J69:J71"/>
    <mergeCell ref="K69:K71"/>
    <mergeCell ref="L69:M71"/>
    <mergeCell ref="N69:Q71"/>
    <mergeCell ref="F72:G73"/>
    <mergeCell ref="L72:M72"/>
    <mergeCell ref="L73:M73"/>
  </mergeCells>
  <phoneticPr fontId="1"/>
  <conditionalFormatting sqref="AJ6 AL6">
    <cfRule type="expression" dxfId="10" priority="1">
      <formula>$BA$5&lt;&gt;" "</formula>
    </cfRule>
  </conditionalFormatting>
  <dataValidations count="15">
    <dataValidation showInputMessage="1" showErrorMessage="1" sqref="AL13:AL14 AL59:AL60" xr:uid="{83D6BB52-29D2-4DF2-ACC9-9D2B94A2C54C}"/>
    <dataValidation type="list" allowBlank="1" showInputMessage="1" showErrorMessage="1" sqref="T6" xr:uid="{DCB8761E-58BE-499C-B235-A43D5B2AADC1}">
      <formula1>"OK"</formula1>
    </dataValidation>
    <dataValidation type="list" allowBlank="1" showInputMessage="1" showErrorMessage="1" sqref="P9 P55" xr:uid="{B212A573-53B7-4CBA-829B-55CD7084AEE2}">
      <formula1>"市,区,町,村"</formula1>
    </dataValidation>
    <dataValidation type="list" allowBlank="1" showInputMessage="1" showErrorMessage="1" sqref="AG47:AH49 AG93:AH95" xr:uid="{29BDF658-531D-4918-BF73-1108BF18DA5B}">
      <formula1>$BN$8:$BN$17</formula1>
    </dataValidation>
    <dataValidation type="list" allowBlank="1" showInputMessage="1" showErrorMessage="1" sqref="AG42:AH46 AG88:AH92" xr:uid="{24AE94D1-52BC-4591-B931-550D00382FCF}">
      <formula1>$BM$8:$BM$17</formula1>
    </dataValidation>
    <dataValidation type="list" allowBlank="1" showInputMessage="1" showErrorMessage="1" sqref="AE47:AF49 AE93:AF95" xr:uid="{750C416F-F502-451C-BB2C-B06826112AC4}">
      <formula1>$BL$8:$BL$17</formula1>
    </dataValidation>
    <dataValidation type="list" allowBlank="1" showInputMessage="1" showErrorMessage="1" sqref="AE42:AF46 AE88:AF92" xr:uid="{AAFAF568-57F8-45AA-82BC-2AFDC920E9BE}">
      <formula1>$BK$8:$BK$17</formula1>
    </dataValidation>
    <dataValidation type="list" allowBlank="1" showInputMessage="1" showErrorMessage="1" sqref="T26 AE50:AF50 AE96:AF96" xr:uid="{A218EB51-7DD2-44EF-A335-F17D735FDC5D}">
      <formula1>$AS$8:$AS$11</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T27:U27" xr:uid="{89E29EC1-C74B-4D9E-B870-E6C464513AA7}">
      <formula1>$AT$8:$AT$15</formula1>
    </dataValidation>
    <dataValidation type="list" allowBlank="1" showInputMessage="1" showErrorMessage="1" sqref="V26:Z26 V72:Z72 V50:Z50 V84:Z84 V96:Z96 V38:Z38" xr:uid="{2FE85E3F-860E-4296-9603-57089DA83D4B}">
      <formula1>$AS$8:$AS$12</formula1>
    </dataValidation>
    <dataValidation type="list" allowBlank="1" showInputMessage="1" showErrorMessage="1" sqref="AA47:AB49 AA93:AB95" xr:uid="{4326B32B-7059-4ECD-B0CB-CD2E51534640}">
      <formula1>$BD$8:$BD$17</formula1>
    </dataValidation>
    <dataValidation type="list" allowBlank="1" showInputMessage="1" showErrorMessage="1" sqref="AA42:AB46 AA88:AB92" xr:uid="{3D869E20-E653-41FF-A915-9215593BB5F3}">
      <formula1>$BC$8:$BC$17</formula1>
    </dataValidation>
  </dataValidations>
  <printOptions horizontalCentered="1" verticalCentered="1"/>
  <pageMargins left="0.59055118110236227" right="0.35433070866141736" top="0" bottom="0" header="0" footer="0"/>
  <pageSetup paperSize="9" scale="56" orientation="landscape" blackAndWhite="1" r:id="rId1"/>
  <headerFooter scaleWithDoc="0">
    <oddFooter>&amp;L&amp;G&amp;R⑥</oddFooter>
  </headerFooter>
  <rowBreaks count="1" manualBreakCount="1">
    <brk id="25" min="1" max="39" man="1"/>
  </rowBreaks>
  <colBreaks count="1" manualBreakCount="1">
    <brk id="21" max="51" man="1"/>
  </colBreaks>
  <drawing r:id="rId2"/>
  <legacyDrawingHF r:id="rId3"/>
  <extLst>
    <ext xmlns:x14="http://schemas.microsoft.com/office/spreadsheetml/2009/9/main" uri="{CCE6A557-97BC-4b89-ADB6-D9C93CAAB3DF}">
      <x14:dataValidations xmlns:xm="http://schemas.microsoft.com/office/excel/2006/main" count="26">
        <x14:dataValidation type="list" allowBlank="1" showInputMessage="1" showErrorMessage="1" xr:uid="{B55580C3-C402-4925-BBC8-E94C2CF6C80F}">
          <x14:formula1>
            <xm:f>リスト!$C$4:$C$6</xm:f>
          </x14:formula1>
          <xm:sqref>AE73:AF73 J73:Q73 AE27:AF27 V27:AB27 J39:Q39 T51:Z51 J51:Q51 T97:Z97 J97:Q97 T85:AB85 AE85:AF85 J85:Q85 T73:AB73 T39:AB39 AE39:AF39</xm:sqref>
        </x14:dataValidation>
        <x14:dataValidation type="list" allowBlank="1" showInputMessage="1" showErrorMessage="1" xr:uid="{EAFC6F0B-D082-46B3-88DE-1C3E242624FC}">
          <x14:formula1>
            <xm:f>リスト!$B$4:$B$7</xm:f>
          </x14:formula1>
          <xm:sqref>AA72 T72 J38:M38 AE26 AA26 T38 AA50 J50:M50 T50 J96:M96 T96 J84:M84 AE84 AA84 T84 AA96 J72:M72 AE72 AE38 AA38</xm:sqref>
        </x14:dataValidation>
        <x14:dataValidation type="list" allowBlank="1" showInputMessage="1" showErrorMessage="1" xr:uid="{5E173168-F494-4581-953F-042A3C35E354}">
          <x14:formula1>
            <xm:f>リスト!$W$4:$W$13</xm:f>
          </x14:formula1>
          <xm:sqref>AG69:AH71 AG23:AH25 AG81:AH83 AG35:AH37</xm:sqref>
        </x14:dataValidation>
        <x14:dataValidation type="list" allowBlank="1" showInputMessage="1" showErrorMessage="1" xr:uid="{0DCC6DA4-910D-4A25-8CB0-5BE9A6846CE8}">
          <x14:formula1>
            <xm:f>リスト!$V$4:$V$13</xm:f>
          </x14:formula1>
          <xm:sqref>AG64:AH68 AG18:AH22 AG76:AH80 AG30:AH34</xm:sqref>
        </x14:dataValidation>
        <x14:dataValidation type="list" allowBlank="1" showInputMessage="1" showErrorMessage="1" xr:uid="{ED7D086C-3970-4884-9276-E24562D8F760}">
          <x14:formula1>
            <xm:f>リスト!$U$4:$U$13</xm:f>
          </x14:formula1>
          <xm:sqref>AE69:AF71 AE23:AF25 AE81:AF83 AE35:AF37</xm:sqref>
        </x14:dataValidation>
        <x14:dataValidation type="list" allowBlank="1" showInputMessage="1" showErrorMessage="1" xr:uid="{2F810B5F-8F0E-49C2-8378-A683564AD72A}">
          <x14:formula1>
            <xm:f>リスト!$T$4:$T$13</xm:f>
          </x14:formula1>
          <xm:sqref>AE64:AF68 AE18:AF22 AE76:AF80 AE30:AF34</xm:sqref>
        </x14:dataValidation>
        <x14:dataValidation type="list" allowBlank="1" showInputMessage="1" showErrorMessage="1" xr:uid="{8F698EF3-11A3-46C5-9E43-BD777598E7D3}">
          <x14:formula1>
            <xm:f>リスト!$S$4:$S$16</xm:f>
          </x14:formula1>
          <xm:sqref>AA69:AB71 AA23:AB25 AA81:AB83 AA35:AB37</xm:sqref>
        </x14:dataValidation>
        <x14:dataValidation type="list" allowBlank="1" showInputMessage="1" showErrorMessage="1" xr:uid="{36687420-F3E4-4D84-ACE7-51844276575C}">
          <x14:formula1>
            <xm:f>リスト!$R$4:$R$17</xm:f>
          </x14:formula1>
          <xm:sqref>AA64:AB68 AA18:AB22 AA76:AB80 AA30:AB34</xm:sqref>
        </x14:dataValidation>
        <x14:dataValidation type="list" allowBlank="1" showInputMessage="1" showErrorMessage="1" xr:uid="{124C60CF-977A-4B27-95FD-6FB39839BBE4}">
          <x14:formula1>
            <xm:f>リスト!$Q$4:$Q$19</xm:f>
          </x14:formula1>
          <xm:sqref>V69:Z71 V23:Z25 V47:Z49 V93:Z95 V81:Z83 V35:Z37</xm:sqref>
        </x14:dataValidation>
        <x14:dataValidation type="list" allowBlank="1" showInputMessage="1" showErrorMessage="1" xr:uid="{54AA3A1B-283A-4AF8-821F-D445D989A312}">
          <x14:formula1>
            <xm:f>リスト!$P$4:$P$25</xm:f>
          </x14:formula1>
          <xm:sqref>V64:Z68 V76:Z80 V42:Z46 V88:Z92</xm:sqref>
        </x14:dataValidation>
        <x14:dataValidation type="list" allowBlank="1" showInputMessage="1" showErrorMessage="1" xr:uid="{B7DC446E-0DA7-423C-916C-DFC814F62CA7}">
          <x14:formula1>
            <xm:f>リスト!$O$4:$O$15</xm:f>
          </x14:formula1>
          <xm:sqref>T35:U37 T47:U49 T81:U83 T93:U95 T69:U71</xm:sqref>
        </x14:dataValidation>
        <x14:dataValidation type="list" allowBlank="1" showInputMessage="1" showErrorMessage="1" xr:uid="{35DE9EC0-5641-4F9D-92F7-55B7A00D61FB}">
          <x14:formula1>
            <xm:f>リスト!$N$4:$N$16</xm:f>
          </x14:formula1>
          <xm:sqref>T30:U34 T42:U46 T76:U80 T88:U92 T64:U68</xm:sqref>
        </x14:dataValidation>
        <x14:dataValidation type="list" allowBlank="1" showInputMessage="1" showErrorMessage="1" xr:uid="{5788D12E-8A67-4EFF-8C71-546527EDCC31}">
          <x14:formula1>
            <xm:f>リスト!$Y$4:$Y$8</xm:f>
          </x14:formula1>
          <xm:sqref>R35:S37 R47:S49 R81:S83 R93:S95 R69:S71</xm:sqref>
        </x14:dataValidation>
        <x14:dataValidation type="list" allowBlank="1" showInputMessage="1" showErrorMessage="1" xr:uid="{A0F947D3-8439-4A89-9A15-7B26426E034B}">
          <x14:formula1>
            <xm:f>リスト!$X$4:$X$8</xm:f>
          </x14:formula1>
          <xm:sqref>R30:S34 R42:S46 R76:S80 R88:S92 R64:S68</xm:sqref>
        </x14:dataValidation>
        <x14:dataValidation type="list" allowBlank="1" showInputMessage="1" showErrorMessage="1" xr:uid="{F9E8E897-992A-4F35-BE75-5C38E30EE372}">
          <x14:formula1>
            <xm:f>リスト!$G$4:$G$15</xm:f>
          </x14:formula1>
          <xm:sqref>J35:J37 J47:J49 J81:J83 J93:J95 J69:J71</xm:sqref>
        </x14:dataValidation>
        <x14:dataValidation type="list" allowBlank="1" showInputMessage="1" showErrorMessage="1" xr:uid="{679E34D8-9B94-434F-8FE0-C35E9838623B}">
          <x14:formula1>
            <xm:f>リスト!$F$4:$F$16</xm:f>
          </x14:formula1>
          <xm:sqref>J30:J34 J42:J46 J76:J80 J88:J92 J64:J68</xm:sqref>
        </x14:dataValidation>
        <x14:dataValidation type="list" allowBlank="1" showInputMessage="1" showErrorMessage="1" xr:uid="{B1A97ACF-169E-4D4B-AD56-ACEF16D77A33}">
          <x14:formula1>
            <xm:f>リスト!$I$4:$I$15</xm:f>
          </x14:formula1>
          <xm:sqref>K35:K37 K47:K49 K81:K83 K93:K95 K69:K71</xm:sqref>
        </x14:dataValidation>
        <x14:dataValidation type="list" allowBlank="1" showInputMessage="1" showErrorMessage="1" xr:uid="{CCF2D3CB-AFF6-4EB5-A952-65FEAF8B418E}">
          <x14:formula1>
            <xm:f>リスト!$H$4:$H$17</xm:f>
          </x14:formula1>
          <xm:sqref>K30:K34 K42:K46 K76:K80 K88:K92 K64:K68</xm:sqref>
        </x14:dataValidation>
        <x14:dataValidation type="list" allowBlank="1" showInputMessage="1" showErrorMessage="1" xr:uid="{9A0F2104-0F0C-4DA0-8F76-E5B417FDAAF2}">
          <x14:formula1>
            <xm:f>リスト!$E$4:$E$10</xm:f>
          </x14:formula1>
          <xm:sqref>F35:G37 F47:G49 F81:G83 F93:G95 F69:G71</xm:sqref>
        </x14:dataValidation>
        <x14:dataValidation type="list" allowBlank="1" showInputMessage="1" showErrorMessage="1" xr:uid="{8CCD5978-9498-4F6E-8AB0-E52A417FAD4D}">
          <x14:formula1>
            <xm:f>リスト!$D$4:$D$10</xm:f>
          </x14:formula1>
          <xm:sqref>F30:G34 F42:G46 F76:G80 F88:G92 F64:G68</xm:sqref>
        </x14:dataValidation>
        <x14:dataValidation type="list" allowBlank="1" showInputMessage="1" showErrorMessage="1" xr:uid="{C713967A-6DA2-4F56-A46C-8EE8A9C6CA4E}">
          <x14:formula1>
            <xm:f>リスト!$B$4:$B$14</xm:f>
          </x14:formula1>
          <xm:sqref>N38:Q38 N50:Q50 N84:Q84 N96:Q96 N72:Q72</xm:sqref>
        </x14:dataValidation>
        <x14:dataValidation type="list" allowBlank="1" showInputMessage="1" showErrorMessage="1" xr:uid="{FB6B58FE-3573-4F05-AC4F-6D4EB72ACF81}">
          <x14:formula1>
            <xm:f>リスト!$K$4:$K$14</xm:f>
          </x14:formula1>
          <xm:sqref>L35:M37 L47:M49 L81:M83 L93:M95 L69:M71</xm:sqref>
        </x14:dataValidation>
        <x14:dataValidation type="list" allowBlank="1" showInputMessage="1" showErrorMessage="1" xr:uid="{65208B85-93D9-44E1-8F9B-DF184DC56050}">
          <x14:formula1>
            <xm:f>リスト!$J$4:$J$15</xm:f>
          </x14:formula1>
          <xm:sqref>L30:M34 L42:M46 L76:M80 L88:M92 L64:M68</xm:sqref>
        </x14:dataValidation>
        <x14:dataValidation type="list" allowBlank="1" showInputMessage="1" showErrorMessage="1" xr:uid="{310FD935-D899-47E9-84EC-C896337CD25D}">
          <x14:formula1>
            <xm:f>リスト!$L$4:$L$27</xm:f>
          </x14:formula1>
          <xm:sqref>N30:Q34 N64:Q68 N88:Q92 N76:Q80 N42:Q46</xm:sqref>
        </x14:dataValidation>
        <x14:dataValidation type="list" allowBlank="1" showInputMessage="1" showErrorMessage="1" xr:uid="{7BC0904F-DA71-4D20-8736-09843CB5BF19}">
          <x14:formula1>
            <xm:f>リスト!$M$4:$M$19</xm:f>
          </x14:formula1>
          <xm:sqref>N35:Q37 N69:Q71 N93:Q95 N81:Q83 N47:Q49</xm:sqref>
        </x14:dataValidation>
        <x14:dataValidation type="list" allowBlank="1" showInputMessage="1" showErrorMessage="1" xr:uid="{9EC69777-215D-46D9-A649-E1243B3DE449}">
          <x14:formula1>
            <xm:f>リスト!$P$3:$P$25</xm:f>
          </x14:formula1>
          <xm:sqref>V18:Z22 V30:Z34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X41"/>
  <sheetViews>
    <sheetView showGridLines="0" showRuler="0" showWhiteSpace="0" view="pageBreakPreview" topLeftCell="A16" zoomScale="70" zoomScaleNormal="91" zoomScaleSheetLayoutView="70" zoomScalePageLayoutView="50" workbookViewId="0">
      <selection activeCell="H74" sqref="H74:I74"/>
    </sheetView>
  </sheetViews>
  <sheetFormatPr defaultRowHeight="13.5" x14ac:dyDescent="0.1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x14ac:dyDescent="0.15"/>
    <row r="2" spans="1:24" ht="18" customHeight="1" x14ac:dyDescent="0.15">
      <c r="A2" s="2921" t="s">
        <v>111</v>
      </c>
      <c r="B2" s="2922"/>
      <c r="C2" s="2922"/>
      <c r="D2" s="2922"/>
      <c r="E2" s="2922"/>
      <c r="F2" s="2922"/>
      <c r="G2" s="2922"/>
      <c r="H2" s="2922"/>
      <c r="I2" s="2922"/>
      <c r="J2" s="63"/>
      <c r="K2" s="63"/>
    </row>
    <row r="3" spans="1:24" s="49" customFormat="1" ht="42" customHeight="1" x14ac:dyDescent="0.15">
      <c r="A3" s="2847" t="s">
        <v>216</v>
      </c>
      <c r="B3" s="2848"/>
      <c r="C3" s="2848"/>
      <c r="D3" s="2848"/>
      <c r="E3" s="2848"/>
      <c r="F3" s="2848"/>
      <c r="G3" s="2848"/>
      <c r="H3" s="2848"/>
      <c r="I3" s="2848"/>
      <c r="J3" s="2848"/>
      <c r="K3" s="2848"/>
      <c r="L3" s="2848"/>
      <c r="M3" s="2848"/>
      <c r="N3" s="2848"/>
      <c r="O3" s="2848"/>
      <c r="P3" s="2848"/>
      <c r="Q3" s="2848"/>
      <c r="R3" s="2848"/>
      <c r="S3" s="2848"/>
      <c r="T3" s="2848"/>
      <c r="U3" s="2848"/>
      <c r="V3" s="2848"/>
      <c r="W3" s="2848"/>
      <c r="X3" s="2849"/>
    </row>
    <row r="4" spans="1:24" s="59" customFormat="1" ht="24.75" customHeight="1" x14ac:dyDescent="0.15">
      <c r="A4" s="2872" t="s">
        <v>112</v>
      </c>
      <c r="B4" s="2873"/>
      <c r="C4" s="2873"/>
      <c r="D4" s="2873"/>
      <c r="E4" s="2873"/>
      <c r="F4" s="2873"/>
      <c r="G4" s="2873"/>
      <c r="H4" s="62"/>
      <c r="I4" s="62"/>
      <c r="J4" s="62"/>
      <c r="K4" s="62"/>
      <c r="L4" s="62"/>
      <c r="M4" s="62"/>
      <c r="N4" s="62"/>
      <c r="O4" s="312"/>
      <c r="P4" s="2875">
        <f>入力1!G29</f>
        <v>0</v>
      </c>
      <c r="Q4" s="2875"/>
      <c r="R4" s="168" t="s">
        <v>59</v>
      </c>
      <c r="S4" s="168">
        <f>入力1!J29</f>
        <v>0</v>
      </c>
      <c r="T4" s="168" t="s">
        <v>60</v>
      </c>
      <c r="U4" s="168">
        <f>入力1!L29</f>
        <v>0</v>
      </c>
      <c r="V4" s="168" t="s">
        <v>61</v>
      </c>
      <c r="W4" s="169"/>
      <c r="X4" s="61"/>
    </row>
    <row r="5" spans="1:24" s="54" customFormat="1" ht="25.5" customHeight="1" x14ac:dyDescent="0.15">
      <c r="A5" s="2872" t="s">
        <v>246</v>
      </c>
      <c r="B5" s="2873"/>
      <c r="C5" s="2873"/>
      <c r="D5" s="2873"/>
      <c r="E5" s="2873"/>
      <c r="F5" s="2873"/>
      <c r="G5" s="2873"/>
      <c r="H5" s="53"/>
      <c r="I5" s="53"/>
      <c r="J5" s="53"/>
      <c r="K5" s="53"/>
      <c r="L5" s="53"/>
      <c r="M5" s="53"/>
      <c r="N5" s="53"/>
      <c r="O5" s="53"/>
      <c r="P5" s="53"/>
      <c r="Q5" s="53"/>
      <c r="R5" s="53"/>
      <c r="S5" s="53"/>
      <c r="T5" s="53"/>
      <c r="U5" s="53"/>
      <c r="V5" s="53"/>
      <c r="W5" s="53"/>
      <c r="X5" s="64"/>
    </row>
    <row r="6" spans="1:24" s="54" customFormat="1" ht="3" customHeight="1" x14ac:dyDescent="0.15">
      <c r="A6" s="2855" t="s">
        <v>62</v>
      </c>
      <c r="B6" s="2856"/>
      <c r="C6" s="2856"/>
      <c r="D6" s="2856"/>
      <c r="E6" s="2856"/>
      <c r="F6" s="2856"/>
      <c r="G6" s="2856"/>
      <c r="H6" s="2856"/>
      <c r="I6" s="2856"/>
      <c r="J6" s="2856"/>
      <c r="K6" s="2856"/>
      <c r="L6" s="2856"/>
      <c r="M6" s="2856"/>
      <c r="N6" s="2856"/>
      <c r="O6" s="2856"/>
      <c r="P6" s="2856"/>
      <c r="Q6" s="2856"/>
      <c r="R6" s="2856"/>
      <c r="S6" s="2856"/>
      <c r="T6" s="2856"/>
      <c r="U6" s="2856"/>
      <c r="V6" s="2856"/>
      <c r="W6" s="2856"/>
      <c r="X6" s="2857"/>
    </row>
    <row r="7" spans="1:24" s="49" customFormat="1" ht="18.75" customHeight="1" x14ac:dyDescent="0.2">
      <c r="A7" s="56"/>
      <c r="B7" s="55"/>
      <c r="C7" s="55"/>
      <c r="D7" s="55"/>
      <c r="E7" s="55"/>
      <c r="F7" s="60"/>
      <c r="G7" s="2874" t="s">
        <v>63</v>
      </c>
      <c r="H7" s="2874"/>
      <c r="I7" s="2874" t="s">
        <v>64</v>
      </c>
      <c r="J7" s="2874"/>
      <c r="K7" s="2829" t="s">
        <v>89</v>
      </c>
      <c r="L7" s="2829"/>
      <c r="M7" s="136">
        <f>入力1!G18</f>
        <v>0</v>
      </c>
      <c r="N7" s="137" t="s">
        <v>113</v>
      </c>
      <c r="O7" s="2869">
        <f>入力1!I18</f>
        <v>0</v>
      </c>
      <c r="P7" s="2869"/>
      <c r="Q7" s="138"/>
      <c r="R7" s="138"/>
      <c r="S7" s="138"/>
      <c r="T7" s="138"/>
      <c r="U7" s="138"/>
      <c r="V7" s="138"/>
      <c r="W7" s="138"/>
      <c r="X7" s="139"/>
    </row>
    <row r="8" spans="1:24" s="49" customFormat="1" ht="39.75" customHeight="1" x14ac:dyDescent="0.2">
      <c r="A8" s="56"/>
      <c r="B8" s="55"/>
      <c r="C8" s="55"/>
      <c r="D8" s="55"/>
      <c r="E8" s="55"/>
      <c r="F8" s="60"/>
      <c r="G8" s="2874"/>
      <c r="H8" s="2874"/>
      <c r="I8" s="2874"/>
      <c r="J8" s="2874"/>
      <c r="K8" s="140"/>
      <c r="L8" s="2870" t="str">
        <f>IF(入力1!L18&lt;&gt;"",入力1!L18&amp;入力1!N18&amp;入力1!O18,"")</f>
        <v/>
      </c>
      <c r="M8" s="2870"/>
      <c r="N8" s="2870"/>
      <c r="O8" s="2870"/>
      <c r="P8" s="2870"/>
      <c r="Q8" s="2870"/>
      <c r="R8" s="2870"/>
      <c r="S8" s="2870"/>
      <c r="T8" s="2870"/>
      <c r="U8" s="2870"/>
      <c r="V8" s="2870"/>
      <c r="W8" s="2870"/>
      <c r="X8" s="2871"/>
    </row>
    <row r="9" spans="1:24" s="49" customFormat="1" ht="30" customHeight="1" x14ac:dyDescent="0.2">
      <c r="A9" s="56"/>
      <c r="B9" s="55"/>
      <c r="C9" s="55"/>
      <c r="D9" s="55"/>
      <c r="E9" s="55"/>
      <c r="F9" s="58"/>
      <c r="G9" s="57"/>
      <c r="H9" s="57"/>
      <c r="I9" s="57" t="s">
        <v>65</v>
      </c>
      <c r="J9" s="57"/>
      <c r="K9" s="141"/>
      <c r="L9" s="2870" t="str">
        <f>入力1!B7</f>
        <v/>
      </c>
      <c r="M9" s="2870"/>
      <c r="N9" s="2870"/>
      <c r="O9" s="2870"/>
      <c r="P9" s="2870"/>
      <c r="Q9" s="2870"/>
      <c r="R9" s="2870"/>
      <c r="S9" s="2870"/>
      <c r="T9" s="2870"/>
      <c r="U9" s="2870"/>
      <c r="V9" s="2870"/>
      <c r="W9" s="2870"/>
      <c r="X9" s="2871"/>
    </row>
    <row r="10" spans="1:24" s="49" customFormat="1" ht="30" customHeight="1" x14ac:dyDescent="0.2">
      <c r="A10" s="56"/>
      <c r="B10" s="55"/>
      <c r="C10" s="55"/>
      <c r="D10" s="55"/>
      <c r="E10" s="55"/>
      <c r="F10" s="58"/>
      <c r="G10" s="57"/>
      <c r="H10" s="57"/>
      <c r="I10" s="57" t="s">
        <v>66</v>
      </c>
      <c r="J10" s="57"/>
      <c r="K10" s="141"/>
      <c r="L10" s="2870">
        <f>入力1!F16</f>
        <v>0</v>
      </c>
      <c r="M10" s="2870"/>
      <c r="N10" s="2870"/>
      <c r="O10" s="2870"/>
      <c r="P10" s="2870"/>
      <c r="Q10" s="2870"/>
      <c r="R10" s="2870"/>
      <c r="S10" s="2870"/>
      <c r="T10" s="2870"/>
      <c r="U10" s="2870"/>
      <c r="V10" s="2870"/>
      <c r="W10" s="2870"/>
      <c r="X10" s="2871"/>
    </row>
    <row r="11" spans="1:24" s="49" customFormat="1" ht="30" customHeight="1" x14ac:dyDescent="0.2">
      <c r="A11" s="56"/>
      <c r="B11" s="55"/>
      <c r="C11" s="55"/>
      <c r="D11" s="55"/>
      <c r="E11" s="55"/>
      <c r="F11" s="58"/>
      <c r="G11" s="57"/>
      <c r="H11" s="57"/>
      <c r="I11" s="57" t="s">
        <v>67</v>
      </c>
      <c r="J11" s="57"/>
      <c r="K11" s="141"/>
      <c r="L11" s="2833">
        <f>入力1!G21</f>
        <v>0</v>
      </c>
      <c r="M11" s="2833"/>
      <c r="N11" s="175" t="s">
        <v>94</v>
      </c>
      <c r="O11" s="2834">
        <f>入力1!J21</f>
        <v>0</v>
      </c>
      <c r="P11" s="2834"/>
      <c r="Q11" s="175" t="s">
        <v>43</v>
      </c>
      <c r="R11" s="2834">
        <f>入力1!M21</f>
        <v>0</v>
      </c>
      <c r="S11" s="2834"/>
      <c r="T11" s="176"/>
      <c r="U11" s="177"/>
      <c r="V11" s="177"/>
      <c r="W11" s="177"/>
      <c r="X11" s="178"/>
    </row>
    <row r="12" spans="1:24" s="49" customFormat="1" ht="9" customHeight="1" x14ac:dyDescent="0.15">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x14ac:dyDescent="0.15">
      <c r="A13" s="2855" t="s">
        <v>68</v>
      </c>
      <c r="B13" s="2856"/>
      <c r="C13" s="2856"/>
      <c r="D13" s="2856"/>
      <c r="E13" s="2856"/>
      <c r="F13" s="2856"/>
      <c r="G13" s="2856"/>
      <c r="H13" s="2856"/>
      <c r="I13" s="2856"/>
      <c r="J13" s="2856"/>
      <c r="K13" s="2856"/>
      <c r="L13" s="2856"/>
      <c r="M13" s="2856"/>
      <c r="N13" s="2856"/>
      <c r="O13" s="2856"/>
      <c r="P13" s="2856"/>
      <c r="Q13" s="2856"/>
      <c r="R13" s="2856"/>
      <c r="S13" s="2856"/>
      <c r="T13" s="2856"/>
      <c r="U13" s="2856"/>
      <c r="V13" s="2856"/>
      <c r="W13" s="2856"/>
      <c r="X13" s="2857"/>
    </row>
    <row r="14" spans="1:24" s="49" customFormat="1" ht="4.5" customHeight="1" x14ac:dyDescent="0.15">
      <c r="A14" s="2852"/>
      <c r="B14" s="2853"/>
      <c r="C14" s="2853"/>
      <c r="D14" s="2853"/>
      <c r="E14" s="2853"/>
      <c r="F14" s="2853"/>
      <c r="G14" s="2853"/>
      <c r="H14" s="2853"/>
      <c r="I14" s="2853"/>
      <c r="J14" s="2853"/>
      <c r="K14" s="2853"/>
      <c r="L14" s="2853"/>
      <c r="M14" s="2853"/>
      <c r="N14" s="2853"/>
      <c r="O14" s="2853"/>
      <c r="P14" s="2853"/>
      <c r="Q14" s="2853"/>
      <c r="R14" s="2853"/>
      <c r="S14" s="2853"/>
      <c r="T14" s="2853"/>
      <c r="U14" s="2853"/>
      <c r="V14" s="2853"/>
      <c r="W14" s="2853"/>
      <c r="X14" s="2854"/>
    </row>
    <row r="15" spans="1:24" s="49" customFormat="1" ht="34.5" customHeight="1" x14ac:dyDescent="0.15">
      <c r="A15" s="2858" t="s">
        <v>110</v>
      </c>
      <c r="B15" s="2859"/>
      <c r="C15" s="2859"/>
      <c r="D15" s="2899">
        <f>入力1!F30</f>
        <v>0</v>
      </c>
      <c r="E15" s="2831"/>
      <c r="F15" s="2831"/>
      <c r="G15" s="2831"/>
      <c r="H15" s="2831"/>
      <c r="I15" s="2831"/>
      <c r="J15" s="2831"/>
      <c r="K15" s="2831"/>
      <c r="L15" s="2831"/>
      <c r="M15" s="2831"/>
      <c r="N15" s="2831"/>
      <c r="O15" s="2831"/>
      <c r="P15" s="2831"/>
      <c r="Q15" s="2831"/>
      <c r="R15" s="2831"/>
      <c r="S15" s="2831"/>
      <c r="T15" s="2831"/>
      <c r="U15" s="2831"/>
      <c r="V15" s="2831"/>
      <c r="W15" s="2831"/>
      <c r="X15" s="2900"/>
    </row>
    <row r="16" spans="1:24" s="49" customFormat="1" ht="34.5" customHeight="1" x14ac:dyDescent="0.15">
      <c r="A16" s="2858" t="s">
        <v>69</v>
      </c>
      <c r="B16" s="2859"/>
      <c r="C16" s="2859"/>
      <c r="D16" s="2899">
        <f>入力1!F31</f>
        <v>0</v>
      </c>
      <c r="E16" s="2831"/>
      <c r="F16" s="2831"/>
      <c r="G16" s="2831"/>
      <c r="H16" s="2831"/>
      <c r="I16" s="2831"/>
      <c r="J16" s="2831"/>
      <c r="K16" s="2831"/>
      <c r="L16" s="2831"/>
      <c r="M16" s="2831"/>
      <c r="N16" s="2831"/>
      <c r="O16" s="2831"/>
      <c r="P16" s="2831"/>
      <c r="Q16" s="2831"/>
      <c r="R16" s="2831"/>
      <c r="S16" s="2831"/>
      <c r="T16" s="2831"/>
      <c r="U16" s="2831"/>
      <c r="V16" s="2831"/>
      <c r="W16" s="2831"/>
      <c r="X16" s="2900"/>
    </row>
    <row r="17" spans="1:24" s="49" customFormat="1" ht="34.5" customHeight="1" x14ac:dyDescent="0.15">
      <c r="A17" s="2850" t="s">
        <v>70</v>
      </c>
      <c r="B17" s="2923"/>
      <c r="C17" s="2923"/>
      <c r="D17" s="2954">
        <f>入力1!G24</f>
        <v>0</v>
      </c>
      <c r="E17" s="2955"/>
      <c r="F17" s="143" t="s">
        <v>59</v>
      </c>
      <c r="G17" s="313">
        <f>入力1!J24</f>
        <v>0</v>
      </c>
      <c r="H17" s="143" t="s">
        <v>60</v>
      </c>
      <c r="I17" s="313">
        <f>入力1!L24</f>
        <v>0</v>
      </c>
      <c r="J17" s="148" t="s">
        <v>61</v>
      </c>
      <c r="K17" s="2835">
        <f>入力1!Q24</f>
        <v>0</v>
      </c>
      <c r="L17" s="2835"/>
      <c r="M17" s="142" t="s">
        <v>71</v>
      </c>
      <c r="N17" s="142" t="s">
        <v>109</v>
      </c>
      <c r="O17" s="314" t="str">
        <f>入力1!T24</f>
        <v/>
      </c>
      <c r="P17" s="143" t="s">
        <v>60</v>
      </c>
      <c r="Q17" s="315" t="str">
        <f>入力1!V24</f>
        <v/>
      </c>
      <c r="R17" s="143" t="s">
        <v>61</v>
      </c>
      <c r="S17" s="316">
        <f>入力1!AA24</f>
        <v>0</v>
      </c>
      <c r="T17" s="142" t="s">
        <v>71</v>
      </c>
      <c r="U17" s="316">
        <f>入力1!F23</f>
        <v>0</v>
      </c>
      <c r="V17" s="142" t="s">
        <v>72</v>
      </c>
      <c r="W17" s="316" t="str">
        <f>入力1!H23</f>
        <v/>
      </c>
      <c r="X17" s="144" t="s">
        <v>108</v>
      </c>
    </row>
    <row r="18" spans="1:24" s="49" customFormat="1" ht="34.5" customHeight="1" thickBot="1" x14ac:dyDescent="0.2">
      <c r="A18" s="2850" t="s">
        <v>73</v>
      </c>
      <c r="B18" s="2851"/>
      <c r="C18" s="2851"/>
      <c r="D18" s="145"/>
      <c r="E18" s="146"/>
      <c r="F18" s="2831" t="s">
        <v>74</v>
      </c>
      <c r="G18" s="2831"/>
      <c r="H18" s="2831"/>
      <c r="I18" s="173" t="s">
        <v>107</v>
      </c>
      <c r="J18" s="147"/>
      <c r="K18" s="2831" t="s">
        <v>106</v>
      </c>
      <c r="L18" s="2831"/>
      <c r="M18" s="2832" t="s">
        <v>105</v>
      </c>
      <c r="N18" s="2832"/>
      <c r="O18" s="2832"/>
      <c r="P18" s="2831" t="s">
        <v>75</v>
      </c>
      <c r="Q18" s="2831"/>
      <c r="R18" s="2831"/>
      <c r="S18" s="173" t="s">
        <v>104</v>
      </c>
      <c r="T18" s="147" t="s">
        <v>564</v>
      </c>
      <c r="U18" s="173" t="s">
        <v>103</v>
      </c>
      <c r="V18" s="146"/>
      <c r="W18" s="146"/>
      <c r="X18" s="174"/>
    </row>
    <row r="19" spans="1:24" s="49" customFormat="1" ht="26.25" customHeight="1" thickBot="1" x14ac:dyDescent="0.2">
      <c r="A19" s="2902" t="s">
        <v>102</v>
      </c>
      <c r="B19" s="2903"/>
      <c r="C19" s="2903"/>
      <c r="D19" s="2930"/>
      <c r="E19" s="2930"/>
      <c r="F19" s="2930"/>
      <c r="G19" s="2930"/>
      <c r="H19" s="2930"/>
      <c r="I19" s="2930"/>
      <c r="J19" s="2930"/>
      <c r="K19" s="2930"/>
      <c r="L19" s="2930"/>
      <c r="M19" s="2930"/>
      <c r="N19" s="2924"/>
      <c r="O19" s="2931" t="s">
        <v>76</v>
      </c>
      <c r="P19" s="2932"/>
      <c r="Q19" s="2932"/>
      <c r="R19" s="2932"/>
      <c r="S19" s="2932"/>
      <c r="T19" s="2932"/>
      <c r="U19" s="2932"/>
      <c r="V19" s="2932"/>
      <c r="W19" s="2932"/>
      <c r="X19" s="2933"/>
    </row>
    <row r="20" spans="1:24" s="49" customFormat="1" ht="12.75" customHeight="1" x14ac:dyDescent="0.15">
      <c r="A20" s="2902"/>
      <c r="B20" s="2903"/>
      <c r="C20" s="2903"/>
      <c r="D20" s="2912" t="s">
        <v>77</v>
      </c>
      <c r="E20" s="2913"/>
      <c r="F20" s="2913"/>
      <c r="G20" s="2912" t="s">
        <v>78</v>
      </c>
      <c r="H20" s="2913"/>
      <c r="I20" s="2916"/>
      <c r="J20" s="2924" t="s">
        <v>79</v>
      </c>
      <c r="K20" s="2925"/>
      <c r="L20" s="2925"/>
      <c r="M20" s="2925"/>
      <c r="N20" s="2926"/>
      <c r="O20" s="2927" t="s">
        <v>77</v>
      </c>
      <c r="P20" s="2915"/>
      <c r="Q20" s="2915"/>
      <c r="R20" s="2936" t="s">
        <v>78</v>
      </c>
      <c r="S20" s="2937"/>
      <c r="T20" s="2938"/>
      <c r="U20" s="2940" t="s">
        <v>79</v>
      </c>
      <c r="V20" s="2941"/>
      <c r="W20" s="2941"/>
      <c r="X20" s="2942"/>
    </row>
    <row r="21" spans="1:24" s="49" customFormat="1" ht="12.75" customHeight="1" x14ac:dyDescent="0.15">
      <c r="A21" s="2902"/>
      <c r="B21" s="2903"/>
      <c r="C21" s="2903"/>
      <c r="D21" s="2914"/>
      <c r="E21" s="2915"/>
      <c r="F21" s="2915"/>
      <c r="G21" s="2914"/>
      <c r="H21" s="2915"/>
      <c r="I21" s="2917"/>
      <c r="J21" s="2924"/>
      <c r="K21" s="2925"/>
      <c r="L21" s="2925"/>
      <c r="M21" s="2925"/>
      <c r="N21" s="2926"/>
      <c r="O21" s="2928"/>
      <c r="P21" s="2929"/>
      <c r="Q21" s="2929"/>
      <c r="R21" s="2928"/>
      <c r="S21" s="2929"/>
      <c r="T21" s="2939"/>
      <c r="U21" s="2943"/>
      <c r="V21" s="2944"/>
      <c r="W21" s="2944"/>
      <c r="X21" s="2945"/>
    </row>
    <row r="22" spans="1:24" s="49" customFormat="1" ht="42" customHeight="1" x14ac:dyDescent="0.15">
      <c r="A22" s="2867" t="s">
        <v>80</v>
      </c>
      <c r="B22" s="2885" t="s">
        <v>81</v>
      </c>
      <c r="C22" s="2886"/>
      <c r="D22" s="2836">
        <f>入力1!E38</f>
        <v>0</v>
      </c>
      <c r="E22" s="2837"/>
      <c r="F22" s="2842"/>
      <c r="G22" s="2836">
        <f>入力1!E39</f>
        <v>0</v>
      </c>
      <c r="H22" s="2837"/>
      <c r="I22" s="2842"/>
      <c r="J22" s="2836">
        <f>入力1!E40</f>
        <v>0</v>
      </c>
      <c r="K22" s="2837"/>
      <c r="L22" s="2837"/>
      <c r="M22" s="2837"/>
      <c r="N22" s="2838"/>
      <c r="O22" s="2880"/>
      <c r="P22" s="2881"/>
      <c r="Q22" s="2881"/>
      <c r="R22" s="2880"/>
      <c r="S22" s="2881"/>
      <c r="T22" s="2882"/>
      <c r="U22" s="2934">
        <f t="shared" ref="U22:U33" si="0">SUM(O22,R22)</f>
        <v>0</v>
      </c>
      <c r="V22" s="2934"/>
      <c r="W22" s="2934"/>
      <c r="X22" s="2935"/>
    </row>
    <row r="23" spans="1:24" s="49" customFormat="1" ht="42" customHeight="1" thickBot="1" x14ac:dyDescent="0.2">
      <c r="A23" s="2868"/>
      <c r="B23" s="2887" t="s">
        <v>96</v>
      </c>
      <c r="C23" s="2888"/>
      <c r="D23" s="2839">
        <f>入力1!G38</f>
        <v>0</v>
      </c>
      <c r="E23" s="2840"/>
      <c r="F23" s="2843"/>
      <c r="G23" s="2839">
        <f>入力1!G39</f>
        <v>0</v>
      </c>
      <c r="H23" s="2840"/>
      <c r="I23" s="2843"/>
      <c r="J23" s="2839">
        <f>入力1!G40</f>
        <v>0</v>
      </c>
      <c r="K23" s="2840"/>
      <c r="L23" s="2840"/>
      <c r="M23" s="2840"/>
      <c r="N23" s="2841"/>
      <c r="O23" s="2826"/>
      <c r="P23" s="2827"/>
      <c r="Q23" s="2827"/>
      <c r="R23" s="2826"/>
      <c r="S23" s="2827"/>
      <c r="T23" s="2828"/>
      <c r="U23" s="2896">
        <f t="shared" si="0"/>
        <v>0</v>
      </c>
      <c r="V23" s="2896"/>
      <c r="W23" s="2896"/>
      <c r="X23" s="2951"/>
    </row>
    <row r="24" spans="1:24" s="49" customFormat="1" ht="42" customHeight="1" x14ac:dyDescent="0.15">
      <c r="A24" s="2867" t="s">
        <v>82</v>
      </c>
      <c r="B24" s="2885" t="s">
        <v>81</v>
      </c>
      <c r="C24" s="2886"/>
      <c r="D24" s="2836">
        <f>入力1!I38</f>
        <v>0</v>
      </c>
      <c r="E24" s="2837"/>
      <c r="F24" s="2842"/>
      <c r="G24" s="2836">
        <f>入力1!I39</f>
        <v>0</v>
      </c>
      <c r="H24" s="2837"/>
      <c r="I24" s="2842"/>
      <c r="J24" s="2836">
        <f>入力1!I40</f>
        <v>0</v>
      </c>
      <c r="K24" s="2837"/>
      <c r="L24" s="2837"/>
      <c r="M24" s="2837"/>
      <c r="N24" s="2838"/>
      <c r="O24" s="2880"/>
      <c r="P24" s="2881"/>
      <c r="Q24" s="2881"/>
      <c r="R24" s="2880"/>
      <c r="S24" s="2881"/>
      <c r="T24" s="2882"/>
      <c r="U24" s="2934">
        <f t="shared" si="0"/>
        <v>0</v>
      </c>
      <c r="V24" s="2934"/>
      <c r="W24" s="2934"/>
      <c r="X24" s="2935"/>
    </row>
    <row r="25" spans="1:24" s="49" customFormat="1" ht="42" customHeight="1" thickBot="1" x14ac:dyDescent="0.2">
      <c r="A25" s="2868"/>
      <c r="B25" s="2887" t="s">
        <v>87</v>
      </c>
      <c r="C25" s="2888"/>
      <c r="D25" s="2839">
        <f>入力1!K38</f>
        <v>0</v>
      </c>
      <c r="E25" s="2840"/>
      <c r="F25" s="2843"/>
      <c r="G25" s="2839">
        <f>入力1!K39</f>
        <v>0</v>
      </c>
      <c r="H25" s="2840"/>
      <c r="I25" s="2843"/>
      <c r="J25" s="2839">
        <f>入力1!K40</f>
        <v>0</v>
      </c>
      <c r="K25" s="2840"/>
      <c r="L25" s="2840"/>
      <c r="M25" s="2840"/>
      <c r="N25" s="2841"/>
      <c r="O25" s="2826"/>
      <c r="P25" s="2827"/>
      <c r="Q25" s="2827"/>
      <c r="R25" s="2826"/>
      <c r="S25" s="2827"/>
      <c r="T25" s="2828"/>
      <c r="U25" s="2896">
        <f t="shared" si="0"/>
        <v>0</v>
      </c>
      <c r="V25" s="2896"/>
      <c r="W25" s="2896"/>
      <c r="X25" s="2951"/>
    </row>
    <row r="26" spans="1:24" s="49" customFormat="1" ht="42" customHeight="1" x14ac:dyDescent="0.15">
      <c r="A26" s="2867" t="s">
        <v>83</v>
      </c>
      <c r="B26" s="2885" t="s">
        <v>81</v>
      </c>
      <c r="C26" s="2886"/>
      <c r="D26" s="2836">
        <f>入力1!M38</f>
        <v>0</v>
      </c>
      <c r="E26" s="2837"/>
      <c r="F26" s="2842"/>
      <c r="G26" s="2836">
        <f>入力1!M39</f>
        <v>0</v>
      </c>
      <c r="H26" s="2837"/>
      <c r="I26" s="2842"/>
      <c r="J26" s="2836">
        <f>入力1!M40</f>
        <v>0</v>
      </c>
      <c r="K26" s="2837"/>
      <c r="L26" s="2837"/>
      <c r="M26" s="2837"/>
      <c r="N26" s="2838"/>
      <c r="O26" s="2880"/>
      <c r="P26" s="2881"/>
      <c r="Q26" s="2881"/>
      <c r="R26" s="2880"/>
      <c r="S26" s="2881"/>
      <c r="T26" s="2882"/>
      <c r="U26" s="2934">
        <f t="shared" si="0"/>
        <v>0</v>
      </c>
      <c r="V26" s="2934"/>
      <c r="W26" s="2934"/>
      <c r="X26" s="2935"/>
    </row>
    <row r="27" spans="1:24" s="49" customFormat="1" ht="42" customHeight="1" thickBot="1" x14ac:dyDescent="0.2">
      <c r="A27" s="2868"/>
      <c r="B27" s="2887" t="s">
        <v>101</v>
      </c>
      <c r="C27" s="2888"/>
      <c r="D27" s="2839">
        <f>入力1!O38</f>
        <v>0</v>
      </c>
      <c r="E27" s="2840"/>
      <c r="F27" s="2843"/>
      <c r="G27" s="2839">
        <f>入力1!O39</f>
        <v>0</v>
      </c>
      <c r="H27" s="2840"/>
      <c r="I27" s="2843"/>
      <c r="J27" s="2839">
        <f>入力1!O40</f>
        <v>0</v>
      </c>
      <c r="K27" s="2840"/>
      <c r="L27" s="2840"/>
      <c r="M27" s="2840"/>
      <c r="N27" s="2841"/>
      <c r="O27" s="2826"/>
      <c r="P27" s="2827"/>
      <c r="Q27" s="2827"/>
      <c r="R27" s="2826"/>
      <c r="S27" s="2827"/>
      <c r="T27" s="2828"/>
      <c r="U27" s="2896">
        <f t="shared" si="0"/>
        <v>0</v>
      </c>
      <c r="V27" s="2896"/>
      <c r="W27" s="2896"/>
      <c r="X27" s="2951"/>
    </row>
    <row r="28" spans="1:24" s="49" customFormat="1" ht="42" customHeight="1" x14ac:dyDescent="0.15">
      <c r="A28" s="2867" t="s">
        <v>84</v>
      </c>
      <c r="B28" s="2885" t="s">
        <v>81</v>
      </c>
      <c r="C28" s="2886"/>
      <c r="D28" s="2836">
        <f>入力1!Q38</f>
        <v>0</v>
      </c>
      <c r="E28" s="2837"/>
      <c r="F28" s="2842"/>
      <c r="G28" s="2836">
        <f>入力1!Q39</f>
        <v>0</v>
      </c>
      <c r="H28" s="2837"/>
      <c r="I28" s="2842"/>
      <c r="J28" s="2836">
        <f>入力1!Q40</f>
        <v>0</v>
      </c>
      <c r="K28" s="2837"/>
      <c r="L28" s="2837"/>
      <c r="M28" s="2837"/>
      <c r="N28" s="2838"/>
      <c r="O28" s="2880"/>
      <c r="P28" s="2881"/>
      <c r="Q28" s="2881"/>
      <c r="R28" s="2880"/>
      <c r="S28" s="2881"/>
      <c r="T28" s="2882"/>
      <c r="U28" s="2934">
        <f t="shared" si="0"/>
        <v>0</v>
      </c>
      <c r="V28" s="2934"/>
      <c r="W28" s="2934"/>
      <c r="X28" s="2935"/>
    </row>
    <row r="29" spans="1:24" s="49" customFormat="1" ht="42" customHeight="1" thickBot="1" x14ac:dyDescent="0.2">
      <c r="A29" s="2868"/>
      <c r="B29" s="2887" t="s">
        <v>101</v>
      </c>
      <c r="C29" s="2888"/>
      <c r="D29" s="2839">
        <f>入力1!S38</f>
        <v>0</v>
      </c>
      <c r="E29" s="2840"/>
      <c r="F29" s="2843"/>
      <c r="G29" s="2839">
        <f>入力1!S39</f>
        <v>0</v>
      </c>
      <c r="H29" s="2840"/>
      <c r="I29" s="2843"/>
      <c r="J29" s="2839">
        <f>入力1!S40</f>
        <v>0</v>
      </c>
      <c r="K29" s="2840"/>
      <c r="L29" s="2840"/>
      <c r="M29" s="2840"/>
      <c r="N29" s="2841"/>
      <c r="O29" s="2826"/>
      <c r="P29" s="2827"/>
      <c r="Q29" s="2827"/>
      <c r="R29" s="2826"/>
      <c r="S29" s="2827"/>
      <c r="T29" s="2828"/>
      <c r="U29" s="2896">
        <f t="shared" si="0"/>
        <v>0</v>
      </c>
      <c r="V29" s="2896"/>
      <c r="W29" s="2896"/>
      <c r="X29" s="2951"/>
    </row>
    <row r="30" spans="1:24" s="49" customFormat="1" ht="42" customHeight="1" x14ac:dyDescent="0.15">
      <c r="A30" s="2876" t="s">
        <v>85</v>
      </c>
      <c r="B30" s="2885" t="s">
        <v>81</v>
      </c>
      <c r="C30" s="2886"/>
      <c r="D30" s="2865">
        <f>入力1!U38</f>
        <v>0</v>
      </c>
      <c r="E30" s="2866"/>
      <c r="F30" s="2866"/>
      <c r="G30" s="2865">
        <f>入力1!U39</f>
        <v>0</v>
      </c>
      <c r="H30" s="2866"/>
      <c r="I30" s="2908"/>
      <c r="J30" s="2836">
        <f>入力1!U40</f>
        <v>0</v>
      </c>
      <c r="K30" s="2837"/>
      <c r="L30" s="2837"/>
      <c r="M30" s="2837"/>
      <c r="N30" s="2838"/>
      <c r="O30" s="2880"/>
      <c r="P30" s="2881"/>
      <c r="Q30" s="2881"/>
      <c r="R30" s="2880"/>
      <c r="S30" s="2881"/>
      <c r="T30" s="2882"/>
      <c r="U30" s="2934">
        <f t="shared" si="0"/>
        <v>0</v>
      </c>
      <c r="V30" s="2934"/>
      <c r="W30" s="2934"/>
      <c r="X30" s="2935"/>
    </row>
    <row r="31" spans="1:24" s="49" customFormat="1" ht="42" customHeight="1" thickBot="1" x14ac:dyDescent="0.2">
      <c r="A31" s="2876"/>
      <c r="B31" s="2887" t="s">
        <v>96</v>
      </c>
      <c r="C31" s="2888"/>
      <c r="D31" s="2862">
        <f>入力1!W38</f>
        <v>0</v>
      </c>
      <c r="E31" s="2863"/>
      <c r="F31" s="2863"/>
      <c r="G31" s="2862">
        <f>入力1!W39</f>
        <v>0</v>
      </c>
      <c r="H31" s="2863"/>
      <c r="I31" s="2864"/>
      <c r="J31" s="2839">
        <f>入力1!W40</f>
        <v>0</v>
      </c>
      <c r="K31" s="2840"/>
      <c r="L31" s="2840"/>
      <c r="M31" s="2840"/>
      <c r="N31" s="2841"/>
      <c r="O31" s="2826"/>
      <c r="P31" s="2827"/>
      <c r="Q31" s="2827"/>
      <c r="R31" s="2826"/>
      <c r="S31" s="2827"/>
      <c r="T31" s="2828"/>
      <c r="U31" s="2896">
        <f t="shared" si="0"/>
        <v>0</v>
      </c>
      <c r="V31" s="2896"/>
      <c r="W31" s="2896"/>
      <c r="X31" s="2951"/>
    </row>
    <row r="32" spans="1:24" s="49" customFormat="1" ht="42" customHeight="1" x14ac:dyDescent="0.15">
      <c r="A32" s="2867" t="s">
        <v>86</v>
      </c>
      <c r="B32" s="2885" t="s">
        <v>81</v>
      </c>
      <c r="C32" s="2886"/>
      <c r="D32" s="2909">
        <f>入力1!Y38</f>
        <v>0</v>
      </c>
      <c r="E32" s="2910"/>
      <c r="F32" s="2910"/>
      <c r="G32" s="2909">
        <f>入力1!Y39</f>
        <v>0</v>
      </c>
      <c r="H32" s="2910"/>
      <c r="I32" s="2911"/>
      <c r="J32" s="2836">
        <f>入力1!Y40</f>
        <v>0</v>
      </c>
      <c r="K32" s="2837"/>
      <c r="L32" s="2837"/>
      <c r="M32" s="2837"/>
      <c r="N32" s="2838"/>
      <c r="O32" s="2880"/>
      <c r="P32" s="2881"/>
      <c r="Q32" s="2881"/>
      <c r="R32" s="2880"/>
      <c r="S32" s="2881"/>
      <c r="T32" s="2882"/>
      <c r="U32" s="2934">
        <f t="shared" si="0"/>
        <v>0</v>
      </c>
      <c r="V32" s="2934"/>
      <c r="W32" s="2934"/>
      <c r="X32" s="2935"/>
    </row>
    <row r="33" spans="1:24" s="49" customFormat="1" ht="42" customHeight="1" thickBot="1" x14ac:dyDescent="0.2">
      <c r="A33" s="2901"/>
      <c r="B33" s="2883" t="s">
        <v>87</v>
      </c>
      <c r="C33" s="2884"/>
      <c r="D33" s="2860">
        <f>入力1!AA38</f>
        <v>0</v>
      </c>
      <c r="E33" s="2861"/>
      <c r="F33" s="2861"/>
      <c r="G33" s="2860">
        <f>入力1!AA39</f>
        <v>0</v>
      </c>
      <c r="H33" s="2861"/>
      <c r="I33" s="2889"/>
      <c r="J33" s="2860">
        <f>入力1!AA40</f>
        <v>0</v>
      </c>
      <c r="K33" s="2861"/>
      <c r="L33" s="2861"/>
      <c r="M33" s="2861"/>
      <c r="N33" s="2894"/>
      <c r="O33" s="2952"/>
      <c r="P33" s="2953"/>
      <c r="Q33" s="2953"/>
      <c r="R33" s="2952"/>
      <c r="S33" s="2953"/>
      <c r="T33" s="2958"/>
      <c r="U33" s="2861">
        <f t="shared" si="0"/>
        <v>0</v>
      </c>
      <c r="V33" s="2861"/>
      <c r="W33" s="2861"/>
      <c r="X33" s="2894"/>
    </row>
    <row r="34" spans="1:24" s="49" customFormat="1" ht="42" customHeight="1" thickTop="1" x14ac:dyDescent="0.15">
      <c r="A34" s="2876" t="s">
        <v>79</v>
      </c>
      <c r="B34" s="2906" t="s">
        <v>81</v>
      </c>
      <c r="C34" s="2907"/>
      <c r="D34" s="2878">
        <f>入力1!AC38</f>
        <v>0</v>
      </c>
      <c r="E34" s="2879"/>
      <c r="F34" s="2879"/>
      <c r="G34" s="2878">
        <f>入力1!AC39</f>
        <v>0</v>
      </c>
      <c r="H34" s="2879"/>
      <c r="I34" s="2879"/>
      <c r="J34" s="2918">
        <f>入力1!AC40</f>
        <v>0</v>
      </c>
      <c r="K34" s="2919"/>
      <c r="L34" s="2919"/>
      <c r="M34" s="2919"/>
      <c r="N34" s="2920"/>
      <c r="O34" s="2948">
        <f>SUM(O22,O24,O26,O28,O30,O32)</f>
        <v>0</v>
      </c>
      <c r="P34" s="2949"/>
      <c r="Q34" s="2949"/>
      <c r="R34" s="2948">
        <f>SUM(R22,R24,R26,R28,R30,R32)</f>
        <v>0</v>
      </c>
      <c r="S34" s="2949"/>
      <c r="T34" s="2950"/>
      <c r="U34" s="2934">
        <f>SUM(U22,U24,U26,U28,U30,U32)</f>
        <v>0</v>
      </c>
      <c r="V34" s="2934"/>
      <c r="W34" s="2934"/>
      <c r="X34" s="2935"/>
    </row>
    <row r="35" spans="1:24" s="49" customFormat="1" ht="42" customHeight="1" thickBot="1" x14ac:dyDescent="0.2">
      <c r="A35" s="2868"/>
      <c r="B35" s="2887" t="s">
        <v>101</v>
      </c>
      <c r="C35" s="2888"/>
      <c r="D35" s="2844">
        <f>入力1!AE38</f>
        <v>0</v>
      </c>
      <c r="E35" s="2845"/>
      <c r="F35" s="2845"/>
      <c r="G35" s="2844">
        <f>入力1!AE39</f>
        <v>0</v>
      </c>
      <c r="H35" s="2845"/>
      <c r="I35" s="2905"/>
      <c r="J35" s="2844">
        <f>入力1!AE40</f>
        <v>0</v>
      </c>
      <c r="K35" s="2845"/>
      <c r="L35" s="2845"/>
      <c r="M35" s="2845"/>
      <c r="N35" s="2846"/>
      <c r="O35" s="2895">
        <f>SUM(O23,O25,O27,O29,O31,O33)</f>
        <v>0</v>
      </c>
      <c r="P35" s="2896"/>
      <c r="Q35" s="2896"/>
      <c r="R35" s="2895">
        <f>SUM(R23,R25,R27,R29,R31,R33)</f>
        <v>0</v>
      </c>
      <c r="S35" s="2896"/>
      <c r="T35" s="2951"/>
      <c r="U35" s="2896">
        <f>SUM(U23,U25,U27,U29,U31,U33)</f>
        <v>0</v>
      </c>
      <c r="V35" s="2896"/>
      <c r="W35" s="2896"/>
      <c r="X35" s="2951"/>
    </row>
    <row r="36" spans="1:24" s="49" customFormat="1" ht="23.25" customHeight="1" x14ac:dyDescent="0.2">
      <c r="A36" s="2890" t="s">
        <v>88</v>
      </c>
      <c r="B36" s="2956" t="s">
        <v>100</v>
      </c>
      <c r="C36" s="2957"/>
      <c r="D36" s="2957"/>
      <c r="E36" s="2957"/>
      <c r="F36" s="179" t="s">
        <v>89</v>
      </c>
      <c r="G36" s="180">
        <f>入力1!G19</f>
        <v>0</v>
      </c>
      <c r="H36" s="181" t="s">
        <v>113</v>
      </c>
      <c r="I36" s="2830">
        <f>入力1!I19</f>
        <v>0</v>
      </c>
      <c r="J36" s="2830"/>
      <c r="K36" s="188"/>
      <c r="L36" s="188"/>
      <c r="M36" s="188"/>
      <c r="N36" s="188"/>
      <c r="O36" s="188"/>
      <c r="P36" s="188"/>
      <c r="Q36" s="2877"/>
      <c r="R36" s="2877"/>
      <c r="S36" s="2877"/>
      <c r="T36" s="2877"/>
      <c r="U36" s="189"/>
      <c r="V36" s="182"/>
      <c r="W36" s="189"/>
      <c r="X36" s="204"/>
    </row>
    <row r="37" spans="1:24" s="49" customFormat="1" ht="29.25" customHeight="1" x14ac:dyDescent="0.15">
      <c r="A37" s="2891"/>
      <c r="B37" s="2946"/>
      <c r="C37" s="2947"/>
      <c r="D37" s="2947"/>
      <c r="E37" s="2947"/>
      <c r="F37" s="118"/>
      <c r="G37" s="2897" t="str">
        <f>IF(入力1!L19&lt;&gt;"",入力1!L19&amp;入力1!N19&amp;入力1!O19,"")</f>
        <v/>
      </c>
      <c r="H37" s="2897"/>
      <c r="I37" s="2897"/>
      <c r="J37" s="2897"/>
      <c r="K37" s="2897"/>
      <c r="L37" s="2897"/>
      <c r="M37" s="2897"/>
      <c r="N37" s="2897"/>
      <c r="O37" s="2897"/>
      <c r="P37" s="2897"/>
      <c r="Q37" s="2897"/>
      <c r="R37" s="2897"/>
      <c r="S37" s="2897"/>
      <c r="T37" s="2897"/>
      <c r="U37" s="2897"/>
      <c r="V37" s="2897"/>
      <c r="W37" s="2897"/>
      <c r="X37" s="205"/>
    </row>
    <row r="38" spans="1:24" s="49" customFormat="1" ht="29.25" customHeight="1" x14ac:dyDescent="0.15">
      <c r="A38" s="2892"/>
      <c r="B38" s="2946" t="s">
        <v>99</v>
      </c>
      <c r="C38" s="2947"/>
      <c r="D38" s="2947"/>
      <c r="E38" s="2947"/>
      <c r="F38" s="183"/>
      <c r="G38" s="2897">
        <f>入力1!Q16</f>
        <v>0</v>
      </c>
      <c r="H38" s="2897"/>
      <c r="I38" s="2897"/>
      <c r="J38" s="2897"/>
      <c r="K38" s="2897"/>
      <c r="L38" s="2897"/>
      <c r="M38" s="2897"/>
      <c r="N38" s="2897"/>
      <c r="O38" s="2897"/>
      <c r="P38" s="2897"/>
      <c r="Q38" s="2897"/>
      <c r="R38" s="2897"/>
      <c r="S38" s="2897"/>
      <c r="T38" s="2897"/>
      <c r="U38" s="2897"/>
      <c r="V38" s="2897"/>
      <c r="W38" s="2897"/>
      <c r="X38" s="150"/>
    </row>
    <row r="39" spans="1:24" s="49" customFormat="1" ht="29.25" customHeight="1" x14ac:dyDescent="0.15">
      <c r="A39" s="2893"/>
      <c r="B39" s="2822" t="s">
        <v>90</v>
      </c>
      <c r="C39" s="2823"/>
      <c r="D39" s="2823"/>
      <c r="E39" s="2823"/>
      <c r="F39" s="184"/>
      <c r="G39" s="2824">
        <f>入力1!Q21</f>
        <v>0</v>
      </c>
      <c r="H39" s="2824"/>
      <c r="I39" s="185" t="s">
        <v>94</v>
      </c>
      <c r="J39" s="2825">
        <f>入力1!T21</f>
        <v>0</v>
      </c>
      <c r="K39" s="2825"/>
      <c r="L39" s="2825"/>
      <c r="M39" s="185" t="s">
        <v>43</v>
      </c>
      <c r="N39" s="2825">
        <f>入力1!W21</f>
        <v>0</v>
      </c>
      <c r="O39" s="2825"/>
      <c r="P39" s="186"/>
      <c r="Q39" s="187"/>
      <c r="R39" s="187"/>
      <c r="S39" s="187"/>
      <c r="T39" s="187"/>
      <c r="U39" s="187"/>
      <c r="V39" s="187"/>
      <c r="W39" s="187"/>
      <c r="X39" s="149"/>
    </row>
    <row r="40" spans="1:24" s="49" customFormat="1" ht="17.25" customHeight="1" x14ac:dyDescent="0.15">
      <c r="A40" s="50" t="s">
        <v>91</v>
      </c>
      <c r="B40" s="2904" t="s">
        <v>92</v>
      </c>
      <c r="C40" s="2904"/>
      <c r="D40" s="2904"/>
      <c r="E40" s="2904"/>
      <c r="F40" s="2904"/>
      <c r="G40" s="2904"/>
      <c r="H40" s="2904"/>
      <c r="I40" s="2904"/>
      <c r="J40" s="2904"/>
      <c r="K40" s="2904"/>
      <c r="L40" s="2904"/>
      <c r="M40" s="2904"/>
      <c r="N40" s="2904"/>
      <c r="O40" s="52"/>
      <c r="P40" s="52"/>
      <c r="Q40" s="52"/>
      <c r="R40" s="52"/>
      <c r="S40" s="52"/>
      <c r="T40" s="52"/>
      <c r="U40" s="52"/>
      <c r="V40" s="51"/>
      <c r="W40" s="51"/>
      <c r="X40" s="51"/>
    </row>
    <row r="41" spans="1:24" s="49" customFormat="1" ht="17.25" customHeight="1" x14ac:dyDescent="0.15">
      <c r="A41" s="50" t="s">
        <v>93</v>
      </c>
      <c r="B41" s="2898" t="s">
        <v>98</v>
      </c>
      <c r="C41" s="2898"/>
      <c r="D41" s="2898"/>
      <c r="E41" s="2898"/>
      <c r="F41" s="2898"/>
      <c r="G41" s="2898"/>
      <c r="H41" s="2898"/>
      <c r="I41" s="2898"/>
      <c r="J41" s="2898"/>
      <c r="K41" s="2898"/>
      <c r="L41" s="2898"/>
      <c r="M41" s="2898"/>
      <c r="N41" s="2898"/>
      <c r="O41" s="2898"/>
      <c r="P41" s="2898"/>
      <c r="Q41" s="2898"/>
      <c r="R41" s="2898"/>
      <c r="S41" s="2898"/>
      <c r="T41" s="2898"/>
      <c r="U41" s="2898"/>
      <c r="V41" s="2898"/>
      <c r="W41" s="2898"/>
      <c r="X41" s="2898"/>
    </row>
  </sheetData>
  <sheetProtection algorithmName="SHA-512" hashValue="bUhwtQH6Y6xnXYc9wkYhnL9mOJ4iTNtd4b+TtfQ/mnHLJKDpxmajGUEaJSGHB004sZtL1VwQnj6QPuPba5TYpQ==" saltValue="DJ6LSL8y6ibXLeK+CS1Khg==" spinCount="100000" sheet="1" selectLockedCells="1"/>
  <mergeCells count="157">
    <mergeCell ref="D17:E17"/>
    <mergeCell ref="G37:W37"/>
    <mergeCell ref="B36:E37"/>
    <mergeCell ref="J30:N30"/>
    <mergeCell ref="J25:N25"/>
    <mergeCell ref="J26:N26"/>
    <mergeCell ref="U35:X35"/>
    <mergeCell ref="D35:F35"/>
    <mergeCell ref="O27:Q27"/>
    <mergeCell ref="O28:Q28"/>
    <mergeCell ref="R32:T32"/>
    <mergeCell ref="R33:T33"/>
    <mergeCell ref="R30:T30"/>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W15"/>
  <sheetViews>
    <sheetView showGridLines="0" tabSelected="1" view="pageBreakPreview" topLeftCell="A3" zoomScaleNormal="100" zoomScaleSheetLayoutView="100" workbookViewId="0">
      <selection activeCell="R3" sqref="R3:V3"/>
    </sheetView>
  </sheetViews>
  <sheetFormatPr defaultRowHeight="13.5" x14ac:dyDescent="0.1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x14ac:dyDescent="0.15">
      <c r="A1" s="165"/>
      <c r="B1" s="165"/>
      <c r="C1" s="165"/>
      <c r="D1" s="160"/>
      <c r="E1" s="165"/>
      <c r="F1" s="165"/>
      <c r="G1" s="165"/>
    </row>
    <row r="2" spans="1:23" ht="22.5" customHeight="1" x14ac:dyDescent="0.15">
      <c r="B2" s="12"/>
      <c r="D2" s="13"/>
      <c r="E2" s="13"/>
      <c r="F2" s="13"/>
      <c r="H2" s="19"/>
      <c r="I2" s="19"/>
      <c r="J2" s="5"/>
      <c r="K2" s="5"/>
      <c r="L2" s="5"/>
      <c r="M2" s="5"/>
      <c r="O2" s="3009" t="s">
        <v>5</v>
      </c>
      <c r="P2" s="3009"/>
      <c r="Q2" s="3009"/>
      <c r="R2" s="3005">
        <f>入力1!AF2</f>
        <v>0</v>
      </c>
      <c r="S2" s="3005"/>
      <c r="T2" s="3005"/>
      <c r="U2" s="3005"/>
      <c r="V2" s="3005"/>
    </row>
    <row r="3" spans="1:23" ht="22.5" customHeight="1" x14ac:dyDescent="0.15">
      <c r="B3" s="12"/>
      <c r="D3" s="13"/>
      <c r="E3" s="13"/>
      <c r="F3" s="13"/>
      <c r="H3" s="19"/>
      <c r="I3" s="19"/>
      <c r="J3" s="2"/>
      <c r="K3" s="2"/>
      <c r="O3" s="3010" t="s">
        <v>6</v>
      </c>
      <c r="P3" s="3010"/>
      <c r="Q3" s="3010"/>
      <c r="R3" s="3017" t="s">
        <v>400</v>
      </c>
      <c r="S3" s="3017"/>
      <c r="T3" s="3017"/>
      <c r="U3" s="3017"/>
      <c r="V3" s="3017"/>
    </row>
    <row r="4" spans="1:23" ht="45" customHeight="1" x14ac:dyDescent="0.2">
      <c r="B4" s="3008" t="s">
        <v>310</v>
      </c>
      <c r="C4" s="3008"/>
      <c r="D4" s="3008"/>
      <c r="E4" s="3008"/>
      <c r="F4" s="3008"/>
      <c r="G4" s="3008"/>
      <c r="H4" s="3008"/>
      <c r="I4" s="3008"/>
      <c r="J4" s="3008"/>
      <c r="K4" s="3008"/>
      <c r="L4" s="3008"/>
      <c r="M4" s="3008"/>
      <c r="N4" s="3008"/>
      <c r="O4" s="3008"/>
      <c r="P4" s="3008"/>
      <c r="Q4" s="3008"/>
      <c r="R4" s="3008"/>
      <c r="S4" s="3008"/>
      <c r="T4" s="3008"/>
      <c r="U4" s="3008"/>
      <c r="V4" s="3008"/>
    </row>
    <row r="5" spans="1:23" ht="11.25" customHeight="1" thickBot="1" x14ac:dyDescent="0.2">
      <c r="B5" s="18"/>
      <c r="C5" s="18"/>
      <c r="D5" s="18"/>
      <c r="E5" s="16"/>
      <c r="F5" s="20"/>
      <c r="G5" s="18"/>
      <c r="H5" s="18"/>
      <c r="I5" s="18"/>
      <c r="J5" s="15"/>
      <c r="K5" s="15"/>
      <c r="L5" s="15"/>
      <c r="M5" s="15"/>
      <c r="N5" s="15"/>
      <c r="O5" s="14"/>
      <c r="P5" s="14"/>
      <c r="Q5" s="14"/>
      <c r="R5" s="14"/>
      <c r="S5" s="14"/>
      <c r="T5" s="14"/>
      <c r="U5" s="14"/>
      <c r="V5" s="14"/>
    </row>
    <row r="6" spans="1:23" ht="30" customHeight="1" x14ac:dyDescent="0.15">
      <c r="B6" s="3013" t="s">
        <v>28</v>
      </c>
      <c r="C6" s="3014"/>
      <c r="D6" s="2959">
        <f>入力1!G24</f>
        <v>0</v>
      </c>
      <c r="E6" s="2960"/>
      <c r="F6" s="29" t="s">
        <v>29</v>
      </c>
      <c r="G6" s="190">
        <f>入力1!J24</f>
        <v>0</v>
      </c>
      <c r="H6" s="29" t="s">
        <v>30</v>
      </c>
      <c r="I6" s="190">
        <f>入力1!L24</f>
        <v>0</v>
      </c>
      <c r="J6" s="30" t="s">
        <v>31</v>
      </c>
      <c r="K6" s="30" t="s">
        <v>217</v>
      </c>
      <c r="L6" s="28" t="str">
        <f>入力1!O24</f>
        <v/>
      </c>
      <c r="M6" s="2961" t="s">
        <v>218</v>
      </c>
      <c r="N6" s="2961"/>
      <c r="O6" s="328" t="str">
        <f>入力1!T24</f>
        <v/>
      </c>
      <c r="P6" s="29" t="s">
        <v>30</v>
      </c>
      <c r="Q6" s="329" t="str">
        <f>入力1!V24</f>
        <v/>
      </c>
      <c r="R6" s="29" t="s">
        <v>35</v>
      </c>
      <c r="S6" s="30" t="s">
        <v>217</v>
      </c>
      <c r="T6" s="28" t="str">
        <f>入力1!Y24</f>
        <v/>
      </c>
      <c r="U6" s="2961" t="s">
        <v>219</v>
      </c>
      <c r="V6" s="2962"/>
      <c r="W6" s="11"/>
    </row>
    <row r="7" spans="1:23" ht="63.75" customHeight="1" thickBot="1" x14ac:dyDescent="0.2">
      <c r="B7" s="3015" t="s">
        <v>7</v>
      </c>
      <c r="C7" s="3016"/>
      <c r="D7" s="3002" t="str">
        <f>入力1!B7</f>
        <v/>
      </c>
      <c r="E7" s="3003"/>
      <c r="F7" s="3003"/>
      <c r="G7" s="3003"/>
      <c r="H7" s="3003"/>
      <c r="I7" s="3003"/>
      <c r="J7" s="3003"/>
      <c r="K7" s="3003"/>
      <c r="L7" s="3003"/>
      <c r="M7" s="3003"/>
      <c r="N7" s="3003"/>
      <c r="O7" s="3003"/>
      <c r="P7" s="3003"/>
      <c r="Q7" s="3003"/>
      <c r="R7" s="3003"/>
      <c r="S7" s="3003"/>
      <c r="T7" s="3003"/>
      <c r="U7" s="3003"/>
      <c r="V7" s="3004"/>
      <c r="W7" s="11"/>
    </row>
    <row r="8" spans="1:23" ht="86.25" customHeight="1" thickBot="1" x14ac:dyDescent="0.2">
      <c r="B8" s="3012" t="s">
        <v>694</v>
      </c>
      <c r="C8" s="3012"/>
      <c r="D8" s="3012"/>
      <c r="E8" s="3012"/>
      <c r="F8" s="3012"/>
      <c r="G8" s="3012"/>
      <c r="H8" s="3012"/>
      <c r="I8" s="3012"/>
      <c r="J8" s="3012"/>
      <c r="K8" s="3012"/>
      <c r="L8" s="3012"/>
      <c r="M8" s="3012"/>
      <c r="N8" s="3012"/>
      <c r="O8" s="3012"/>
      <c r="P8" s="3012"/>
      <c r="Q8" s="3012"/>
      <c r="R8" s="3012"/>
      <c r="S8" s="3012"/>
      <c r="T8" s="3012"/>
      <c r="U8" s="3012"/>
      <c r="V8" s="3012"/>
      <c r="W8" s="11"/>
    </row>
    <row r="9" spans="1:23" ht="45" customHeight="1" thickBot="1" x14ac:dyDescent="0.2">
      <c r="B9" s="17"/>
      <c r="C9" s="2969" t="s">
        <v>10</v>
      </c>
      <c r="D9" s="2970"/>
      <c r="E9" s="2970"/>
      <c r="F9" s="2970"/>
      <c r="G9" s="2970"/>
      <c r="H9" s="2970"/>
      <c r="I9" s="2969" t="s">
        <v>11</v>
      </c>
      <c r="J9" s="2970"/>
      <c r="K9" s="2970"/>
      <c r="L9" s="2970"/>
      <c r="M9" s="3026"/>
      <c r="N9" s="2975" t="s">
        <v>117</v>
      </c>
      <c r="O9" s="2975"/>
      <c r="P9" s="2976"/>
      <c r="Q9" s="2971" t="s">
        <v>9</v>
      </c>
      <c r="R9" s="2971"/>
      <c r="S9" s="2972"/>
      <c r="T9" s="2969" t="s">
        <v>12</v>
      </c>
      <c r="U9" s="2970"/>
      <c r="V9" s="3011"/>
      <c r="W9" s="11"/>
    </row>
    <row r="10" spans="1:23" ht="48.75" customHeight="1" x14ac:dyDescent="0.15">
      <c r="B10" s="65" t="s">
        <v>114</v>
      </c>
      <c r="C10" s="2977" t="s">
        <v>207</v>
      </c>
      <c r="D10" s="2978"/>
      <c r="E10" s="2964">
        <f>入力1!I48</f>
        <v>0</v>
      </c>
      <c r="F10" s="2964"/>
      <c r="G10" s="2979" t="s">
        <v>206</v>
      </c>
      <c r="H10" s="2980"/>
      <c r="I10" s="2963" t="str">
        <f>入力1!M48</f>
        <v>現金</v>
      </c>
      <c r="J10" s="2964"/>
      <c r="K10" s="2964"/>
      <c r="L10" s="2964"/>
      <c r="M10" s="2965"/>
      <c r="N10" s="2995">
        <f>入力1!P48</f>
        <v>0</v>
      </c>
      <c r="O10" s="2995"/>
      <c r="P10" s="2996"/>
      <c r="Q10" s="2984"/>
      <c r="R10" s="2985"/>
      <c r="S10" s="2986"/>
      <c r="T10" s="3018">
        <f>入力1!S48</f>
        <v>0</v>
      </c>
      <c r="U10" s="3019"/>
      <c r="V10" s="3020"/>
    </row>
    <row r="11" spans="1:23" ht="48.75" customHeight="1" x14ac:dyDescent="0.15">
      <c r="B11" s="65" t="s">
        <v>115</v>
      </c>
      <c r="C11" s="2973">
        <f>入力1!D49</f>
        <v>0</v>
      </c>
      <c r="D11" s="2974"/>
      <c r="E11" s="2974"/>
      <c r="F11" s="2974"/>
      <c r="G11" s="2974"/>
      <c r="H11" s="2974"/>
      <c r="I11" s="2966">
        <f>入力1!M49</f>
        <v>0</v>
      </c>
      <c r="J11" s="2967"/>
      <c r="K11" s="2967"/>
      <c r="L11" s="2967"/>
      <c r="M11" s="2968"/>
      <c r="N11" s="2997">
        <f>入力1!P49</f>
        <v>0</v>
      </c>
      <c r="O11" s="2997"/>
      <c r="P11" s="2998"/>
      <c r="Q11" s="2987"/>
      <c r="R11" s="2988"/>
      <c r="S11" s="2989"/>
      <c r="T11" s="3021">
        <f>入力1!S49</f>
        <v>0</v>
      </c>
      <c r="U11" s="3022"/>
      <c r="V11" s="3023"/>
      <c r="W11" s="11"/>
    </row>
    <row r="12" spans="1:23" ht="48.75" customHeight="1" thickBot="1" x14ac:dyDescent="0.2">
      <c r="B12" s="67" t="s">
        <v>116</v>
      </c>
      <c r="C12" s="3024">
        <f>入力1!D50</f>
        <v>0</v>
      </c>
      <c r="D12" s="3025"/>
      <c r="E12" s="3025"/>
      <c r="F12" s="3025"/>
      <c r="G12" s="3025"/>
      <c r="H12" s="3025"/>
      <c r="I12" s="2981">
        <f>入力1!M50</f>
        <v>0</v>
      </c>
      <c r="J12" s="2982"/>
      <c r="K12" s="2982"/>
      <c r="L12" s="2982"/>
      <c r="M12" s="2983"/>
      <c r="N12" s="2993">
        <f>入力1!P50</f>
        <v>0</v>
      </c>
      <c r="O12" s="2993"/>
      <c r="P12" s="2994"/>
      <c r="Q12" s="2990"/>
      <c r="R12" s="2991"/>
      <c r="S12" s="2992"/>
      <c r="T12" s="2999">
        <f>入力1!S50</f>
        <v>0</v>
      </c>
      <c r="U12" s="3000"/>
      <c r="V12" s="3001"/>
    </row>
    <row r="13" spans="1:23" s="322" customFormat="1" ht="22.5" customHeight="1" x14ac:dyDescent="0.15">
      <c r="B13" s="323"/>
      <c r="C13" s="324"/>
      <c r="D13" s="324"/>
      <c r="E13" s="324"/>
      <c r="F13" s="324"/>
      <c r="G13" s="324"/>
      <c r="H13" s="324"/>
      <c r="I13" s="325"/>
      <c r="J13" s="325"/>
      <c r="K13" s="325"/>
      <c r="L13" s="325"/>
      <c r="M13" s="325"/>
      <c r="N13" s="326"/>
      <c r="O13" s="326"/>
      <c r="P13" s="326"/>
      <c r="Q13" s="983"/>
      <c r="R13" s="983"/>
      <c r="S13" s="983"/>
      <c r="T13" s="327"/>
      <c r="U13" s="327"/>
      <c r="V13" s="327"/>
    </row>
    <row r="14" spans="1:23" ht="210" customHeight="1" x14ac:dyDescent="0.15">
      <c r="B14" s="3006" t="s">
        <v>698</v>
      </c>
      <c r="C14" s="3007"/>
      <c r="D14" s="3007"/>
      <c r="E14" s="3007"/>
      <c r="F14" s="3007"/>
      <c r="G14" s="3007"/>
      <c r="H14" s="3007"/>
      <c r="I14" s="3007"/>
      <c r="J14" s="3007"/>
      <c r="K14" s="3007"/>
      <c r="L14" s="3007"/>
      <c r="M14" s="3007"/>
      <c r="N14" s="3007"/>
      <c r="O14" s="3007"/>
      <c r="P14" s="3007"/>
      <c r="Q14" s="3007"/>
      <c r="R14" s="3007"/>
      <c r="S14" s="3007"/>
      <c r="T14" s="3007"/>
      <c r="U14" s="3007"/>
      <c r="V14" s="3007"/>
    </row>
    <row r="15" spans="1:23" ht="144" customHeight="1" x14ac:dyDescent="0.15">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r+Z+Kv0Si3jCgY3QySEE5oRflWiim3QMCYgSMx2f8AQJ87puMe/2ve/eiRxQOmyJyY0OpXk9I+uzs0a1uAg/pw==" saltValue="CVivPaYi/ro+R7hQBpS/1w==" spinCount="100000" sheet="1" selectLockedCells="1"/>
  <mergeCells count="35">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 ref="I12:M12"/>
    <mergeCell ref="Q10:S10"/>
    <mergeCell ref="Q11:S11"/>
    <mergeCell ref="Q12:S12"/>
    <mergeCell ref="N12:P12"/>
    <mergeCell ref="N10:P10"/>
    <mergeCell ref="N11:P11"/>
    <mergeCell ref="D6:E6"/>
    <mergeCell ref="M6:N6"/>
    <mergeCell ref="U6:V6"/>
    <mergeCell ref="I10:M10"/>
    <mergeCell ref="I11:M11"/>
    <mergeCell ref="C9:H9"/>
    <mergeCell ref="Q9:S9"/>
    <mergeCell ref="C11:H11"/>
    <mergeCell ref="N9:P9"/>
    <mergeCell ref="C10:D10"/>
    <mergeCell ref="E10:F10"/>
    <mergeCell ref="G10:H10"/>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R67"/>
  <sheetViews>
    <sheetView showGridLines="0" view="pageBreakPreview" topLeftCell="A45" zoomScaleNormal="100" zoomScaleSheetLayoutView="100" workbookViewId="0">
      <selection activeCell="H74" sqref="H74:I74"/>
    </sheetView>
  </sheetViews>
  <sheetFormatPr defaultRowHeight="13.5" x14ac:dyDescent="0.1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x14ac:dyDescent="0.15">
      <c r="C1" s="3134" t="s">
        <v>292</v>
      </c>
      <c r="D1" s="3134"/>
      <c r="E1" s="3134"/>
      <c r="F1" s="3134"/>
      <c r="G1" s="3134"/>
      <c r="H1" s="3134"/>
      <c r="I1" s="3134"/>
      <c r="J1" s="3134"/>
      <c r="K1" s="3134"/>
      <c r="L1" s="3134"/>
      <c r="M1" s="3134"/>
      <c r="N1" s="3134"/>
      <c r="O1" s="3134"/>
      <c r="P1" s="3134"/>
      <c r="Q1" s="3134"/>
      <c r="R1" s="3134"/>
      <c r="S1" s="3134"/>
      <c r="T1" s="3134"/>
      <c r="U1" s="3134"/>
      <c r="V1" s="3134"/>
      <c r="W1" s="3134"/>
      <c r="X1" s="3134"/>
      <c r="Y1" s="3009" t="s">
        <v>5</v>
      </c>
      <c r="Z1" s="3009"/>
      <c r="AA1" s="3009"/>
      <c r="AB1" s="3009"/>
      <c r="AC1" s="3009"/>
      <c r="AD1" s="3009"/>
      <c r="AE1" s="3140"/>
      <c r="AF1" s="3140"/>
      <c r="AG1" s="3140" t="s">
        <v>118</v>
      </c>
      <c r="AH1" s="3140"/>
      <c r="AI1" s="3140"/>
      <c r="AJ1" s="3141">
        <f>入力1!AF2</f>
        <v>0</v>
      </c>
      <c r="AK1" s="3141"/>
      <c r="AL1" s="3141"/>
      <c r="AM1" s="3141"/>
      <c r="AN1" s="3141"/>
      <c r="AO1" s="72"/>
    </row>
    <row r="2" spans="1:44" ht="18.75" customHeight="1" x14ac:dyDescent="0.15">
      <c r="C2" s="3134"/>
      <c r="D2" s="3134"/>
      <c r="E2" s="3134"/>
      <c r="F2" s="3134"/>
      <c r="G2" s="3134"/>
      <c r="H2" s="3134"/>
      <c r="I2" s="3134"/>
      <c r="J2" s="3134"/>
      <c r="K2" s="3134"/>
      <c r="L2" s="3134"/>
      <c r="M2" s="3134"/>
      <c r="N2" s="3134"/>
      <c r="O2" s="3134"/>
      <c r="P2" s="3134"/>
      <c r="Q2" s="3134"/>
      <c r="R2" s="3134"/>
      <c r="S2" s="3134"/>
      <c r="T2" s="3134"/>
      <c r="U2" s="3134"/>
      <c r="V2" s="3134"/>
      <c r="W2" s="3134"/>
      <c r="X2" s="3134"/>
      <c r="Y2" s="3010" t="s">
        <v>6</v>
      </c>
      <c r="Z2" s="3010"/>
      <c r="AA2" s="3010"/>
      <c r="AB2" s="3010"/>
      <c r="AC2" s="3010"/>
      <c r="AD2" s="3010"/>
      <c r="AE2" s="3017" t="s">
        <v>401</v>
      </c>
      <c r="AF2" s="3017"/>
      <c r="AG2" s="3017"/>
      <c r="AH2" s="3017"/>
      <c r="AI2" s="3017"/>
      <c r="AJ2" s="3017"/>
      <c r="AK2" s="3017"/>
      <c r="AL2" s="3017"/>
      <c r="AM2" s="3017"/>
      <c r="AN2" s="3017"/>
      <c r="AO2" s="66"/>
    </row>
    <row r="3" spans="1:44" ht="3.75" customHeight="1" x14ac:dyDescent="0.15">
      <c r="B3" s="284"/>
      <c r="C3" s="284"/>
      <c r="D3" s="292"/>
      <c r="E3" s="18"/>
      <c r="F3" s="18"/>
      <c r="G3" s="18"/>
      <c r="H3" s="16"/>
      <c r="I3" s="20"/>
      <c r="J3" s="291"/>
      <c r="K3" s="292"/>
      <c r="L3" s="292"/>
      <c r="M3" s="292"/>
      <c r="N3" s="292"/>
      <c r="O3" s="15"/>
      <c r="P3" s="15"/>
      <c r="Q3" s="18"/>
      <c r="R3" s="18"/>
      <c r="S3" s="15"/>
      <c r="T3" s="18"/>
      <c r="U3" s="18"/>
      <c r="V3" s="18"/>
      <c r="W3" s="18"/>
      <c r="X3" s="292"/>
      <c r="Y3" s="292"/>
      <c r="Z3" s="18"/>
      <c r="AA3" s="16"/>
      <c r="AB3" s="16"/>
      <c r="AC3" s="290"/>
      <c r="AD3" s="290"/>
      <c r="AE3" s="290"/>
      <c r="AF3" s="16"/>
      <c r="AG3" s="16"/>
      <c r="AH3" s="16"/>
      <c r="AI3" s="16"/>
      <c r="AJ3" s="16"/>
      <c r="AK3" s="16"/>
      <c r="AL3" s="16"/>
      <c r="AM3" s="16"/>
      <c r="AN3" s="16"/>
      <c r="AO3" s="14"/>
    </row>
    <row r="4" spans="1:44" ht="22.5" customHeight="1" x14ac:dyDescent="0.15">
      <c r="A4" s="2"/>
      <c r="B4" s="3063" t="s">
        <v>135</v>
      </c>
      <c r="C4" s="3064"/>
      <c r="D4" s="3065"/>
      <c r="E4" s="3042" t="str">
        <f>入力1!G24&amp;" 年"</f>
        <v xml:space="preserve"> 年</v>
      </c>
      <c r="F4" s="3043"/>
      <c r="G4" s="3043"/>
      <c r="H4" s="3043"/>
      <c r="I4" s="3043">
        <f>入力1!F64</f>
        <v>0</v>
      </c>
      <c r="J4" s="3142"/>
      <c r="K4" s="3143" t="s">
        <v>295</v>
      </c>
      <c r="L4" s="3143"/>
      <c r="M4" s="3144">
        <f>入力1!H64</f>
        <v>0</v>
      </c>
      <c r="N4" s="3144"/>
      <c r="O4" s="3034" t="s">
        <v>382</v>
      </c>
      <c r="P4" s="3034"/>
      <c r="Q4" s="3035" t="str">
        <f>入力1!J64</f>
        <v/>
      </c>
      <c r="R4" s="3035"/>
      <c r="S4" s="469" t="s">
        <v>381</v>
      </c>
      <c r="T4" s="3035" t="str">
        <f>入力1!L64</f>
        <v/>
      </c>
      <c r="U4" s="3035"/>
      <c r="V4" s="3027" t="s">
        <v>383</v>
      </c>
      <c r="W4" s="3027"/>
      <c r="X4" s="3029" t="s">
        <v>384</v>
      </c>
      <c r="Y4" s="3029"/>
      <c r="Z4" s="3044" t="str">
        <f>入力1!O64</f>
        <v/>
      </c>
      <c r="AA4" s="3044"/>
      <c r="AB4" s="3145" t="s">
        <v>295</v>
      </c>
      <c r="AC4" s="3145"/>
      <c r="AD4" s="3146" t="str">
        <f>入力1!Q64</f>
        <v/>
      </c>
      <c r="AE4" s="3146"/>
      <c r="AF4" s="3034" t="s">
        <v>382</v>
      </c>
      <c r="AG4" s="3034"/>
      <c r="AH4" s="3035" t="str">
        <f>入力1!S64</f>
        <v/>
      </c>
      <c r="AI4" s="3035"/>
      <c r="AJ4" s="469" t="s">
        <v>381</v>
      </c>
      <c r="AK4" s="3035" t="str">
        <f>入力1!U64</f>
        <v/>
      </c>
      <c r="AL4" s="3035"/>
      <c r="AM4" s="3027" t="s">
        <v>383</v>
      </c>
      <c r="AN4" s="3028"/>
    </row>
    <row r="5" spans="1:44" ht="22.5" customHeight="1" x14ac:dyDescent="0.15">
      <c r="A5" s="2"/>
      <c r="B5" s="3066" t="s">
        <v>7</v>
      </c>
      <c r="C5" s="3067"/>
      <c r="D5" s="3068"/>
      <c r="E5" s="3036" t="str">
        <f>入力1!B7</f>
        <v/>
      </c>
      <c r="F5" s="3037"/>
      <c r="G5" s="3037"/>
      <c r="H5" s="3037"/>
      <c r="I5" s="3037"/>
      <c r="J5" s="3037"/>
      <c r="K5" s="3037"/>
      <c r="L5" s="3037"/>
      <c r="M5" s="3037"/>
      <c r="N5" s="3037"/>
      <c r="O5" s="3037"/>
      <c r="P5" s="3037"/>
      <c r="Q5" s="3037"/>
      <c r="R5" s="3037"/>
      <c r="S5" s="3037"/>
      <c r="T5" s="3037"/>
      <c r="U5" s="3037"/>
      <c r="V5" s="3038"/>
      <c r="W5" s="3039" t="s">
        <v>8</v>
      </c>
      <c r="X5" s="3040"/>
      <c r="Y5" s="3040"/>
      <c r="Z5" s="3040"/>
      <c r="AA5" s="3040"/>
      <c r="AB5" s="3040"/>
      <c r="AC5" s="3036">
        <f>入力1!Q16</f>
        <v>0</v>
      </c>
      <c r="AD5" s="3037"/>
      <c r="AE5" s="3037"/>
      <c r="AF5" s="3037"/>
      <c r="AG5" s="3037"/>
      <c r="AH5" s="3037"/>
      <c r="AI5" s="3037"/>
      <c r="AJ5" s="3037"/>
      <c r="AK5" s="3037"/>
      <c r="AL5" s="3037"/>
      <c r="AM5" s="3037"/>
      <c r="AN5" s="3038"/>
      <c r="AO5" s="24"/>
      <c r="AQ5" s="277"/>
    </row>
    <row r="6" spans="1:44" ht="13.5" customHeight="1" x14ac:dyDescent="0.15">
      <c r="A6" s="2"/>
      <c r="B6" s="3069" t="s">
        <v>136</v>
      </c>
      <c r="C6" s="3070"/>
      <c r="D6" s="3071"/>
      <c r="E6" s="3152" t="s">
        <v>134</v>
      </c>
      <c r="F6" s="3153"/>
      <c r="G6" s="3045">
        <f>入力1!G18</f>
        <v>0</v>
      </c>
      <c r="H6" s="3045"/>
      <c r="I6" s="3045"/>
      <c r="J6" s="3046" t="s">
        <v>18</v>
      </c>
      <c r="K6" s="3046"/>
      <c r="L6" s="3045">
        <f>入力1!I18</f>
        <v>0</v>
      </c>
      <c r="M6" s="3045"/>
      <c r="N6" s="3045"/>
      <c r="O6" s="3045"/>
      <c r="P6" s="73"/>
      <c r="Q6" s="73"/>
      <c r="R6" s="75"/>
      <c r="S6" s="75"/>
      <c r="T6" s="75"/>
      <c r="U6" s="76"/>
      <c r="V6" s="3030" t="s">
        <v>137</v>
      </c>
      <c r="W6" s="3030"/>
      <c r="X6" s="3030"/>
      <c r="Y6" s="3031">
        <f>入力1!Q21</f>
        <v>0</v>
      </c>
      <c r="Z6" s="3031"/>
      <c r="AA6" s="3031"/>
      <c r="AB6" s="3031"/>
      <c r="AC6" s="3032" t="s">
        <v>385</v>
      </c>
      <c r="AD6" s="3032"/>
      <c r="AE6" s="3033">
        <f>入力1!T21</f>
        <v>0</v>
      </c>
      <c r="AF6" s="3033"/>
      <c r="AG6" s="3033"/>
      <c r="AH6" s="3033"/>
      <c r="AI6" s="3032" t="s">
        <v>16</v>
      </c>
      <c r="AJ6" s="3032"/>
      <c r="AK6" s="3033">
        <f>入力1!W21</f>
        <v>0</v>
      </c>
      <c r="AL6" s="3033"/>
      <c r="AM6" s="3033"/>
      <c r="AN6" s="3041"/>
      <c r="AO6" s="24"/>
    </row>
    <row r="7" spans="1:44" ht="15" customHeight="1" x14ac:dyDescent="0.15">
      <c r="A7" s="2"/>
      <c r="B7" s="3072"/>
      <c r="C7" s="3073"/>
      <c r="D7" s="3074"/>
      <c r="E7" s="3149" t="str">
        <f>IF(入力1!L18&lt;&gt;"","　"&amp;入力1!L18&amp;入力1!N18&amp;入力1!O18,"")</f>
        <v/>
      </c>
      <c r="F7" s="3150"/>
      <c r="G7" s="3150"/>
      <c r="H7" s="3150"/>
      <c r="I7" s="3150"/>
      <c r="J7" s="3150"/>
      <c r="K7" s="3150"/>
      <c r="L7" s="3150"/>
      <c r="M7" s="3150"/>
      <c r="N7" s="3150"/>
      <c r="O7" s="3150"/>
      <c r="P7" s="3150"/>
      <c r="Q7" s="3150"/>
      <c r="R7" s="3150"/>
      <c r="S7" s="3150"/>
      <c r="T7" s="3150"/>
      <c r="U7" s="3150"/>
      <c r="V7" s="3150"/>
      <c r="W7" s="3150"/>
      <c r="X7" s="3150"/>
      <c r="Y7" s="3150"/>
      <c r="Z7" s="3150"/>
      <c r="AA7" s="3150"/>
      <c r="AB7" s="3150"/>
      <c r="AC7" s="3150"/>
      <c r="AD7" s="3150"/>
      <c r="AE7" s="3150"/>
      <c r="AF7" s="3150"/>
      <c r="AG7" s="3150"/>
      <c r="AH7" s="3150"/>
      <c r="AI7" s="3150"/>
      <c r="AJ7" s="3150"/>
      <c r="AK7" s="3150"/>
      <c r="AL7" s="3150"/>
      <c r="AM7" s="3150"/>
      <c r="AN7" s="3151"/>
      <c r="AO7" s="24"/>
      <c r="AP7" s="2"/>
    </row>
    <row r="8" spans="1:44" ht="2.25" customHeight="1" x14ac:dyDescent="0.15">
      <c r="X8" s="2"/>
      <c r="Y8" s="2"/>
      <c r="Z8" s="2"/>
      <c r="AA8" s="2"/>
      <c r="AB8" s="2"/>
      <c r="AC8" s="2"/>
      <c r="AD8" s="2"/>
      <c r="AE8" s="2"/>
      <c r="AF8" s="2"/>
      <c r="AG8" s="2"/>
      <c r="AH8" s="2"/>
      <c r="AI8" s="289"/>
      <c r="AJ8" s="288"/>
      <c r="AK8" s="288"/>
      <c r="AL8" s="288"/>
      <c r="AM8" s="288"/>
      <c r="AN8" s="89"/>
      <c r="AO8" s="89"/>
      <c r="AP8" s="2"/>
    </row>
    <row r="9" spans="1:44" s="68" customFormat="1" ht="16.5" customHeight="1" x14ac:dyDescent="0.15">
      <c r="A9" s="70"/>
      <c r="B9" s="3139" t="s">
        <v>299</v>
      </c>
      <c r="C9" s="3139"/>
      <c r="D9" s="3139"/>
      <c r="E9" s="3139"/>
      <c r="F9" s="3139"/>
      <c r="G9" s="3139"/>
      <c r="H9" s="3139"/>
      <c r="I9" s="3139"/>
      <c r="J9" s="3139"/>
      <c r="K9" s="3148" t="s">
        <v>298</v>
      </c>
      <c r="L9" s="3148"/>
      <c r="M9" s="3148"/>
      <c r="N9" s="3148"/>
      <c r="O9" s="3148"/>
      <c r="P9" s="3148"/>
      <c r="Q9" s="3148"/>
      <c r="R9" s="3148"/>
      <c r="S9" s="3148"/>
      <c r="T9" s="3148"/>
      <c r="U9" s="3148"/>
      <c r="V9" s="3148"/>
      <c r="W9" s="3137" t="s">
        <v>15</v>
      </c>
      <c r="X9" s="3137"/>
      <c r="Y9" s="3138" t="str">
        <f>IF(入力1!H61="あり","○","")</f>
        <v/>
      </c>
      <c r="Z9" s="3138"/>
      <c r="AA9" s="1128" t="s">
        <v>16</v>
      </c>
      <c r="AB9" s="3147" t="s">
        <v>397</v>
      </c>
      <c r="AC9" s="3147"/>
      <c r="AD9" s="3147"/>
      <c r="AE9" s="3137" t="s">
        <v>396</v>
      </c>
      <c r="AF9" s="3137"/>
      <c r="AG9" s="3138" t="str">
        <f>IF(入力1!H61="なし","○","")</f>
        <v/>
      </c>
      <c r="AH9" s="3138"/>
      <c r="AI9" s="1128" t="s">
        <v>16</v>
      </c>
      <c r="AJ9" s="3147" t="s">
        <v>398</v>
      </c>
      <c r="AK9" s="3147"/>
      <c r="AL9" s="3147"/>
      <c r="AM9" s="3147"/>
      <c r="AN9" s="1129"/>
      <c r="AO9" s="295"/>
    </row>
    <row r="10" spans="1:44" s="68" customFormat="1" ht="16.5" customHeight="1" x14ac:dyDescent="0.15">
      <c r="A10" s="70"/>
      <c r="B10" s="3223" t="s">
        <v>572</v>
      </c>
      <c r="C10" s="3223"/>
      <c r="D10" s="3223"/>
      <c r="E10" s="3223"/>
      <c r="F10" s="3223"/>
      <c r="G10" s="3223"/>
      <c r="H10" s="3223"/>
      <c r="I10" s="3223"/>
      <c r="J10" s="3223"/>
      <c r="K10" s="1127"/>
      <c r="L10" s="1127"/>
      <c r="M10" s="1127"/>
      <c r="N10" s="1127"/>
      <c r="O10" s="1127"/>
      <c r="P10" s="1127"/>
      <c r="Q10" s="1127"/>
      <c r="R10" s="1127"/>
      <c r="S10" s="1127"/>
      <c r="T10" s="1127"/>
      <c r="U10" s="1127"/>
      <c r="V10" s="1127"/>
      <c r="W10" s="3137" t="s">
        <v>568</v>
      </c>
      <c r="X10" s="3137"/>
      <c r="Y10" s="3138" t="str">
        <f>IF(入力1!F95="あり","○","")</f>
        <v/>
      </c>
      <c r="Z10" s="3138"/>
      <c r="AA10" s="294" t="s">
        <v>16</v>
      </c>
      <c r="AB10" s="3147" t="s">
        <v>569</v>
      </c>
      <c r="AC10" s="3147"/>
      <c r="AD10" s="3147"/>
      <c r="AE10" s="3137" t="s">
        <v>570</v>
      </c>
      <c r="AF10" s="3137"/>
      <c r="AG10" s="3138" t="str">
        <f>IF(入力1!F95="なし","○","")</f>
        <v>○</v>
      </c>
      <c r="AH10" s="3138"/>
      <c r="AI10" s="294" t="s">
        <v>571</v>
      </c>
      <c r="AJ10" s="3147" t="s">
        <v>398</v>
      </c>
      <c r="AK10" s="3147"/>
      <c r="AL10" s="3147"/>
      <c r="AM10" s="3147"/>
      <c r="AN10" s="295"/>
      <c r="AO10" s="295"/>
    </row>
    <row r="11" spans="1:44" s="68" customFormat="1" ht="13.5" customHeight="1" x14ac:dyDescent="0.15">
      <c r="A11" s="70"/>
      <c r="B11" s="3075" t="s">
        <v>122</v>
      </c>
      <c r="C11" s="3076"/>
      <c r="D11" s="3077"/>
      <c r="E11" s="3088" t="s">
        <v>119</v>
      </c>
      <c r="F11" s="3089"/>
      <c r="G11" s="3089"/>
      <c r="H11" s="3089"/>
      <c r="I11" s="3089"/>
      <c r="J11" s="3089"/>
      <c r="K11" s="3089"/>
      <c r="L11" s="3089"/>
      <c r="M11" s="3089"/>
      <c r="N11" s="3089"/>
      <c r="O11" s="3089"/>
      <c r="P11" s="3135"/>
      <c r="Q11" s="3136" t="s">
        <v>120</v>
      </c>
      <c r="R11" s="3089"/>
      <c r="S11" s="3089"/>
      <c r="T11" s="3089"/>
      <c r="U11" s="3089"/>
      <c r="V11" s="3089"/>
      <c r="W11" s="3089"/>
      <c r="X11" s="3089"/>
      <c r="Y11" s="3089"/>
      <c r="Z11" s="3089"/>
      <c r="AA11" s="3089"/>
      <c r="AB11" s="3135"/>
      <c r="AC11" s="3089" t="s">
        <v>121</v>
      </c>
      <c r="AD11" s="3089"/>
      <c r="AE11" s="3089"/>
      <c r="AF11" s="3089"/>
      <c r="AG11" s="3089"/>
      <c r="AH11" s="3089"/>
      <c r="AI11" s="3089"/>
      <c r="AJ11" s="3089"/>
      <c r="AK11" s="3089"/>
      <c r="AL11" s="3089"/>
      <c r="AM11" s="3089"/>
      <c r="AN11" s="3090"/>
      <c r="AO11" s="70"/>
    </row>
    <row r="12" spans="1:44" s="68" customFormat="1" ht="13.5" customHeight="1" x14ac:dyDescent="0.15">
      <c r="A12" s="70"/>
      <c r="B12" s="3078"/>
      <c r="C12" s="3079"/>
      <c r="D12" s="3080"/>
      <c r="E12" s="3088" t="s">
        <v>123</v>
      </c>
      <c r="F12" s="3089"/>
      <c r="G12" s="3089"/>
      <c r="H12" s="3089"/>
      <c r="I12" s="3089"/>
      <c r="J12" s="3089"/>
      <c r="K12" s="3089"/>
      <c r="L12" s="3089"/>
      <c r="M12" s="3090"/>
      <c r="N12" s="3154" t="s">
        <v>124</v>
      </c>
      <c r="O12" s="3155"/>
      <c r="P12" s="3156"/>
      <c r="Q12" s="3160" t="s">
        <v>123</v>
      </c>
      <c r="R12" s="3160"/>
      <c r="S12" s="3160"/>
      <c r="T12" s="3160"/>
      <c r="U12" s="3160"/>
      <c r="V12" s="3160"/>
      <c r="W12" s="3160"/>
      <c r="X12" s="3160"/>
      <c r="Y12" s="3161"/>
      <c r="Z12" s="3154" t="s">
        <v>124</v>
      </c>
      <c r="AA12" s="3155"/>
      <c r="AB12" s="3156"/>
      <c r="AC12" s="3136" t="s">
        <v>123</v>
      </c>
      <c r="AD12" s="3089"/>
      <c r="AE12" s="3089"/>
      <c r="AF12" s="3089"/>
      <c r="AG12" s="3089"/>
      <c r="AH12" s="3089"/>
      <c r="AI12" s="3089"/>
      <c r="AJ12" s="3089"/>
      <c r="AK12" s="3090"/>
      <c r="AL12" s="3154" t="s">
        <v>124</v>
      </c>
      <c r="AM12" s="3155"/>
      <c r="AN12" s="3162"/>
    </row>
    <row r="13" spans="1:44" s="68" customFormat="1" ht="21" customHeight="1" x14ac:dyDescent="0.15">
      <c r="A13" s="70"/>
      <c r="B13" s="3078"/>
      <c r="C13" s="3079"/>
      <c r="D13" s="3080"/>
      <c r="E13" s="3094" t="s">
        <v>668</v>
      </c>
      <c r="F13" s="3095"/>
      <c r="G13" s="3096"/>
      <c r="H13" s="3094" t="s">
        <v>669</v>
      </c>
      <c r="I13" s="3095"/>
      <c r="J13" s="3096"/>
      <c r="K13" s="3097" t="s">
        <v>83</v>
      </c>
      <c r="L13" s="3098"/>
      <c r="M13" s="3099"/>
      <c r="N13" s="3157"/>
      <c r="O13" s="3158"/>
      <c r="P13" s="3159"/>
      <c r="Q13" s="3095" t="s">
        <v>668</v>
      </c>
      <c r="R13" s="3095"/>
      <c r="S13" s="3096"/>
      <c r="T13" s="3094" t="s">
        <v>669</v>
      </c>
      <c r="U13" s="3095"/>
      <c r="V13" s="3096"/>
      <c r="W13" s="3097" t="s">
        <v>83</v>
      </c>
      <c r="X13" s="3098"/>
      <c r="Y13" s="3099"/>
      <c r="Z13" s="3157"/>
      <c r="AA13" s="3158"/>
      <c r="AB13" s="3159"/>
      <c r="AC13" s="3095" t="s">
        <v>668</v>
      </c>
      <c r="AD13" s="3095"/>
      <c r="AE13" s="3096"/>
      <c r="AF13" s="3094" t="s">
        <v>669</v>
      </c>
      <c r="AG13" s="3095"/>
      <c r="AH13" s="3096"/>
      <c r="AI13" s="3097" t="s">
        <v>83</v>
      </c>
      <c r="AJ13" s="3098"/>
      <c r="AK13" s="3099"/>
      <c r="AL13" s="3157"/>
      <c r="AM13" s="3158"/>
      <c r="AN13" s="3163"/>
      <c r="AR13" s="167"/>
    </row>
    <row r="14" spans="1:44" s="68" customFormat="1" ht="11.25" customHeight="1" thickBot="1" x14ac:dyDescent="0.2">
      <c r="A14" s="70"/>
      <c r="B14" s="3081"/>
      <c r="C14" s="3082"/>
      <c r="D14" s="3083"/>
      <c r="E14" s="3091" t="str">
        <f>入力1!$F$68</f>
        <v>無料</v>
      </c>
      <c r="F14" s="3092"/>
      <c r="G14" s="3093"/>
      <c r="H14" s="3091" t="str">
        <f>入力1!$F$69</f>
        <v>430円</v>
      </c>
      <c r="I14" s="3092"/>
      <c r="J14" s="3093"/>
      <c r="K14" s="3091" t="str">
        <f>入力1!$F$70</f>
        <v>550円</v>
      </c>
      <c r="L14" s="3092"/>
      <c r="M14" s="3093"/>
      <c r="N14" s="3091" t="str">
        <f>入力1!$F$71</f>
        <v>670円</v>
      </c>
      <c r="O14" s="3092"/>
      <c r="P14" s="3092"/>
      <c r="Q14" s="3119" t="str">
        <f>入力1!$F$72</f>
        <v>無料</v>
      </c>
      <c r="R14" s="3092"/>
      <c r="S14" s="3093"/>
      <c r="T14" s="3091" t="str">
        <f>入力1!$F$73</f>
        <v>460円</v>
      </c>
      <c r="U14" s="3092"/>
      <c r="V14" s="3093"/>
      <c r="W14" s="3091" t="str">
        <f>入力1!$F$74</f>
        <v>600円</v>
      </c>
      <c r="X14" s="3092"/>
      <c r="Y14" s="3093"/>
      <c r="Z14" s="3091" t="str">
        <f>入力1!$F$75</f>
        <v>700円</v>
      </c>
      <c r="AA14" s="3092"/>
      <c r="AB14" s="3222"/>
      <c r="AC14" s="3092" t="str">
        <f>入力1!$F$77</f>
        <v>無料</v>
      </c>
      <c r="AD14" s="3092"/>
      <c r="AE14" s="3093"/>
      <c r="AF14" s="3091" t="str">
        <f>入力1!$F$78</f>
        <v>510円</v>
      </c>
      <c r="AG14" s="3092"/>
      <c r="AH14" s="3093"/>
      <c r="AI14" s="3091" t="str">
        <f>入力1!$F$79</f>
        <v>860円</v>
      </c>
      <c r="AJ14" s="3092"/>
      <c r="AK14" s="3093"/>
      <c r="AL14" s="3091" t="str">
        <f>入力1!$F$80</f>
        <v>1,120円</v>
      </c>
      <c r="AM14" s="3092"/>
      <c r="AN14" s="3093"/>
    </row>
    <row r="15" spans="1:44" s="68" customFormat="1" ht="12" customHeight="1" thickTop="1" x14ac:dyDescent="0.15">
      <c r="A15" s="70"/>
      <c r="B15" s="3055" t="str">
        <f>入力1!I66</f>
        <v/>
      </c>
      <c r="C15" s="3056"/>
      <c r="D15" s="3100" t="s">
        <v>294</v>
      </c>
      <c r="E15" s="3114" t="s">
        <v>130</v>
      </c>
      <c r="F15" s="3115"/>
      <c r="G15" s="3116"/>
      <c r="H15" s="3114" t="s">
        <v>130</v>
      </c>
      <c r="I15" s="3115"/>
      <c r="J15" s="3116"/>
      <c r="K15" s="3114" t="s">
        <v>130</v>
      </c>
      <c r="L15" s="3115"/>
      <c r="M15" s="3116"/>
      <c r="N15" s="3114" t="s">
        <v>130</v>
      </c>
      <c r="O15" s="3115"/>
      <c r="P15" s="3117"/>
      <c r="Q15" s="3114" t="s">
        <v>130</v>
      </c>
      <c r="R15" s="3115"/>
      <c r="S15" s="3116"/>
      <c r="T15" s="3114" t="s">
        <v>130</v>
      </c>
      <c r="U15" s="3115"/>
      <c r="V15" s="3116"/>
      <c r="W15" s="3114" t="s">
        <v>130</v>
      </c>
      <c r="X15" s="3115"/>
      <c r="Y15" s="3116"/>
      <c r="Z15" s="3114" t="s">
        <v>130</v>
      </c>
      <c r="AA15" s="3115"/>
      <c r="AB15" s="3117"/>
      <c r="AC15" s="3118" t="s">
        <v>130</v>
      </c>
      <c r="AD15" s="3115"/>
      <c r="AE15" s="3116"/>
      <c r="AF15" s="3114" t="s">
        <v>130</v>
      </c>
      <c r="AG15" s="3115"/>
      <c r="AH15" s="3116"/>
      <c r="AI15" s="3114" t="s">
        <v>130</v>
      </c>
      <c r="AJ15" s="3115"/>
      <c r="AK15" s="3116"/>
      <c r="AL15" s="3114" t="s">
        <v>130</v>
      </c>
      <c r="AM15" s="3115"/>
      <c r="AN15" s="3116"/>
    </row>
    <row r="16" spans="1:44" s="68" customFormat="1" ht="12" customHeight="1" x14ac:dyDescent="0.15">
      <c r="A16" s="70"/>
      <c r="B16" s="3047" t="s">
        <v>60</v>
      </c>
      <c r="C16" s="3048"/>
      <c r="D16" s="3100"/>
      <c r="E16" s="3101"/>
      <c r="F16" s="3102"/>
      <c r="G16" s="3103"/>
      <c r="H16" s="3101"/>
      <c r="I16" s="3102"/>
      <c r="J16" s="3103"/>
      <c r="K16" s="3101"/>
      <c r="L16" s="3102"/>
      <c r="M16" s="3103"/>
      <c r="N16" s="3101"/>
      <c r="O16" s="3102"/>
      <c r="P16" s="3128"/>
      <c r="Q16" s="3129">
        <f>入力1!H72</f>
        <v>0</v>
      </c>
      <c r="R16" s="3102"/>
      <c r="S16" s="3103"/>
      <c r="T16" s="3101">
        <f>入力1!H73</f>
        <v>0</v>
      </c>
      <c r="U16" s="3102"/>
      <c r="V16" s="3103"/>
      <c r="W16" s="3101">
        <f>入力1!H74</f>
        <v>0</v>
      </c>
      <c r="X16" s="3102"/>
      <c r="Y16" s="3103"/>
      <c r="Z16" s="3101">
        <f>入力1!H75</f>
        <v>0</v>
      </c>
      <c r="AA16" s="3102"/>
      <c r="AB16" s="3128"/>
      <c r="AC16" s="3129">
        <f>入力1!H77</f>
        <v>0</v>
      </c>
      <c r="AD16" s="3102"/>
      <c r="AE16" s="3103"/>
      <c r="AF16" s="3101">
        <f>入力1!H78</f>
        <v>0</v>
      </c>
      <c r="AG16" s="3102"/>
      <c r="AH16" s="3103"/>
      <c r="AI16" s="3101">
        <f>入力1!H79</f>
        <v>0</v>
      </c>
      <c r="AJ16" s="3102"/>
      <c r="AK16" s="3103"/>
      <c r="AL16" s="3101">
        <f>入力1!H80</f>
        <v>0</v>
      </c>
      <c r="AM16" s="3102"/>
      <c r="AN16" s="3103"/>
    </row>
    <row r="17" spans="1:41" s="68" customFormat="1" ht="12" customHeight="1" thickBot="1" x14ac:dyDescent="0.2">
      <c r="A17" s="70"/>
      <c r="B17" s="3049" t="str">
        <f>入力1!I66</f>
        <v/>
      </c>
      <c r="C17" s="3050"/>
      <c r="D17" s="3100"/>
      <c r="E17" s="3101"/>
      <c r="F17" s="3102"/>
      <c r="G17" s="3103"/>
      <c r="H17" s="3101"/>
      <c r="I17" s="3102"/>
      <c r="J17" s="3103"/>
      <c r="K17" s="3101"/>
      <c r="L17" s="3102"/>
      <c r="M17" s="3103"/>
      <c r="N17" s="3101"/>
      <c r="O17" s="3102"/>
      <c r="P17" s="3128"/>
      <c r="Q17" s="3129"/>
      <c r="R17" s="3102"/>
      <c r="S17" s="3103"/>
      <c r="T17" s="3202"/>
      <c r="U17" s="3203"/>
      <c r="V17" s="3204"/>
      <c r="W17" s="3202"/>
      <c r="X17" s="3203"/>
      <c r="Y17" s="3204"/>
      <c r="Z17" s="3202"/>
      <c r="AA17" s="3203"/>
      <c r="AB17" s="3205"/>
      <c r="AC17" s="3206"/>
      <c r="AD17" s="3203"/>
      <c r="AE17" s="3204"/>
      <c r="AF17" s="3202"/>
      <c r="AG17" s="3203"/>
      <c r="AH17" s="3204"/>
      <c r="AI17" s="3202"/>
      <c r="AJ17" s="3203"/>
      <c r="AK17" s="3204"/>
      <c r="AL17" s="3202"/>
      <c r="AM17" s="3203"/>
      <c r="AN17" s="3204"/>
    </row>
    <row r="18" spans="1:41" s="68" customFormat="1" ht="12" customHeight="1" x14ac:dyDescent="0.15">
      <c r="A18" s="70"/>
      <c r="B18" s="3084" t="str">
        <f>"日("&amp;TEXT(入力1!I66,"aaa")&amp;")"</f>
        <v>日()</v>
      </c>
      <c r="C18" s="3085"/>
      <c r="D18" s="3106" t="s">
        <v>293</v>
      </c>
      <c r="E18" s="3108"/>
      <c r="F18" s="3109"/>
      <c r="G18" s="3110"/>
      <c r="H18" s="3108"/>
      <c r="I18" s="3109"/>
      <c r="J18" s="3109"/>
      <c r="K18" s="3108"/>
      <c r="L18" s="3109"/>
      <c r="M18" s="3109"/>
      <c r="N18" s="3108"/>
      <c r="O18" s="3109"/>
      <c r="P18" s="3126"/>
      <c r="Q18" s="3109">
        <f>入力1!J72</f>
        <v>0</v>
      </c>
      <c r="R18" s="3109"/>
      <c r="S18" s="3109"/>
      <c r="T18" s="3108">
        <f>入力1!J73</f>
        <v>0</v>
      </c>
      <c r="U18" s="3109"/>
      <c r="V18" s="3109"/>
      <c r="W18" s="3108">
        <f>入力1!J74</f>
        <v>0</v>
      </c>
      <c r="X18" s="3109"/>
      <c r="Y18" s="3109"/>
      <c r="Z18" s="3108">
        <f>入力1!J75</f>
        <v>0</v>
      </c>
      <c r="AA18" s="3109"/>
      <c r="AB18" s="3126"/>
      <c r="AC18" s="3109">
        <f>入力1!J77</f>
        <v>0</v>
      </c>
      <c r="AD18" s="3109"/>
      <c r="AE18" s="3109"/>
      <c r="AF18" s="3108">
        <f>入力1!J78</f>
        <v>0</v>
      </c>
      <c r="AG18" s="3109"/>
      <c r="AH18" s="3109"/>
      <c r="AI18" s="3108">
        <f>入力1!J79</f>
        <v>0</v>
      </c>
      <c r="AJ18" s="3109"/>
      <c r="AK18" s="3109"/>
      <c r="AL18" s="3108">
        <f>入力1!J80</f>
        <v>0</v>
      </c>
      <c r="AM18" s="3109"/>
      <c r="AN18" s="3109"/>
      <c r="AO18" s="157"/>
    </row>
    <row r="19" spans="1:41" s="68" customFormat="1" ht="10.5" customHeight="1" thickBot="1" x14ac:dyDescent="0.2">
      <c r="A19" s="70"/>
      <c r="B19" s="3084"/>
      <c r="C19" s="3085"/>
      <c r="D19" s="3107"/>
      <c r="E19" s="3111"/>
      <c r="F19" s="3112"/>
      <c r="G19" s="3113"/>
      <c r="H19" s="3111"/>
      <c r="I19" s="3112"/>
      <c r="J19" s="3112"/>
      <c r="K19" s="3111"/>
      <c r="L19" s="3112"/>
      <c r="M19" s="3112"/>
      <c r="N19" s="3111"/>
      <c r="O19" s="3112"/>
      <c r="P19" s="3127"/>
      <c r="Q19" s="3112"/>
      <c r="R19" s="3112"/>
      <c r="S19" s="3112"/>
      <c r="T19" s="3111"/>
      <c r="U19" s="3112"/>
      <c r="V19" s="3112"/>
      <c r="W19" s="3111"/>
      <c r="X19" s="3112"/>
      <c r="Y19" s="3112"/>
      <c r="Z19" s="3111"/>
      <c r="AA19" s="3112"/>
      <c r="AB19" s="3127"/>
      <c r="AC19" s="3112"/>
      <c r="AD19" s="3112"/>
      <c r="AE19" s="3112"/>
      <c r="AF19" s="3111"/>
      <c r="AG19" s="3112"/>
      <c r="AH19" s="3112"/>
      <c r="AI19" s="3111"/>
      <c r="AJ19" s="3112"/>
      <c r="AK19" s="3112"/>
      <c r="AL19" s="3111"/>
      <c r="AM19" s="3112"/>
      <c r="AN19" s="3112"/>
      <c r="AO19" s="157"/>
    </row>
    <row r="20" spans="1:41" s="68" customFormat="1" ht="12" customHeight="1" x14ac:dyDescent="0.15">
      <c r="A20" s="70"/>
      <c r="B20" s="3084"/>
      <c r="C20" s="3085"/>
      <c r="D20" s="3104" t="s">
        <v>567</v>
      </c>
      <c r="E20" s="3120"/>
      <c r="F20" s="3121"/>
      <c r="G20" s="3121"/>
      <c r="H20" s="3121"/>
      <c r="I20" s="3121"/>
      <c r="J20" s="3121"/>
      <c r="K20" s="3121"/>
      <c r="L20" s="3121"/>
      <c r="M20" s="3121"/>
      <c r="N20" s="3121"/>
      <c r="O20" s="3121"/>
      <c r="P20" s="3122"/>
      <c r="Q20" s="3130">
        <f>Q16+Q18</f>
        <v>0</v>
      </c>
      <c r="R20" s="3131"/>
      <c r="S20" s="3131"/>
      <c r="T20" s="3215">
        <f t="shared" ref="T20" si="0">T16+T18</f>
        <v>0</v>
      </c>
      <c r="U20" s="3131"/>
      <c r="V20" s="3216"/>
      <c r="W20" s="3215">
        <f t="shared" ref="W20" si="1">W16+W18</f>
        <v>0</v>
      </c>
      <c r="X20" s="3131"/>
      <c r="Y20" s="3216"/>
      <c r="Z20" s="3131">
        <f t="shared" ref="Z20" si="2">Z16+Z18</f>
        <v>0</v>
      </c>
      <c r="AA20" s="3131"/>
      <c r="AB20" s="3131"/>
      <c r="AC20" s="3130">
        <f t="shared" ref="AC20" si="3">AC16+AC18</f>
        <v>0</v>
      </c>
      <c r="AD20" s="3131"/>
      <c r="AE20" s="3131"/>
      <c r="AF20" s="3215">
        <f t="shared" ref="AF20" si="4">AF16+AF18</f>
        <v>0</v>
      </c>
      <c r="AG20" s="3131"/>
      <c r="AH20" s="3216"/>
      <c r="AI20" s="3215">
        <f t="shared" ref="AI20" si="5">AI16+AI18</f>
        <v>0</v>
      </c>
      <c r="AJ20" s="3131"/>
      <c r="AK20" s="3216"/>
      <c r="AL20" s="3131">
        <f t="shared" ref="AL20" si="6">AL16+AL18</f>
        <v>0</v>
      </c>
      <c r="AM20" s="3131"/>
      <c r="AN20" s="3131"/>
    </row>
    <row r="21" spans="1:41" s="68" customFormat="1" ht="10.5" customHeight="1" thickBot="1" x14ac:dyDescent="0.2">
      <c r="A21" s="70"/>
      <c r="B21" s="3086"/>
      <c r="C21" s="3087"/>
      <c r="D21" s="3105"/>
      <c r="E21" s="3123"/>
      <c r="F21" s="3124"/>
      <c r="G21" s="3124"/>
      <c r="H21" s="3124"/>
      <c r="I21" s="3124"/>
      <c r="J21" s="3124"/>
      <c r="K21" s="3124"/>
      <c r="L21" s="3124"/>
      <c r="M21" s="3124"/>
      <c r="N21" s="3124"/>
      <c r="O21" s="3124"/>
      <c r="P21" s="3125"/>
      <c r="Q21" s="3132"/>
      <c r="R21" s="3133"/>
      <c r="S21" s="3133"/>
      <c r="T21" s="3217"/>
      <c r="U21" s="3133"/>
      <c r="V21" s="3218"/>
      <c r="W21" s="3217"/>
      <c r="X21" s="3133"/>
      <c r="Y21" s="3218"/>
      <c r="Z21" s="3133"/>
      <c r="AA21" s="3133"/>
      <c r="AB21" s="3133"/>
      <c r="AC21" s="3132"/>
      <c r="AD21" s="3133"/>
      <c r="AE21" s="3133"/>
      <c r="AF21" s="3217"/>
      <c r="AG21" s="3133"/>
      <c r="AH21" s="3218"/>
      <c r="AI21" s="3217"/>
      <c r="AJ21" s="3133"/>
      <c r="AK21" s="3218"/>
      <c r="AL21" s="3133"/>
      <c r="AM21" s="3133"/>
      <c r="AN21" s="3133"/>
    </row>
    <row r="22" spans="1:41" s="68" customFormat="1" ht="12" customHeight="1" thickTop="1" x14ac:dyDescent="0.15">
      <c r="A22" s="70"/>
      <c r="B22" s="3055" t="str">
        <f>入力1!M66</f>
        <v/>
      </c>
      <c r="C22" s="3056"/>
      <c r="D22" s="3100" t="s">
        <v>294</v>
      </c>
      <c r="E22" s="3114" t="s">
        <v>130</v>
      </c>
      <c r="F22" s="3115"/>
      <c r="G22" s="3116"/>
      <c r="H22" s="3114" t="s">
        <v>130</v>
      </c>
      <c r="I22" s="3115"/>
      <c r="J22" s="3116"/>
      <c r="K22" s="3114" t="s">
        <v>130</v>
      </c>
      <c r="L22" s="3115"/>
      <c r="M22" s="3116"/>
      <c r="N22" s="3114" t="s">
        <v>130</v>
      </c>
      <c r="O22" s="3115"/>
      <c r="P22" s="3117"/>
      <c r="Q22" s="3114" t="s">
        <v>130</v>
      </c>
      <c r="R22" s="3115"/>
      <c r="S22" s="3116"/>
      <c r="T22" s="3114" t="s">
        <v>130</v>
      </c>
      <c r="U22" s="3115"/>
      <c r="V22" s="3116"/>
      <c r="W22" s="3114" t="s">
        <v>130</v>
      </c>
      <c r="X22" s="3115"/>
      <c r="Y22" s="3116"/>
      <c r="Z22" s="3114" t="s">
        <v>130</v>
      </c>
      <c r="AA22" s="3115"/>
      <c r="AB22" s="3117"/>
      <c r="AC22" s="3118" t="s">
        <v>130</v>
      </c>
      <c r="AD22" s="3115"/>
      <c r="AE22" s="3116"/>
      <c r="AF22" s="3114" t="s">
        <v>130</v>
      </c>
      <c r="AG22" s="3115"/>
      <c r="AH22" s="3116"/>
      <c r="AI22" s="3114" t="s">
        <v>130</v>
      </c>
      <c r="AJ22" s="3115"/>
      <c r="AK22" s="3116"/>
      <c r="AL22" s="3114" t="s">
        <v>130</v>
      </c>
      <c r="AM22" s="3115"/>
      <c r="AN22" s="3116"/>
    </row>
    <row r="23" spans="1:41" s="68" customFormat="1" ht="12" customHeight="1" x14ac:dyDescent="0.15">
      <c r="A23" s="70"/>
      <c r="B23" s="3047" t="s">
        <v>60</v>
      </c>
      <c r="C23" s="3048"/>
      <c r="D23" s="3100"/>
      <c r="E23" s="3101">
        <f>入力1!L68</f>
        <v>0</v>
      </c>
      <c r="F23" s="3102"/>
      <c r="G23" s="3103"/>
      <c r="H23" s="3101">
        <f>入力1!L69</f>
        <v>0</v>
      </c>
      <c r="I23" s="3102"/>
      <c r="J23" s="3103"/>
      <c r="K23" s="3101">
        <f>入力1!L70</f>
        <v>0</v>
      </c>
      <c r="L23" s="3102"/>
      <c r="M23" s="3103"/>
      <c r="N23" s="3101">
        <f>入力1!L71</f>
        <v>0</v>
      </c>
      <c r="O23" s="3102"/>
      <c r="P23" s="3128"/>
      <c r="Q23" s="3129">
        <f>入力1!L72</f>
        <v>0</v>
      </c>
      <c r="R23" s="3102"/>
      <c r="S23" s="3103"/>
      <c r="T23" s="3101">
        <f>入力1!L73</f>
        <v>0</v>
      </c>
      <c r="U23" s="3102"/>
      <c r="V23" s="3103"/>
      <c r="W23" s="3101">
        <f>入力1!L74</f>
        <v>0</v>
      </c>
      <c r="X23" s="3102"/>
      <c r="Y23" s="3103"/>
      <c r="Z23" s="3101">
        <f>入力1!L75</f>
        <v>0</v>
      </c>
      <c r="AA23" s="3102"/>
      <c r="AB23" s="3128"/>
      <c r="AC23" s="3129">
        <f>入力1!L77</f>
        <v>0</v>
      </c>
      <c r="AD23" s="3102"/>
      <c r="AE23" s="3103"/>
      <c r="AF23" s="3101">
        <f>入力1!L78</f>
        <v>0</v>
      </c>
      <c r="AG23" s="3102"/>
      <c r="AH23" s="3103"/>
      <c r="AI23" s="3101">
        <f>入力1!L79</f>
        <v>0</v>
      </c>
      <c r="AJ23" s="3102"/>
      <c r="AK23" s="3103"/>
      <c r="AL23" s="3101">
        <f>入力1!L80</f>
        <v>0</v>
      </c>
      <c r="AM23" s="3102"/>
      <c r="AN23" s="3103"/>
    </row>
    <row r="24" spans="1:41" s="68" customFormat="1" ht="12" customHeight="1" thickBot="1" x14ac:dyDescent="0.2">
      <c r="A24" s="70"/>
      <c r="B24" s="3049" t="str">
        <f>入力1!M66</f>
        <v/>
      </c>
      <c r="C24" s="3050"/>
      <c r="D24" s="3100"/>
      <c r="E24" s="3101"/>
      <c r="F24" s="3102"/>
      <c r="G24" s="3103"/>
      <c r="H24" s="3202"/>
      <c r="I24" s="3203"/>
      <c r="J24" s="3204"/>
      <c r="K24" s="3202"/>
      <c r="L24" s="3203"/>
      <c r="M24" s="3204"/>
      <c r="N24" s="3202"/>
      <c r="O24" s="3203"/>
      <c r="P24" s="3205"/>
      <c r="Q24" s="3206"/>
      <c r="R24" s="3203"/>
      <c r="S24" s="3204"/>
      <c r="T24" s="3202"/>
      <c r="U24" s="3203"/>
      <c r="V24" s="3204"/>
      <c r="W24" s="3202"/>
      <c r="X24" s="3203"/>
      <c r="Y24" s="3204"/>
      <c r="Z24" s="3202"/>
      <c r="AA24" s="3203"/>
      <c r="AB24" s="3205"/>
      <c r="AC24" s="3206"/>
      <c r="AD24" s="3203"/>
      <c r="AE24" s="3204"/>
      <c r="AF24" s="3202"/>
      <c r="AG24" s="3203"/>
      <c r="AH24" s="3204"/>
      <c r="AI24" s="3202"/>
      <c r="AJ24" s="3203"/>
      <c r="AK24" s="3204"/>
      <c r="AL24" s="3202"/>
      <c r="AM24" s="3203"/>
      <c r="AN24" s="3204"/>
    </row>
    <row r="25" spans="1:41" s="68" customFormat="1" ht="13.5" customHeight="1" x14ac:dyDescent="0.15">
      <c r="A25" s="70"/>
      <c r="B25" s="3051" t="str">
        <f>"日("&amp;(IF(入力1!M66="","",TEXT(入力1!M66,"aaa"))&amp;")")</f>
        <v>日()</v>
      </c>
      <c r="C25" s="3052"/>
      <c r="D25" s="3106" t="s">
        <v>293</v>
      </c>
      <c r="E25" s="3108">
        <f>入力1!N68</f>
        <v>0</v>
      </c>
      <c r="F25" s="3109"/>
      <c r="G25" s="3110"/>
      <c r="H25" s="3108">
        <f>入力1!N69</f>
        <v>0</v>
      </c>
      <c r="I25" s="3109"/>
      <c r="J25" s="3109"/>
      <c r="K25" s="3108">
        <f>入力1!N70</f>
        <v>0</v>
      </c>
      <c r="L25" s="3109"/>
      <c r="M25" s="3109"/>
      <c r="N25" s="3108">
        <f>入力1!N71</f>
        <v>0</v>
      </c>
      <c r="O25" s="3109"/>
      <c r="P25" s="3126"/>
      <c r="Q25" s="3109">
        <f>入力1!N72</f>
        <v>0</v>
      </c>
      <c r="R25" s="3109"/>
      <c r="S25" s="3109"/>
      <c r="T25" s="3108">
        <f>入力1!N73</f>
        <v>0</v>
      </c>
      <c r="U25" s="3109"/>
      <c r="V25" s="3109"/>
      <c r="W25" s="3108">
        <f>入力1!N74</f>
        <v>0</v>
      </c>
      <c r="X25" s="3109"/>
      <c r="Y25" s="3109"/>
      <c r="Z25" s="3108">
        <f>入力1!N75</f>
        <v>0</v>
      </c>
      <c r="AA25" s="3109"/>
      <c r="AB25" s="3126"/>
      <c r="AC25" s="3109">
        <f>入力1!N77</f>
        <v>0</v>
      </c>
      <c r="AD25" s="3109"/>
      <c r="AE25" s="3109"/>
      <c r="AF25" s="3108">
        <f>入力1!N78</f>
        <v>0</v>
      </c>
      <c r="AG25" s="3109"/>
      <c r="AH25" s="3109"/>
      <c r="AI25" s="3108">
        <f>入力1!N79</f>
        <v>0</v>
      </c>
      <c r="AJ25" s="3109"/>
      <c r="AK25" s="3109"/>
      <c r="AL25" s="3108">
        <f>入力1!N80</f>
        <v>0</v>
      </c>
      <c r="AM25" s="3109"/>
      <c r="AN25" s="3213"/>
    </row>
    <row r="26" spans="1:41" s="68" customFormat="1" ht="9" customHeight="1" thickBot="1" x14ac:dyDescent="0.2">
      <c r="A26" s="70"/>
      <c r="B26" s="3051"/>
      <c r="C26" s="3052"/>
      <c r="D26" s="3107"/>
      <c r="E26" s="3111"/>
      <c r="F26" s="3112"/>
      <c r="G26" s="3113"/>
      <c r="H26" s="3111"/>
      <c r="I26" s="3112"/>
      <c r="J26" s="3112"/>
      <c r="K26" s="3111"/>
      <c r="L26" s="3112"/>
      <c r="M26" s="3112"/>
      <c r="N26" s="3111"/>
      <c r="O26" s="3112"/>
      <c r="P26" s="3127"/>
      <c r="Q26" s="3112"/>
      <c r="R26" s="3112"/>
      <c r="S26" s="3112"/>
      <c r="T26" s="3111"/>
      <c r="U26" s="3112"/>
      <c r="V26" s="3112"/>
      <c r="W26" s="3111"/>
      <c r="X26" s="3112"/>
      <c r="Y26" s="3112"/>
      <c r="Z26" s="3111"/>
      <c r="AA26" s="3112"/>
      <c r="AB26" s="3127"/>
      <c r="AC26" s="3112"/>
      <c r="AD26" s="3112"/>
      <c r="AE26" s="3112"/>
      <c r="AF26" s="3111"/>
      <c r="AG26" s="3112"/>
      <c r="AH26" s="3112"/>
      <c r="AI26" s="3111"/>
      <c r="AJ26" s="3112"/>
      <c r="AK26" s="3112"/>
      <c r="AL26" s="3111"/>
      <c r="AM26" s="3112"/>
      <c r="AN26" s="3214"/>
    </row>
    <row r="27" spans="1:41" s="68" customFormat="1" ht="13.5" customHeight="1" x14ac:dyDescent="0.15">
      <c r="A27" s="70"/>
      <c r="B27" s="3051"/>
      <c r="C27" s="3052"/>
      <c r="D27" s="3104" t="s">
        <v>567</v>
      </c>
      <c r="E27" s="3207">
        <f>E23+E25</f>
        <v>0</v>
      </c>
      <c r="F27" s="3208"/>
      <c r="G27" s="3208"/>
      <c r="H27" s="3207">
        <f>H23+H25</f>
        <v>0</v>
      </c>
      <c r="I27" s="3208"/>
      <c r="J27" s="3208"/>
      <c r="K27" s="3207">
        <f t="shared" ref="K27" si="7">K23+K25</f>
        <v>0</v>
      </c>
      <c r="L27" s="3208"/>
      <c r="M27" s="3208"/>
      <c r="N27" s="3207">
        <f t="shared" ref="N27" si="8">N23+N25</f>
        <v>0</v>
      </c>
      <c r="O27" s="3208"/>
      <c r="P27" s="3211"/>
      <c r="Q27" s="3208">
        <f t="shared" ref="Q27" si="9">Q23+Q25</f>
        <v>0</v>
      </c>
      <c r="R27" s="3208"/>
      <c r="S27" s="3208"/>
      <c r="T27" s="3207">
        <f t="shared" ref="T27" si="10">T23+T25</f>
        <v>0</v>
      </c>
      <c r="U27" s="3208"/>
      <c r="V27" s="3208"/>
      <c r="W27" s="3207">
        <f t="shared" ref="W27" si="11">W23+W25</f>
        <v>0</v>
      </c>
      <c r="X27" s="3208"/>
      <c r="Y27" s="3208"/>
      <c r="Z27" s="3207">
        <f t="shared" ref="Z27" si="12">Z23+Z25</f>
        <v>0</v>
      </c>
      <c r="AA27" s="3208"/>
      <c r="AB27" s="3211"/>
      <c r="AC27" s="3208">
        <f t="shared" ref="AC27" si="13">AC23+AC25</f>
        <v>0</v>
      </c>
      <c r="AD27" s="3208"/>
      <c r="AE27" s="3208"/>
      <c r="AF27" s="3207">
        <f t="shared" ref="AF27" si="14">AF23+AF25</f>
        <v>0</v>
      </c>
      <c r="AG27" s="3208"/>
      <c r="AH27" s="3208"/>
      <c r="AI27" s="3207">
        <f t="shared" ref="AI27" si="15">AI23+AI25</f>
        <v>0</v>
      </c>
      <c r="AJ27" s="3208"/>
      <c r="AK27" s="3208"/>
      <c r="AL27" s="3207">
        <f t="shared" ref="AL27" si="16">AL23+AL25</f>
        <v>0</v>
      </c>
      <c r="AM27" s="3208"/>
      <c r="AN27" s="3208"/>
    </row>
    <row r="28" spans="1:41" s="68" customFormat="1" ht="9" customHeight="1" thickBot="1" x14ac:dyDescent="0.2">
      <c r="A28" s="70"/>
      <c r="B28" s="3053"/>
      <c r="C28" s="3054"/>
      <c r="D28" s="3105"/>
      <c r="E28" s="3209"/>
      <c r="F28" s="3210"/>
      <c r="G28" s="3210"/>
      <c r="H28" s="3209"/>
      <c r="I28" s="3210"/>
      <c r="J28" s="3210"/>
      <c r="K28" s="3209"/>
      <c r="L28" s="3210"/>
      <c r="M28" s="3210"/>
      <c r="N28" s="3209"/>
      <c r="O28" s="3210"/>
      <c r="P28" s="3212"/>
      <c r="Q28" s="3210"/>
      <c r="R28" s="3210"/>
      <c r="S28" s="3210"/>
      <c r="T28" s="3209"/>
      <c r="U28" s="3210"/>
      <c r="V28" s="3210"/>
      <c r="W28" s="3209"/>
      <c r="X28" s="3210"/>
      <c r="Y28" s="3210"/>
      <c r="Z28" s="3209"/>
      <c r="AA28" s="3210"/>
      <c r="AB28" s="3212"/>
      <c r="AC28" s="3210"/>
      <c r="AD28" s="3210"/>
      <c r="AE28" s="3210"/>
      <c r="AF28" s="3209"/>
      <c r="AG28" s="3210"/>
      <c r="AH28" s="3210"/>
      <c r="AI28" s="3209"/>
      <c r="AJ28" s="3210"/>
      <c r="AK28" s="3210"/>
      <c r="AL28" s="3209"/>
      <c r="AM28" s="3210"/>
      <c r="AN28" s="3210"/>
    </row>
    <row r="29" spans="1:41" s="68" customFormat="1" ht="12" customHeight="1" thickTop="1" x14ac:dyDescent="0.15">
      <c r="A29" s="70"/>
      <c r="B29" s="3055" t="str">
        <f>入力1!Q66</f>
        <v/>
      </c>
      <c r="C29" s="3056"/>
      <c r="D29" s="3100" t="s">
        <v>294</v>
      </c>
      <c r="E29" s="3114" t="s">
        <v>130</v>
      </c>
      <c r="F29" s="3115"/>
      <c r="G29" s="3116"/>
      <c r="H29" s="3114" t="s">
        <v>130</v>
      </c>
      <c r="I29" s="3115"/>
      <c r="J29" s="3116"/>
      <c r="K29" s="3114" t="s">
        <v>130</v>
      </c>
      <c r="L29" s="3115"/>
      <c r="M29" s="3116"/>
      <c r="N29" s="3114" t="s">
        <v>130</v>
      </c>
      <c r="O29" s="3115"/>
      <c r="P29" s="3117"/>
      <c r="Q29" s="3114" t="s">
        <v>130</v>
      </c>
      <c r="R29" s="3115"/>
      <c r="S29" s="3116"/>
      <c r="T29" s="3114" t="s">
        <v>130</v>
      </c>
      <c r="U29" s="3115"/>
      <c r="V29" s="3116"/>
      <c r="W29" s="3114" t="s">
        <v>130</v>
      </c>
      <c r="X29" s="3115"/>
      <c r="Y29" s="3116"/>
      <c r="Z29" s="3114" t="s">
        <v>130</v>
      </c>
      <c r="AA29" s="3115"/>
      <c r="AB29" s="3117"/>
      <c r="AC29" s="3118" t="s">
        <v>130</v>
      </c>
      <c r="AD29" s="3115"/>
      <c r="AE29" s="3116"/>
      <c r="AF29" s="3114" t="s">
        <v>130</v>
      </c>
      <c r="AG29" s="3115"/>
      <c r="AH29" s="3116"/>
      <c r="AI29" s="3114" t="s">
        <v>130</v>
      </c>
      <c r="AJ29" s="3115"/>
      <c r="AK29" s="3116"/>
      <c r="AL29" s="3114" t="s">
        <v>130</v>
      </c>
      <c r="AM29" s="3115"/>
      <c r="AN29" s="3116"/>
    </row>
    <row r="30" spans="1:41" s="68" customFormat="1" ht="12" customHeight="1" x14ac:dyDescent="0.15">
      <c r="A30" s="70"/>
      <c r="B30" s="3047" t="s">
        <v>60</v>
      </c>
      <c r="C30" s="3048"/>
      <c r="D30" s="3100"/>
      <c r="E30" s="3101">
        <f>入力1!P68</f>
        <v>0</v>
      </c>
      <c r="F30" s="3102"/>
      <c r="G30" s="3103"/>
      <c r="H30" s="3101">
        <f>入力1!P69</f>
        <v>0</v>
      </c>
      <c r="I30" s="3102"/>
      <c r="J30" s="3103"/>
      <c r="K30" s="3101">
        <f>入力1!P70</f>
        <v>0</v>
      </c>
      <c r="L30" s="3102"/>
      <c r="M30" s="3103"/>
      <c r="N30" s="3101">
        <f>入力1!P71</f>
        <v>0</v>
      </c>
      <c r="O30" s="3102"/>
      <c r="P30" s="3128"/>
      <c r="Q30" s="3129">
        <f>入力1!P72</f>
        <v>0</v>
      </c>
      <c r="R30" s="3102"/>
      <c r="S30" s="3103"/>
      <c r="T30" s="3101">
        <f>入力1!P73</f>
        <v>0</v>
      </c>
      <c r="U30" s="3102"/>
      <c r="V30" s="3103"/>
      <c r="W30" s="3101">
        <f>入力1!P74</f>
        <v>0</v>
      </c>
      <c r="X30" s="3102"/>
      <c r="Y30" s="3103"/>
      <c r="Z30" s="3101">
        <f>入力1!P75</f>
        <v>0</v>
      </c>
      <c r="AA30" s="3102"/>
      <c r="AB30" s="3128"/>
      <c r="AC30" s="3129">
        <f>入力1!P77</f>
        <v>0</v>
      </c>
      <c r="AD30" s="3102"/>
      <c r="AE30" s="3103"/>
      <c r="AF30" s="3101">
        <f>入力1!P78</f>
        <v>0</v>
      </c>
      <c r="AG30" s="3102"/>
      <c r="AH30" s="3103"/>
      <c r="AI30" s="3101">
        <f>入力1!P79</f>
        <v>0</v>
      </c>
      <c r="AJ30" s="3102"/>
      <c r="AK30" s="3103"/>
      <c r="AL30" s="3101">
        <f>入力1!P80</f>
        <v>0</v>
      </c>
      <c r="AM30" s="3102"/>
      <c r="AN30" s="3103"/>
    </row>
    <row r="31" spans="1:41" s="68" customFormat="1" ht="12" customHeight="1" thickBot="1" x14ac:dyDescent="0.2">
      <c r="A31" s="70"/>
      <c r="B31" s="3049" t="str">
        <f>入力1!Q66</f>
        <v/>
      </c>
      <c r="C31" s="3050"/>
      <c r="D31" s="3100"/>
      <c r="E31" s="3101"/>
      <c r="F31" s="3102"/>
      <c r="G31" s="3103"/>
      <c r="H31" s="3202"/>
      <c r="I31" s="3203"/>
      <c r="J31" s="3204"/>
      <c r="K31" s="3202"/>
      <c r="L31" s="3203"/>
      <c r="M31" s="3204"/>
      <c r="N31" s="3202"/>
      <c r="O31" s="3203"/>
      <c r="P31" s="3205"/>
      <c r="Q31" s="3206"/>
      <c r="R31" s="3203"/>
      <c r="S31" s="3204"/>
      <c r="T31" s="3202"/>
      <c r="U31" s="3203"/>
      <c r="V31" s="3204"/>
      <c r="W31" s="3202"/>
      <c r="X31" s="3203"/>
      <c r="Y31" s="3204"/>
      <c r="Z31" s="3202"/>
      <c r="AA31" s="3203"/>
      <c r="AB31" s="3205"/>
      <c r="AC31" s="3206"/>
      <c r="AD31" s="3203"/>
      <c r="AE31" s="3204"/>
      <c r="AF31" s="3202"/>
      <c r="AG31" s="3203"/>
      <c r="AH31" s="3204"/>
      <c r="AI31" s="3202"/>
      <c r="AJ31" s="3203"/>
      <c r="AK31" s="3204"/>
      <c r="AL31" s="3202"/>
      <c r="AM31" s="3203"/>
      <c r="AN31" s="3204"/>
    </row>
    <row r="32" spans="1:41" s="68" customFormat="1" ht="13.5" customHeight="1" x14ac:dyDescent="0.15">
      <c r="A32" s="70"/>
      <c r="B32" s="3051" t="str">
        <f>"日("&amp;(IF(入力1!Q66="","",TEXT(入力1!Q66,"aaa"))&amp;")")</f>
        <v>日()</v>
      </c>
      <c r="C32" s="3052"/>
      <c r="D32" s="3219" t="s">
        <v>293</v>
      </c>
      <c r="E32" s="3108">
        <f>入力1!R68</f>
        <v>0</v>
      </c>
      <c r="F32" s="3109"/>
      <c r="G32" s="3110"/>
      <c r="H32" s="3108">
        <f>入力1!R69</f>
        <v>0</v>
      </c>
      <c r="I32" s="3109"/>
      <c r="J32" s="3109"/>
      <c r="K32" s="3108">
        <f>入力1!R70</f>
        <v>0</v>
      </c>
      <c r="L32" s="3109"/>
      <c r="M32" s="3109"/>
      <c r="N32" s="3108">
        <f>入力1!R71</f>
        <v>0</v>
      </c>
      <c r="O32" s="3109"/>
      <c r="P32" s="3126"/>
      <c r="Q32" s="3109">
        <f>入力1!R72</f>
        <v>0</v>
      </c>
      <c r="R32" s="3109"/>
      <c r="S32" s="3109"/>
      <c r="T32" s="3108">
        <f>入力1!R73</f>
        <v>0</v>
      </c>
      <c r="U32" s="3109"/>
      <c r="V32" s="3109"/>
      <c r="W32" s="3108">
        <f>入力1!R74</f>
        <v>0</v>
      </c>
      <c r="X32" s="3109"/>
      <c r="Y32" s="3109"/>
      <c r="Z32" s="3108">
        <f>入力1!R75</f>
        <v>0</v>
      </c>
      <c r="AA32" s="3109"/>
      <c r="AB32" s="3126"/>
      <c r="AC32" s="3109">
        <f>入力1!R77</f>
        <v>0</v>
      </c>
      <c r="AD32" s="3109"/>
      <c r="AE32" s="3109"/>
      <c r="AF32" s="3108">
        <f>入力1!R78</f>
        <v>0</v>
      </c>
      <c r="AG32" s="3109"/>
      <c r="AH32" s="3109"/>
      <c r="AI32" s="3108">
        <f>入力1!R79</f>
        <v>0</v>
      </c>
      <c r="AJ32" s="3109"/>
      <c r="AK32" s="3109"/>
      <c r="AL32" s="3108">
        <f>入力1!R80</f>
        <v>0</v>
      </c>
      <c r="AM32" s="3109"/>
      <c r="AN32" s="3213"/>
    </row>
    <row r="33" spans="1:43" s="68" customFormat="1" ht="9" customHeight="1" thickBot="1" x14ac:dyDescent="0.2">
      <c r="A33" s="70"/>
      <c r="B33" s="3051"/>
      <c r="C33" s="3052"/>
      <c r="D33" s="3220"/>
      <c r="E33" s="3111"/>
      <c r="F33" s="3112"/>
      <c r="G33" s="3113"/>
      <c r="H33" s="3111"/>
      <c r="I33" s="3112"/>
      <c r="J33" s="3112"/>
      <c r="K33" s="3111"/>
      <c r="L33" s="3112"/>
      <c r="M33" s="3112"/>
      <c r="N33" s="3111"/>
      <c r="O33" s="3112"/>
      <c r="P33" s="3127"/>
      <c r="Q33" s="3112"/>
      <c r="R33" s="3112"/>
      <c r="S33" s="3112"/>
      <c r="T33" s="3111"/>
      <c r="U33" s="3112"/>
      <c r="V33" s="3112"/>
      <c r="W33" s="3111"/>
      <c r="X33" s="3112"/>
      <c r="Y33" s="3112"/>
      <c r="Z33" s="3111"/>
      <c r="AA33" s="3112"/>
      <c r="AB33" s="3127"/>
      <c r="AC33" s="3112"/>
      <c r="AD33" s="3112"/>
      <c r="AE33" s="3112"/>
      <c r="AF33" s="3111"/>
      <c r="AG33" s="3112"/>
      <c r="AH33" s="3112"/>
      <c r="AI33" s="3111"/>
      <c r="AJ33" s="3112"/>
      <c r="AK33" s="3112"/>
      <c r="AL33" s="3111"/>
      <c r="AM33" s="3112"/>
      <c r="AN33" s="3214"/>
    </row>
    <row r="34" spans="1:43" s="68" customFormat="1" ht="13.5" customHeight="1" x14ac:dyDescent="0.15">
      <c r="A34" s="70"/>
      <c r="B34" s="3051"/>
      <c r="C34" s="3052"/>
      <c r="D34" s="3104" t="s">
        <v>567</v>
      </c>
      <c r="E34" s="3207">
        <f>E30+E32</f>
        <v>0</v>
      </c>
      <c r="F34" s="3208"/>
      <c r="G34" s="3208"/>
      <c r="H34" s="3207">
        <f t="shared" ref="H34" si="17">H30+H32</f>
        <v>0</v>
      </c>
      <c r="I34" s="3208"/>
      <c r="J34" s="3208"/>
      <c r="K34" s="3207">
        <f t="shared" ref="K34" si="18">K30+K32</f>
        <v>0</v>
      </c>
      <c r="L34" s="3208"/>
      <c r="M34" s="3208"/>
      <c r="N34" s="3207">
        <f t="shared" ref="N34" si="19">N30+N32</f>
        <v>0</v>
      </c>
      <c r="O34" s="3208"/>
      <c r="P34" s="3211"/>
      <c r="Q34" s="3208">
        <f t="shared" ref="Q34" si="20">Q30+Q32</f>
        <v>0</v>
      </c>
      <c r="R34" s="3208"/>
      <c r="S34" s="3208"/>
      <c r="T34" s="3207">
        <f t="shared" ref="T34" si="21">T30+T32</f>
        <v>0</v>
      </c>
      <c r="U34" s="3208"/>
      <c r="V34" s="3208"/>
      <c r="W34" s="3207">
        <f t="shared" ref="W34" si="22">W30+W32</f>
        <v>0</v>
      </c>
      <c r="X34" s="3208"/>
      <c r="Y34" s="3208"/>
      <c r="Z34" s="3207">
        <f t="shared" ref="Z34" si="23">Z30+Z32</f>
        <v>0</v>
      </c>
      <c r="AA34" s="3208"/>
      <c r="AB34" s="3211"/>
      <c r="AC34" s="3208">
        <f t="shared" ref="AC34" si="24">AC30+AC32</f>
        <v>0</v>
      </c>
      <c r="AD34" s="3208"/>
      <c r="AE34" s="3208"/>
      <c r="AF34" s="3207">
        <f t="shared" ref="AF34" si="25">AF30+AF32</f>
        <v>0</v>
      </c>
      <c r="AG34" s="3208"/>
      <c r="AH34" s="3208"/>
      <c r="AI34" s="3207">
        <f t="shared" ref="AI34" si="26">AI30+AI32</f>
        <v>0</v>
      </c>
      <c r="AJ34" s="3208"/>
      <c r="AK34" s="3208"/>
      <c r="AL34" s="3207">
        <f t="shared" ref="AL34" si="27">AL30+AL32</f>
        <v>0</v>
      </c>
      <c r="AM34" s="3208"/>
      <c r="AN34" s="3208"/>
    </row>
    <row r="35" spans="1:43" s="68" customFormat="1" ht="9" customHeight="1" thickBot="1" x14ac:dyDescent="0.2">
      <c r="A35" s="70"/>
      <c r="B35" s="3053"/>
      <c r="C35" s="3054"/>
      <c r="D35" s="3105"/>
      <c r="E35" s="3209"/>
      <c r="F35" s="3210"/>
      <c r="G35" s="3210"/>
      <c r="H35" s="3209"/>
      <c r="I35" s="3210"/>
      <c r="J35" s="3210"/>
      <c r="K35" s="3209"/>
      <c r="L35" s="3210"/>
      <c r="M35" s="3210"/>
      <c r="N35" s="3209"/>
      <c r="O35" s="3210"/>
      <c r="P35" s="3212"/>
      <c r="Q35" s="3210"/>
      <c r="R35" s="3210"/>
      <c r="S35" s="3210"/>
      <c r="T35" s="3209"/>
      <c r="U35" s="3210"/>
      <c r="V35" s="3210"/>
      <c r="W35" s="3209"/>
      <c r="X35" s="3210"/>
      <c r="Y35" s="3210"/>
      <c r="Z35" s="3209"/>
      <c r="AA35" s="3210"/>
      <c r="AB35" s="3212"/>
      <c r="AC35" s="3210"/>
      <c r="AD35" s="3210"/>
      <c r="AE35" s="3210"/>
      <c r="AF35" s="3209"/>
      <c r="AG35" s="3210"/>
      <c r="AH35" s="3210"/>
      <c r="AI35" s="3209"/>
      <c r="AJ35" s="3210"/>
      <c r="AK35" s="3210"/>
      <c r="AL35" s="3209"/>
      <c r="AM35" s="3210"/>
      <c r="AN35" s="3210"/>
    </row>
    <row r="36" spans="1:43" s="68" customFormat="1" ht="12" customHeight="1" thickTop="1" x14ac:dyDescent="0.15">
      <c r="A36" s="70"/>
      <c r="B36" s="3055" t="str">
        <f>入力1!U66</f>
        <v/>
      </c>
      <c r="C36" s="3056"/>
      <c r="D36" s="3100" t="s">
        <v>294</v>
      </c>
      <c r="E36" s="3114" t="s">
        <v>130</v>
      </c>
      <c r="F36" s="3115"/>
      <c r="G36" s="3116"/>
      <c r="H36" s="3114" t="s">
        <v>130</v>
      </c>
      <c r="I36" s="3115"/>
      <c r="J36" s="3116"/>
      <c r="K36" s="3114" t="s">
        <v>130</v>
      </c>
      <c r="L36" s="3115"/>
      <c r="M36" s="3116"/>
      <c r="N36" s="3114" t="s">
        <v>130</v>
      </c>
      <c r="O36" s="3115"/>
      <c r="P36" s="3117"/>
      <c r="Q36" s="3114" t="s">
        <v>130</v>
      </c>
      <c r="R36" s="3115"/>
      <c r="S36" s="3116"/>
      <c r="T36" s="3114" t="s">
        <v>130</v>
      </c>
      <c r="U36" s="3115"/>
      <c r="V36" s="3116"/>
      <c r="W36" s="3114" t="s">
        <v>130</v>
      </c>
      <c r="X36" s="3115"/>
      <c r="Y36" s="3116"/>
      <c r="Z36" s="3114" t="s">
        <v>130</v>
      </c>
      <c r="AA36" s="3115"/>
      <c r="AB36" s="3117"/>
      <c r="AC36" s="3118" t="s">
        <v>130</v>
      </c>
      <c r="AD36" s="3115"/>
      <c r="AE36" s="3116"/>
      <c r="AF36" s="3114" t="s">
        <v>130</v>
      </c>
      <c r="AG36" s="3115"/>
      <c r="AH36" s="3116"/>
      <c r="AI36" s="3114" t="s">
        <v>130</v>
      </c>
      <c r="AJ36" s="3115"/>
      <c r="AK36" s="3116"/>
      <c r="AL36" s="3114" t="s">
        <v>130</v>
      </c>
      <c r="AM36" s="3115"/>
      <c r="AN36" s="3116"/>
    </row>
    <row r="37" spans="1:43" s="68" customFormat="1" ht="12" customHeight="1" x14ac:dyDescent="0.15">
      <c r="A37" s="70"/>
      <c r="B37" s="3047" t="s">
        <v>60</v>
      </c>
      <c r="C37" s="3048"/>
      <c r="D37" s="3100"/>
      <c r="E37" s="3101">
        <f>入力1!T68</f>
        <v>0</v>
      </c>
      <c r="F37" s="3102"/>
      <c r="G37" s="3103"/>
      <c r="H37" s="3101">
        <f>入力1!T69</f>
        <v>0</v>
      </c>
      <c r="I37" s="3102"/>
      <c r="J37" s="3103"/>
      <c r="K37" s="3101">
        <f>入力1!T70</f>
        <v>0</v>
      </c>
      <c r="L37" s="3102"/>
      <c r="M37" s="3103"/>
      <c r="N37" s="3101">
        <f>入力1!T71</f>
        <v>0</v>
      </c>
      <c r="O37" s="3102"/>
      <c r="P37" s="3128"/>
      <c r="Q37" s="3129">
        <f>入力1!T72</f>
        <v>0</v>
      </c>
      <c r="R37" s="3102"/>
      <c r="S37" s="3103"/>
      <c r="T37" s="3101">
        <f>入力1!T73</f>
        <v>0</v>
      </c>
      <c r="U37" s="3102"/>
      <c r="V37" s="3103"/>
      <c r="W37" s="3101">
        <f>入力1!T74</f>
        <v>0</v>
      </c>
      <c r="X37" s="3102"/>
      <c r="Y37" s="3103"/>
      <c r="Z37" s="3101">
        <f>入力1!T75</f>
        <v>0</v>
      </c>
      <c r="AA37" s="3102"/>
      <c r="AB37" s="3128"/>
      <c r="AC37" s="3129">
        <f>入力1!T77</f>
        <v>0</v>
      </c>
      <c r="AD37" s="3102"/>
      <c r="AE37" s="3103"/>
      <c r="AF37" s="3101">
        <f>入力1!T78</f>
        <v>0</v>
      </c>
      <c r="AG37" s="3102"/>
      <c r="AH37" s="3103"/>
      <c r="AI37" s="3101">
        <f>入力1!T79</f>
        <v>0</v>
      </c>
      <c r="AJ37" s="3102"/>
      <c r="AK37" s="3103"/>
      <c r="AL37" s="3101">
        <f>入力1!T80</f>
        <v>0</v>
      </c>
      <c r="AM37" s="3102"/>
      <c r="AN37" s="3103"/>
    </row>
    <row r="38" spans="1:43" s="68" customFormat="1" ht="12" customHeight="1" thickBot="1" x14ac:dyDescent="0.2">
      <c r="A38" s="70"/>
      <c r="B38" s="3049" t="str">
        <f>入力1!U66</f>
        <v/>
      </c>
      <c r="C38" s="3050"/>
      <c r="D38" s="3100"/>
      <c r="E38" s="3101"/>
      <c r="F38" s="3102"/>
      <c r="G38" s="3103"/>
      <c r="H38" s="3202"/>
      <c r="I38" s="3203"/>
      <c r="J38" s="3204"/>
      <c r="K38" s="3202"/>
      <c r="L38" s="3203"/>
      <c r="M38" s="3204"/>
      <c r="N38" s="3202"/>
      <c r="O38" s="3203"/>
      <c r="P38" s="3205"/>
      <c r="Q38" s="3206"/>
      <c r="R38" s="3203"/>
      <c r="S38" s="3204"/>
      <c r="T38" s="3202"/>
      <c r="U38" s="3203"/>
      <c r="V38" s="3204"/>
      <c r="W38" s="3202"/>
      <c r="X38" s="3203"/>
      <c r="Y38" s="3204"/>
      <c r="Z38" s="3202"/>
      <c r="AA38" s="3203"/>
      <c r="AB38" s="3205"/>
      <c r="AC38" s="3206"/>
      <c r="AD38" s="3203"/>
      <c r="AE38" s="3204"/>
      <c r="AF38" s="3202"/>
      <c r="AG38" s="3203"/>
      <c r="AH38" s="3204"/>
      <c r="AI38" s="3202"/>
      <c r="AJ38" s="3203"/>
      <c r="AK38" s="3204"/>
      <c r="AL38" s="3202"/>
      <c r="AM38" s="3203"/>
      <c r="AN38" s="3204"/>
    </row>
    <row r="39" spans="1:43" s="68" customFormat="1" ht="13.5" customHeight="1" x14ac:dyDescent="0.15">
      <c r="A39" s="70"/>
      <c r="B39" s="3051" t="str">
        <f>"日("&amp;(IF(入力1!U66="","",TEXT(入力1!U66,"aaa"))&amp;")")</f>
        <v>日()</v>
      </c>
      <c r="C39" s="3052"/>
      <c r="D39" s="3219" t="s">
        <v>293</v>
      </c>
      <c r="E39" s="3108">
        <f>入力1!V68</f>
        <v>0</v>
      </c>
      <c r="F39" s="3109"/>
      <c r="G39" s="3110"/>
      <c r="H39" s="3108">
        <f>入力1!V69</f>
        <v>0</v>
      </c>
      <c r="I39" s="3109"/>
      <c r="J39" s="3109"/>
      <c r="K39" s="3108">
        <f>入力1!V70</f>
        <v>0</v>
      </c>
      <c r="L39" s="3109"/>
      <c r="M39" s="3109"/>
      <c r="N39" s="3108">
        <f>入力1!V71</f>
        <v>0</v>
      </c>
      <c r="O39" s="3109"/>
      <c r="P39" s="3126"/>
      <c r="Q39" s="3109">
        <f>入力1!V72</f>
        <v>0</v>
      </c>
      <c r="R39" s="3109"/>
      <c r="S39" s="3109"/>
      <c r="T39" s="3108">
        <f>入力1!V73</f>
        <v>0</v>
      </c>
      <c r="U39" s="3109"/>
      <c r="V39" s="3109"/>
      <c r="W39" s="3108">
        <f>入力1!V74</f>
        <v>0</v>
      </c>
      <c r="X39" s="3109"/>
      <c r="Y39" s="3109"/>
      <c r="Z39" s="3108">
        <f>入力1!V75</f>
        <v>0</v>
      </c>
      <c r="AA39" s="3109"/>
      <c r="AB39" s="3126"/>
      <c r="AC39" s="3109">
        <f>入力1!V77</f>
        <v>0</v>
      </c>
      <c r="AD39" s="3109"/>
      <c r="AE39" s="3109"/>
      <c r="AF39" s="3108">
        <f>入力1!V78</f>
        <v>0</v>
      </c>
      <c r="AG39" s="3109"/>
      <c r="AH39" s="3109"/>
      <c r="AI39" s="3108">
        <f>入力1!V79</f>
        <v>0</v>
      </c>
      <c r="AJ39" s="3109"/>
      <c r="AK39" s="3109"/>
      <c r="AL39" s="3108">
        <f>入力1!V80</f>
        <v>0</v>
      </c>
      <c r="AM39" s="3109"/>
      <c r="AN39" s="3213"/>
    </row>
    <row r="40" spans="1:43" s="68" customFormat="1" ht="9" customHeight="1" thickBot="1" x14ac:dyDescent="0.2">
      <c r="A40" s="70"/>
      <c r="B40" s="3051"/>
      <c r="C40" s="3052"/>
      <c r="D40" s="3220"/>
      <c r="E40" s="3111"/>
      <c r="F40" s="3112"/>
      <c r="G40" s="3113"/>
      <c r="H40" s="3111"/>
      <c r="I40" s="3112"/>
      <c r="J40" s="3112"/>
      <c r="K40" s="3111"/>
      <c r="L40" s="3112"/>
      <c r="M40" s="3112"/>
      <c r="N40" s="3111"/>
      <c r="O40" s="3112"/>
      <c r="P40" s="3127"/>
      <c r="Q40" s="3112"/>
      <c r="R40" s="3112"/>
      <c r="S40" s="3112"/>
      <c r="T40" s="3111"/>
      <c r="U40" s="3112"/>
      <c r="V40" s="3112"/>
      <c r="W40" s="3111"/>
      <c r="X40" s="3112"/>
      <c r="Y40" s="3112"/>
      <c r="Z40" s="3111"/>
      <c r="AA40" s="3112"/>
      <c r="AB40" s="3127"/>
      <c r="AC40" s="3112"/>
      <c r="AD40" s="3112"/>
      <c r="AE40" s="3112"/>
      <c r="AF40" s="3111"/>
      <c r="AG40" s="3112"/>
      <c r="AH40" s="3112"/>
      <c r="AI40" s="3111"/>
      <c r="AJ40" s="3112"/>
      <c r="AK40" s="3112"/>
      <c r="AL40" s="3111"/>
      <c r="AM40" s="3112"/>
      <c r="AN40" s="3214"/>
      <c r="AP40" s="71"/>
      <c r="AQ40" s="71"/>
    </row>
    <row r="41" spans="1:43" s="68" customFormat="1" ht="13.5" customHeight="1" x14ac:dyDescent="0.15">
      <c r="A41" s="70"/>
      <c r="B41" s="3051"/>
      <c r="C41" s="3052"/>
      <c r="D41" s="3104" t="s">
        <v>567</v>
      </c>
      <c r="E41" s="3207">
        <f>E37+E39</f>
        <v>0</v>
      </c>
      <c r="F41" s="3208"/>
      <c r="G41" s="3208"/>
      <c r="H41" s="3207">
        <f t="shared" ref="H41" si="28">H37+H39</f>
        <v>0</v>
      </c>
      <c r="I41" s="3208"/>
      <c r="J41" s="3208"/>
      <c r="K41" s="3207">
        <f t="shared" ref="K41" si="29">K37+K39</f>
        <v>0</v>
      </c>
      <c r="L41" s="3208"/>
      <c r="M41" s="3208"/>
      <c r="N41" s="3207">
        <f t="shared" ref="N41" si="30">N37+N39</f>
        <v>0</v>
      </c>
      <c r="O41" s="3208"/>
      <c r="P41" s="3211"/>
      <c r="Q41" s="3208">
        <f t="shared" ref="Q41" si="31">Q37+Q39</f>
        <v>0</v>
      </c>
      <c r="R41" s="3208"/>
      <c r="S41" s="3208"/>
      <c r="T41" s="3207">
        <f t="shared" ref="T41" si="32">T37+T39</f>
        <v>0</v>
      </c>
      <c r="U41" s="3208"/>
      <c r="V41" s="3208"/>
      <c r="W41" s="3207">
        <f t="shared" ref="W41" si="33">W37+W39</f>
        <v>0</v>
      </c>
      <c r="X41" s="3208"/>
      <c r="Y41" s="3208"/>
      <c r="Z41" s="3207">
        <f t="shared" ref="Z41" si="34">Z37+Z39</f>
        <v>0</v>
      </c>
      <c r="AA41" s="3208"/>
      <c r="AB41" s="3211"/>
      <c r="AC41" s="3208">
        <f t="shared" ref="AC41" si="35">AC37+AC39</f>
        <v>0</v>
      </c>
      <c r="AD41" s="3208"/>
      <c r="AE41" s="3208"/>
      <c r="AF41" s="3207">
        <f t="shared" ref="AF41" si="36">AF37+AF39</f>
        <v>0</v>
      </c>
      <c r="AG41" s="3208"/>
      <c r="AH41" s="3208"/>
      <c r="AI41" s="3207">
        <f t="shared" ref="AI41" si="37">AI37+AI39</f>
        <v>0</v>
      </c>
      <c r="AJ41" s="3208"/>
      <c r="AK41" s="3208"/>
      <c r="AL41" s="3207">
        <f t="shared" ref="AL41" si="38">AL37+AL39</f>
        <v>0</v>
      </c>
      <c r="AM41" s="3208"/>
      <c r="AN41" s="3208"/>
    </row>
    <row r="42" spans="1:43" s="68" customFormat="1" ht="9.75" customHeight="1" thickBot="1" x14ac:dyDescent="0.2">
      <c r="A42" s="70"/>
      <c r="B42" s="3053"/>
      <c r="C42" s="3054"/>
      <c r="D42" s="3105"/>
      <c r="E42" s="3209"/>
      <c r="F42" s="3210"/>
      <c r="G42" s="3210"/>
      <c r="H42" s="3209"/>
      <c r="I42" s="3210"/>
      <c r="J42" s="3210"/>
      <c r="K42" s="3209"/>
      <c r="L42" s="3210"/>
      <c r="M42" s="3210"/>
      <c r="N42" s="3209"/>
      <c r="O42" s="3210"/>
      <c r="P42" s="3212"/>
      <c r="Q42" s="3210"/>
      <c r="R42" s="3210"/>
      <c r="S42" s="3210"/>
      <c r="T42" s="3209"/>
      <c r="U42" s="3210"/>
      <c r="V42" s="3210"/>
      <c r="W42" s="3209"/>
      <c r="X42" s="3210"/>
      <c r="Y42" s="3210"/>
      <c r="Z42" s="3209"/>
      <c r="AA42" s="3210"/>
      <c r="AB42" s="3212"/>
      <c r="AC42" s="3210"/>
      <c r="AD42" s="3210"/>
      <c r="AE42" s="3210"/>
      <c r="AF42" s="3209"/>
      <c r="AG42" s="3210"/>
      <c r="AH42" s="3210"/>
      <c r="AI42" s="3209"/>
      <c r="AJ42" s="3210"/>
      <c r="AK42" s="3210"/>
      <c r="AL42" s="3209"/>
      <c r="AM42" s="3210"/>
      <c r="AN42" s="3210"/>
    </row>
    <row r="43" spans="1:43" s="68" customFormat="1" ht="12" customHeight="1" thickTop="1" x14ac:dyDescent="0.15">
      <c r="A43" s="70"/>
      <c r="B43" s="3055" t="str">
        <f>入力1!Y66</f>
        <v/>
      </c>
      <c r="C43" s="3056"/>
      <c r="D43" s="3100" t="s">
        <v>294</v>
      </c>
      <c r="E43" s="3114" t="s">
        <v>130</v>
      </c>
      <c r="F43" s="3115"/>
      <c r="G43" s="3116"/>
      <c r="H43" s="3114" t="s">
        <v>130</v>
      </c>
      <c r="I43" s="3115"/>
      <c r="J43" s="3116"/>
      <c r="K43" s="3114" t="s">
        <v>130</v>
      </c>
      <c r="L43" s="3115"/>
      <c r="M43" s="3116"/>
      <c r="N43" s="3114" t="s">
        <v>130</v>
      </c>
      <c r="O43" s="3115"/>
      <c r="P43" s="3117"/>
      <c r="Q43" s="3114" t="s">
        <v>130</v>
      </c>
      <c r="R43" s="3115"/>
      <c r="S43" s="3116"/>
      <c r="T43" s="3114" t="s">
        <v>130</v>
      </c>
      <c r="U43" s="3115"/>
      <c r="V43" s="3116"/>
      <c r="W43" s="3114" t="s">
        <v>130</v>
      </c>
      <c r="X43" s="3115"/>
      <c r="Y43" s="3116"/>
      <c r="Z43" s="3114" t="s">
        <v>130</v>
      </c>
      <c r="AA43" s="3115"/>
      <c r="AB43" s="3117"/>
      <c r="AC43" s="3118" t="s">
        <v>130</v>
      </c>
      <c r="AD43" s="3115"/>
      <c r="AE43" s="3116"/>
      <c r="AF43" s="3114" t="s">
        <v>130</v>
      </c>
      <c r="AG43" s="3115"/>
      <c r="AH43" s="3116"/>
      <c r="AI43" s="3114" t="s">
        <v>130</v>
      </c>
      <c r="AJ43" s="3115"/>
      <c r="AK43" s="3116"/>
      <c r="AL43" s="3114" t="s">
        <v>130</v>
      </c>
      <c r="AM43" s="3115"/>
      <c r="AN43" s="3116"/>
    </row>
    <row r="44" spans="1:43" s="68" customFormat="1" ht="12" customHeight="1" x14ac:dyDescent="0.15">
      <c r="A44" s="70"/>
      <c r="B44" s="3047" t="s">
        <v>60</v>
      </c>
      <c r="C44" s="3048"/>
      <c r="D44" s="3100"/>
      <c r="E44" s="3101">
        <f>入力1!X68</f>
        <v>0</v>
      </c>
      <c r="F44" s="3102"/>
      <c r="G44" s="3103"/>
      <c r="H44" s="3101">
        <f>入力1!X69</f>
        <v>0</v>
      </c>
      <c r="I44" s="3102"/>
      <c r="J44" s="3103"/>
      <c r="K44" s="3101">
        <f>入力1!X70</f>
        <v>0</v>
      </c>
      <c r="L44" s="3102"/>
      <c r="M44" s="3103"/>
      <c r="N44" s="3101">
        <f>入力1!X71</f>
        <v>0</v>
      </c>
      <c r="O44" s="3102"/>
      <c r="P44" s="3128"/>
      <c r="Q44" s="3129">
        <f>入力1!X72</f>
        <v>0</v>
      </c>
      <c r="R44" s="3102"/>
      <c r="S44" s="3103"/>
      <c r="T44" s="3101">
        <f>入力1!X73</f>
        <v>0</v>
      </c>
      <c r="U44" s="3102"/>
      <c r="V44" s="3103"/>
      <c r="W44" s="3101">
        <f>入力1!X74</f>
        <v>0</v>
      </c>
      <c r="X44" s="3102"/>
      <c r="Y44" s="3103"/>
      <c r="Z44" s="3101">
        <f>入力1!X75</f>
        <v>0</v>
      </c>
      <c r="AA44" s="3102"/>
      <c r="AB44" s="3128"/>
      <c r="AC44" s="3129">
        <f>入力1!X77</f>
        <v>0</v>
      </c>
      <c r="AD44" s="3102"/>
      <c r="AE44" s="3103"/>
      <c r="AF44" s="3101">
        <f>入力1!X78</f>
        <v>0</v>
      </c>
      <c r="AG44" s="3102"/>
      <c r="AH44" s="3103"/>
      <c r="AI44" s="3101">
        <f>入力1!X79</f>
        <v>0</v>
      </c>
      <c r="AJ44" s="3102"/>
      <c r="AK44" s="3103"/>
      <c r="AL44" s="3101">
        <f>入力1!X80</f>
        <v>0</v>
      </c>
      <c r="AM44" s="3102"/>
      <c r="AN44" s="3103"/>
    </row>
    <row r="45" spans="1:43" s="68" customFormat="1" ht="12" customHeight="1" thickBot="1" x14ac:dyDescent="0.2">
      <c r="A45" s="70"/>
      <c r="B45" s="3049" t="str">
        <f>入力1!Y66</f>
        <v/>
      </c>
      <c r="C45" s="3050"/>
      <c r="D45" s="3100"/>
      <c r="E45" s="3101"/>
      <c r="F45" s="3102"/>
      <c r="G45" s="3103"/>
      <c r="H45" s="3202"/>
      <c r="I45" s="3203"/>
      <c r="J45" s="3204"/>
      <c r="K45" s="3202"/>
      <c r="L45" s="3203"/>
      <c r="M45" s="3204"/>
      <c r="N45" s="3202"/>
      <c r="O45" s="3203"/>
      <c r="P45" s="3205"/>
      <c r="Q45" s="3206"/>
      <c r="R45" s="3203"/>
      <c r="S45" s="3204"/>
      <c r="T45" s="3202"/>
      <c r="U45" s="3203"/>
      <c r="V45" s="3204"/>
      <c r="W45" s="3202"/>
      <c r="X45" s="3203"/>
      <c r="Y45" s="3204"/>
      <c r="Z45" s="3202"/>
      <c r="AA45" s="3203"/>
      <c r="AB45" s="3205"/>
      <c r="AC45" s="3206"/>
      <c r="AD45" s="3203"/>
      <c r="AE45" s="3204"/>
      <c r="AF45" s="3202"/>
      <c r="AG45" s="3203"/>
      <c r="AH45" s="3204"/>
      <c r="AI45" s="3202"/>
      <c r="AJ45" s="3203"/>
      <c r="AK45" s="3204"/>
      <c r="AL45" s="3202"/>
      <c r="AM45" s="3203"/>
      <c r="AN45" s="3204"/>
    </row>
    <row r="46" spans="1:43" s="68" customFormat="1" ht="13.5" customHeight="1" x14ac:dyDescent="0.15">
      <c r="A46" s="70"/>
      <c r="B46" s="3051" t="str">
        <f>"日("&amp;(IF(入力1!Y66="","",TEXT(入力1!Y66,"aaa"))&amp;")")</f>
        <v>日()</v>
      </c>
      <c r="C46" s="3052"/>
      <c r="D46" s="3219" t="s">
        <v>293</v>
      </c>
      <c r="E46" s="3108">
        <f>入力1!Z68</f>
        <v>0</v>
      </c>
      <c r="F46" s="3109"/>
      <c r="G46" s="3110"/>
      <c r="H46" s="3108">
        <f>入力1!Z69</f>
        <v>0</v>
      </c>
      <c r="I46" s="3109"/>
      <c r="J46" s="3109"/>
      <c r="K46" s="3108">
        <f>入力1!Z70</f>
        <v>0</v>
      </c>
      <c r="L46" s="3109"/>
      <c r="M46" s="3109"/>
      <c r="N46" s="3108">
        <f>入力1!Z71</f>
        <v>0</v>
      </c>
      <c r="O46" s="3109"/>
      <c r="P46" s="3126"/>
      <c r="Q46" s="3109">
        <f>入力1!Z72</f>
        <v>0</v>
      </c>
      <c r="R46" s="3109"/>
      <c r="S46" s="3109"/>
      <c r="T46" s="3108">
        <f>入力1!Z73</f>
        <v>0</v>
      </c>
      <c r="U46" s="3109"/>
      <c r="V46" s="3109"/>
      <c r="W46" s="3108">
        <f>入力1!Z74</f>
        <v>0</v>
      </c>
      <c r="X46" s="3109"/>
      <c r="Y46" s="3109"/>
      <c r="Z46" s="3108">
        <f>入力1!Z75</f>
        <v>0</v>
      </c>
      <c r="AA46" s="3109"/>
      <c r="AB46" s="3126"/>
      <c r="AC46" s="3109">
        <f>入力1!Z77</f>
        <v>0</v>
      </c>
      <c r="AD46" s="3109"/>
      <c r="AE46" s="3109"/>
      <c r="AF46" s="3108">
        <f>入力1!Z78</f>
        <v>0</v>
      </c>
      <c r="AG46" s="3109"/>
      <c r="AH46" s="3109"/>
      <c r="AI46" s="3108">
        <f>入力1!Z79</f>
        <v>0</v>
      </c>
      <c r="AJ46" s="3109"/>
      <c r="AK46" s="3109"/>
      <c r="AL46" s="3108">
        <f>入力1!Z80</f>
        <v>0</v>
      </c>
      <c r="AM46" s="3109"/>
      <c r="AN46" s="3213"/>
    </row>
    <row r="47" spans="1:43" s="68" customFormat="1" ht="9" customHeight="1" thickBot="1" x14ac:dyDescent="0.2">
      <c r="A47" s="70"/>
      <c r="B47" s="3051"/>
      <c r="C47" s="3052"/>
      <c r="D47" s="3220"/>
      <c r="E47" s="3111"/>
      <c r="F47" s="3112"/>
      <c r="G47" s="3113"/>
      <c r="H47" s="3111"/>
      <c r="I47" s="3112"/>
      <c r="J47" s="3112"/>
      <c r="K47" s="3111"/>
      <c r="L47" s="3112"/>
      <c r="M47" s="3112"/>
      <c r="N47" s="3111"/>
      <c r="O47" s="3112"/>
      <c r="P47" s="3127"/>
      <c r="Q47" s="3112"/>
      <c r="R47" s="3112"/>
      <c r="S47" s="3112"/>
      <c r="T47" s="3111"/>
      <c r="U47" s="3112"/>
      <c r="V47" s="3112"/>
      <c r="W47" s="3111"/>
      <c r="X47" s="3112"/>
      <c r="Y47" s="3112"/>
      <c r="Z47" s="3111"/>
      <c r="AA47" s="3112"/>
      <c r="AB47" s="3127"/>
      <c r="AC47" s="3112"/>
      <c r="AD47" s="3112"/>
      <c r="AE47" s="3112"/>
      <c r="AF47" s="3111"/>
      <c r="AG47" s="3112"/>
      <c r="AH47" s="3112"/>
      <c r="AI47" s="3111"/>
      <c r="AJ47" s="3112"/>
      <c r="AK47" s="3112"/>
      <c r="AL47" s="3111"/>
      <c r="AM47" s="3112"/>
      <c r="AN47" s="3214"/>
    </row>
    <row r="48" spans="1:43" s="68" customFormat="1" ht="13.5" customHeight="1" x14ac:dyDescent="0.15">
      <c r="A48" s="70"/>
      <c r="B48" s="3051"/>
      <c r="C48" s="3052"/>
      <c r="D48" s="3104" t="s">
        <v>567</v>
      </c>
      <c r="E48" s="3207">
        <f>E44+E46</f>
        <v>0</v>
      </c>
      <c r="F48" s="3208"/>
      <c r="G48" s="3208"/>
      <c r="H48" s="3207">
        <f t="shared" ref="H48" si="39">H44+H46</f>
        <v>0</v>
      </c>
      <c r="I48" s="3208"/>
      <c r="J48" s="3208"/>
      <c r="K48" s="3207">
        <f t="shared" ref="K48" si="40">K44+K46</f>
        <v>0</v>
      </c>
      <c r="L48" s="3208"/>
      <c r="M48" s="3208"/>
      <c r="N48" s="3207">
        <f t="shared" ref="N48" si="41">N44+N46</f>
        <v>0</v>
      </c>
      <c r="O48" s="3208"/>
      <c r="P48" s="3211"/>
      <c r="Q48" s="3208">
        <f t="shared" ref="Q48" si="42">Q44+Q46</f>
        <v>0</v>
      </c>
      <c r="R48" s="3208"/>
      <c r="S48" s="3208"/>
      <c r="T48" s="3207">
        <f t="shared" ref="T48" si="43">T44+T46</f>
        <v>0</v>
      </c>
      <c r="U48" s="3208"/>
      <c r="V48" s="3208"/>
      <c r="W48" s="3207">
        <f t="shared" ref="W48" si="44">W44+W46</f>
        <v>0</v>
      </c>
      <c r="X48" s="3208"/>
      <c r="Y48" s="3208"/>
      <c r="Z48" s="3207">
        <f t="shared" ref="Z48" si="45">Z44+Z46</f>
        <v>0</v>
      </c>
      <c r="AA48" s="3208"/>
      <c r="AB48" s="3211"/>
      <c r="AC48" s="3208">
        <f t="shared" ref="AC48" si="46">AC44+AC46</f>
        <v>0</v>
      </c>
      <c r="AD48" s="3208"/>
      <c r="AE48" s="3208"/>
      <c r="AF48" s="3207">
        <f t="shared" ref="AF48" si="47">AF44+AF46</f>
        <v>0</v>
      </c>
      <c r="AG48" s="3208"/>
      <c r="AH48" s="3208"/>
      <c r="AI48" s="3207">
        <f t="shared" ref="AI48" si="48">AI44+AI46</f>
        <v>0</v>
      </c>
      <c r="AJ48" s="3208"/>
      <c r="AK48" s="3208"/>
      <c r="AL48" s="3207">
        <f t="shared" ref="AL48" si="49">AL44+AL46</f>
        <v>0</v>
      </c>
      <c r="AM48" s="3208"/>
      <c r="AN48" s="3208"/>
    </row>
    <row r="49" spans="1:43" s="68" customFormat="1" ht="9" customHeight="1" thickBot="1" x14ac:dyDescent="0.2">
      <c r="A49" s="70"/>
      <c r="B49" s="3053"/>
      <c r="C49" s="3054"/>
      <c r="D49" s="3105"/>
      <c r="E49" s="3209"/>
      <c r="F49" s="3210"/>
      <c r="G49" s="3210"/>
      <c r="H49" s="3209"/>
      <c r="I49" s="3210"/>
      <c r="J49" s="3210"/>
      <c r="K49" s="3209"/>
      <c r="L49" s="3210"/>
      <c r="M49" s="3210"/>
      <c r="N49" s="3209"/>
      <c r="O49" s="3210"/>
      <c r="P49" s="3212"/>
      <c r="Q49" s="3210"/>
      <c r="R49" s="3210"/>
      <c r="S49" s="3210"/>
      <c r="T49" s="3209"/>
      <c r="U49" s="3210"/>
      <c r="V49" s="3210"/>
      <c r="W49" s="3209"/>
      <c r="X49" s="3210"/>
      <c r="Y49" s="3210"/>
      <c r="Z49" s="3209"/>
      <c r="AA49" s="3210"/>
      <c r="AB49" s="3212"/>
      <c r="AC49" s="3210"/>
      <c r="AD49" s="3210"/>
      <c r="AE49" s="3210"/>
      <c r="AF49" s="3209"/>
      <c r="AG49" s="3210"/>
      <c r="AH49" s="3210"/>
      <c r="AI49" s="3209"/>
      <c r="AJ49" s="3210"/>
      <c r="AK49" s="3210"/>
      <c r="AL49" s="3209"/>
      <c r="AM49" s="3210"/>
      <c r="AN49" s="3210"/>
    </row>
    <row r="50" spans="1:43" s="68" customFormat="1" ht="12" customHeight="1" thickTop="1" x14ac:dyDescent="0.15">
      <c r="A50" s="70"/>
      <c r="B50" s="3055" t="str">
        <f>入力1!AC66</f>
        <v/>
      </c>
      <c r="C50" s="3056"/>
      <c r="D50" s="3100" t="s">
        <v>294</v>
      </c>
      <c r="E50" s="3114" t="s">
        <v>130</v>
      </c>
      <c r="F50" s="3115"/>
      <c r="G50" s="3116"/>
      <c r="H50" s="3114" t="s">
        <v>130</v>
      </c>
      <c r="I50" s="3115"/>
      <c r="J50" s="3116"/>
      <c r="K50" s="3114" t="s">
        <v>130</v>
      </c>
      <c r="L50" s="3115"/>
      <c r="M50" s="3116"/>
      <c r="N50" s="3114" t="s">
        <v>130</v>
      </c>
      <c r="O50" s="3115"/>
      <c r="P50" s="3117"/>
      <c r="Q50" s="3114" t="s">
        <v>130</v>
      </c>
      <c r="R50" s="3115"/>
      <c r="S50" s="3116"/>
      <c r="T50" s="3114" t="s">
        <v>130</v>
      </c>
      <c r="U50" s="3115"/>
      <c r="V50" s="3116"/>
      <c r="W50" s="3114" t="s">
        <v>130</v>
      </c>
      <c r="X50" s="3115"/>
      <c r="Y50" s="3116"/>
      <c r="Z50" s="3114" t="s">
        <v>130</v>
      </c>
      <c r="AA50" s="3115"/>
      <c r="AB50" s="3117"/>
      <c r="AC50" s="3118" t="s">
        <v>130</v>
      </c>
      <c r="AD50" s="3115"/>
      <c r="AE50" s="3116"/>
      <c r="AF50" s="3114" t="s">
        <v>130</v>
      </c>
      <c r="AG50" s="3115"/>
      <c r="AH50" s="3116"/>
      <c r="AI50" s="3114" t="s">
        <v>130</v>
      </c>
      <c r="AJ50" s="3115"/>
      <c r="AK50" s="3116"/>
      <c r="AL50" s="3114" t="s">
        <v>130</v>
      </c>
      <c r="AM50" s="3115"/>
      <c r="AN50" s="3116"/>
    </row>
    <row r="51" spans="1:43" s="68" customFormat="1" ht="12" customHeight="1" x14ac:dyDescent="0.15">
      <c r="A51" s="70"/>
      <c r="B51" s="3047" t="s">
        <v>60</v>
      </c>
      <c r="C51" s="3048"/>
      <c r="D51" s="3100"/>
      <c r="E51" s="3101">
        <f>入力1!AB68</f>
        <v>0</v>
      </c>
      <c r="F51" s="3102"/>
      <c r="G51" s="3103"/>
      <c r="H51" s="3101">
        <f>入力1!AB69</f>
        <v>0</v>
      </c>
      <c r="I51" s="3102"/>
      <c r="J51" s="3103"/>
      <c r="K51" s="3101">
        <f>入力1!AB70</f>
        <v>0</v>
      </c>
      <c r="L51" s="3102"/>
      <c r="M51" s="3103"/>
      <c r="N51" s="3101">
        <f>入力1!AB71</f>
        <v>0</v>
      </c>
      <c r="O51" s="3102"/>
      <c r="P51" s="3128"/>
      <c r="Q51" s="3129">
        <f>入力1!AB72</f>
        <v>0</v>
      </c>
      <c r="R51" s="3102"/>
      <c r="S51" s="3103"/>
      <c r="T51" s="3101">
        <f>入力1!AB73</f>
        <v>0</v>
      </c>
      <c r="U51" s="3102"/>
      <c r="V51" s="3103"/>
      <c r="W51" s="3101">
        <f>入力1!AB74</f>
        <v>0</v>
      </c>
      <c r="X51" s="3102"/>
      <c r="Y51" s="3103"/>
      <c r="Z51" s="3101">
        <f>入力1!AB75</f>
        <v>0</v>
      </c>
      <c r="AA51" s="3102"/>
      <c r="AB51" s="3128"/>
      <c r="AC51" s="3129"/>
      <c r="AD51" s="3102"/>
      <c r="AE51" s="3103"/>
      <c r="AF51" s="3101"/>
      <c r="AG51" s="3102"/>
      <c r="AH51" s="3103"/>
      <c r="AI51" s="3101"/>
      <c r="AJ51" s="3102"/>
      <c r="AK51" s="3103"/>
      <c r="AL51" s="3101"/>
      <c r="AM51" s="3102"/>
      <c r="AN51" s="3103"/>
    </row>
    <row r="52" spans="1:43" s="68" customFormat="1" ht="12" customHeight="1" thickBot="1" x14ac:dyDescent="0.2">
      <c r="A52" s="70"/>
      <c r="B52" s="3049" t="str">
        <f>入力1!AC66</f>
        <v/>
      </c>
      <c r="C52" s="3050"/>
      <c r="D52" s="3100"/>
      <c r="E52" s="3101"/>
      <c r="F52" s="3102"/>
      <c r="G52" s="3103"/>
      <c r="H52" s="3202"/>
      <c r="I52" s="3203"/>
      <c r="J52" s="3204"/>
      <c r="K52" s="3202"/>
      <c r="L52" s="3203"/>
      <c r="M52" s="3204"/>
      <c r="N52" s="3202"/>
      <c r="O52" s="3203"/>
      <c r="P52" s="3205"/>
      <c r="Q52" s="3206"/>
      <c r="R52" s="3203"/>
      <c r="S52" s="3204"/>
      <c r="T52" s="3202"/>
      <c r="U52" s="3203"/>
      <c r="V52" s="3204"/>
      <c r="W52" s="3202"/>
      <c r="X52" s="3203"/>
      <c r="Y52" s="3204"/>
      <c r="Z52" s="3202"/>
      <c r="AA52" s="3203"/>
      <c r="AB52" s="3205"/>
      <c r="AC52" s="3206"/>
      <c r="AD52" s="3203"/>
      <c r="AE52" s="3204"/>
      <c r="AF52" s="3202"/>
      <c r="AG52" s="3203"/>
      <c r="AH52" s="3204"/>
      <c r="AI52" s="3202"/>
      <c r="AJ52" s="3203"/>
      <c r="AK52" s="3204"/>
      <c r="AL52" s="3202"/>
      <c r="AM52" s="3203"/>
      <c r="AN52" s="3204"/>
    </row>
    <row r="53" spans="1:43" s="68" customFormat="1" ht="13.5" customHeight="1" x14ac:dyDescent="0.15">
      <c r="A53" s="70"/>
      <c r="B53" s="3051" t="str">
        <f>"日("&amp;(IF(入力1!AC66="","",TEXT(入力1!AC66,"aaa"))&amp;")")</f>
        <v>日()</v>
      </c>
      <c r="C53" s="3052"/>
      <c r="D53" s="3219" t="s">
        <v>293</v>
      </c>
      <c r="E53" s="3108">
        <f>入力1!AD68</f>
        <v>0</v>
      </c>
      <c r="F53" s="3109"/>
      <c r="G53" s="3110"/>
      <c r="H53" s="3108">
        <f>入力1!AD69</f>
        <v>0</v>
      </c>
      <c r="I53" s="3109"/>
      <c r="J53" s="3109"/>
      <c r="K53" s="3108">
        <f>入力1!AD70</f>
        <v>0</v>
      </c>
      <c r="L53" s="3109"/>
      <c r="M53" s="3109"/>
      <c r="N53" s="3108">
        <f>入力1!AD71</f>
        <v>0</v>
      </c>
      <c r="O53" s="3109"/>
      <c r="P53" s="3126"/>
      <c r="Q53" s="3109">
        <f>入力1!AD72</f>
        <v>0</v>
      </c>
      <c r="R53" s="3109"/>
      <c r="S53" s="3109"/>
      <c r="T53" s="3108">
        <f>入力1!AD73</f>
        <v>0</v>
      </c>
      <c r="U53" s="3109"/>
      <c r="V53" s="3109"/>
      <c r="W53" s="3108">
        <f>入力1!AD74</f>
        <v>0</v>
      </c>
      <c r="X53" s="3109"/>
      <c r="Y53" s="3109"/>
      <c r="Z53" s="3108">
        <f>入力1!AD75</f>
        <v>0</v>
      </c>
      <c r="AA53" s="3109"/>
      <c r="AB53" s="3126"/>
      <c r="AC53" s="3109"/>
      <c r="AD53" s="3109"/>
      <c r="AE53" s="3109"/>
      <c r="AF53" s="3108"/>
      <c r="AG53" s="3109"/>
      <c r="AH53" s="3109"/>
      <c r="AI53" s="3108"/>
      <c r="AJ53" s="3109"/>
      <c r="AK53" s="3109"/>
      <c r="AL53" s="3108"/>
      <c r="AM53" s="3109"/>
      <c r="AN53" s="3213"/>
    </row>
    <row r="54" spans="1:43" s="68" customFormat="1" ht="9" customHeight="1" thickBot="1" x14ac:dyDescent="0.2">
      <c r="A54" s="70"/>
      <c r="B54" s="3051"/>
      <c r="C54" s="3052"/>
      <c r="D54" s="3220"/>
      <c r="E54" s="3111"/>
      <c r="F54" s="3112"/>
      <c r="G54" s="3113"/>
      <c r="H54" s="3111"/>
      <c r="I54" s="3112"/>
      <c r="J54" s="3112"/>
      <c r="K54" s="3111"/>
      <c r="L54" s="3112"/>
      <c r="M54" s="3112"/>
      <c r="N54" s="3111"/>
      <c r="O54" s="3112"/>
      <c r="P54" s="3127"/>
      <c r="Q54" s="3112"/>
      <c r="R54" s="3112"/>
      <c r="S54" s="3112"/>
      <c r="T54" s="3111"/>
      <c r="U54" s="3112"/>
      <c r="V54" s="3112"/>
      <c r="W54" s="3111"/>
      <c r="X54" s="3112"/>
      <c r="Y54" s="3112"/>
      <c r="Z54" s="3111"/>
      <c r="AA54" s="3112"/>
      <c r="AB54" s="3127"/>
      <c r="AC54" s="3112"/>
      <c r="AD54" s="3112"/>
      <c r="AE54" s="3112"/>
      <c r="AF54" s="3111"/>
      <c r="AG54" s="3112"/>
      <c r="AH54" s="3112"/>
      <c r="AI54" s="3111"/>
      <c r="AJ54" s="3112"/>
      <c r="AK54" s="3112"/>
      <c r="AL54" s="3111"/>
      <c r="AM54" s="3112"/>
      <c r="AN54" s="3214"/>
      <c r="AP54" s="71"/>
      <c r="AQ54" s="71"/>
    </row>
    <row r="55" spans="1:43" s="68" customFormat="1" ht="13.5" customHeight="1" x14ac:dyDescent="0.15">
      <c r="A55" s="70"/>
      <c r="B55" s="3051"/>
      <c r="C55" s="3052"/>
      <c r="D55" s="3104" t="s">
        <v>132</v>
      </c>
      <c r="E55" s="3207">
        <f>E51+E53</f>
        <v>0</v>
      </c>
      <c r="F55" s="3208"/>
      <c r="G55" s="3208"/>
      <c r="H55" s="3207">
        <f t="shared" ref="H55" si="50">H51+H53</f>
        <v>0</v>
      </c>
      <c r="I55" s="3208"/>
      <c r="J55" s="3208"/>
      <c r="K55" s="3207">
        <f t="shared" ref="K55" si="51">K51+K53</f>
        <v>0</v>
      </c>
      <c r="L55" s="3208"/>
      <c r="M55" s="3208"/>
      <c r="N55" s="3207">
        <f t="shared" ref="N55" si="52">N51+N53</f>
        <v>0</v>
      </c>
      <c r="O55" s="3208"/>
      <c r="P55" s="3211"/>
      <c r="Q55" s="3208">
        <f t="shared" ref="Q55" si="53">Q51+Q53</f>
        <v>0</v>
      </c>
      <c r="R55" s="3208"/>
      <c r="S55" s="3208"/>
      <c r="T55" s="3207">
        <f t="shared" ref="T55" si="54">T51+T53</f>
        <v>0</v>
      </c>
      <c r="U55" s="3208"/>
      <c r="V55" s="3208"/>
      <c r="W55" s="3207">
        <f t="shared" ref="W55" si="55">W51+W53</f>
        <v>0</v>
      </c>
      <c r="X55" s="3208"/>
      <c r="Y55" s="3208"/>
      <c r="Z55" s="3207">
        <f t="shared" ref="Z55" si="56">Z51+Z53</f>
        <v>0</v>
      </c>
      <c r="AA55" s="3208"/>
      <c r="AB55" s="3211"/>
      <c r="AC55" s="3121"/>
      <c r="AD55" s="3121"/>
      <c r="AE55" s="3121"/>
      <c r="AF55" s="3121"/>
      <c r="AG55" s="3121"/>
      <c r="AH55" s="3121"/>
      <c r="AI55" s="3121"/>
      <c r="AJ55" s="3121"/>
      <c r="AK55" s="3121"/>
      <c r="AL55" s="3121"/>
      <c r="AM55" s="3121"/>
      <c r="AN55" s="3121"/>
      <c r="AO55" s="155"/>
    </row>
    <row r="56" spans="1:43" s="68" customFormat="1" ht="9" customHeight="1" thickBot="1" x14ac:dyDescent="0.2">
      <c r="A56" s="70"/>
      <c r="B56" s="3053"/>
      <c r="C56" s="3054"/>
      <c r="D56" s="3221"/>
      <c r="E56" s="3209"/>
      <c r="F56" s="3210"/>
      <c r="G56" s="3210"/>
      <c r="H56" s="3209"/>
      <c r="I56" s="3210"/>
      <c r="J56" s="3210"/>
      <c r="K56" s="3209"/>
      <c r="L56" s="3210"/>
      <c r="M56" s="3210"/>
      <c r="N56" s="3209"/>
      <c r="O56" s="3210"/>
      <c r="P56" s="3212"/>
      <c r="Q56" s="3210"/>
      <c r="R56" s="3210"/>
      <c r="S56" s="3210"/>
      <c r="T56" s="3209"/>
      <c r="U56" s="3210"/>
      <c r="V56" s="3210"/>
      <c r="W56" s="3209"/>
      <c r="X56" s="3210"/>
      <c r="Y56" s="3210"/>
      <c r="Z56" s="3209"/>
      <c r="AA56" s="3210"/>
      <c r="AB56" s="3212"/>
      <c r="AC56" s="3124"/>
      <c r="AD56" s="3124"/>
      <c r="AE56" s="3124"/>
      <c r="AF56" s="3124"/>
      <c r="AG56" s="3124"/>
      <c r="AH56" s="3124"/>
      <c r="AI56" s="3124"/>
      <c r="AJ56" s="3124"/>
      <c r="AK56" s="3124"/>
      <c r="AL56" s="3124"/>
      <c r="AM56" s="3124"/>
      <c r="AN56" s="3124"/>
      <c r="AO56" s="155"/>
    </row>
    <row r="57" spans="1:43" s="68" customFormat="1" ht="12" customHeight="1" thickTop="1" x14ac:dyDescent="0.15">
      <c r="A57" s="70"/>
      <c r="B57" s="3057" t="s">
        <v>131</v>
      </c>
      <c r="C57" s="3058"/>
      <c r="D57" s="3059"/>
      <c r="E57" s="3167" t="s">
        <v>130</v>
      </c>
      <c r="F57" s="3168"/>
      <c r="G57" s="3169"/>
      <c r="H57" s="3167" t="s">
        <v>130</v>
      </c>
      <c r="I57" s="3168"/>
      <c r="J57" s="3169"/>
      <c r="K57" s="3167" t="s">
        <v>130</v>
      </c>
      <c r="L57" s="3168"/>
      <c r="M57" s="3169"/>
      <c r="N57" s="3167" t="s">
        <v>130</v>
      </c>
      <c r="O57" s="3168"/>
      <c r="P57" s="3170"/>
      <c r="Q57" s="3114" t="s">
        <v>130</v>
      </c>
      <c r="R57" s="3115"/>
      <c r="S57" s="3116"/>
      <c r="T57" s="3114" t="s">
        <v>130</v>
      </c>
      <c r="U57" s="3115"/>
      <c r="V57" s="3116"/>
      <c r="W57" s="3114" t="s">
        <v>130</v>
      </c>
      <c r="X57" s="3115"/>
      <c r="Y57" s="3116"/>
      <c r="Z57" s="3114" t="s">
        <v>130</v>
      </c>
      <c r="AA57" s="3115"/>
      <c r="AB57" s="3117"/>
      <c r="AC57" s="3118" t="s">
        <v>130</v>
      </c>
      <c r="AD57" s="3115"/>
      <c r="AE57" s="3116"/>
      <c r="AF57" s="3114" t="s">
        <v>130</v>
      </c>
      <c r="AG57" s="3115"/>
      <c r="AH57" s="3116"/>
      <c r="AI57" s="3114" t="s">
        <v>130</v>
      </c>
      <c r="AJ57" s="3115"/>
      <c r="AK57" s="3116"/>
      <c r="AL57" s="3114" t="s">
        <v>130</v>
      </c>
      <c r="AM57" s="3115"/>
      <c r="AN57" s="3116"/>
    </row>
    <row r="58" spans="1:43" s="68" customFormat="1" ht="19.5" customHeight="1" x14ac:dyDescent="0.2">
      <c r="A58" s="70"/>
      <c r="B58" s="3060"/>
      <c r="C58" s="3061"/>
      <c r="D58" s="3062"/>
      <c r="E58" s="3164">
        <f>SUM(E23,E25,E30,E32,E37,E39,E44,E46,E51,E53)</f>
        <v>0</v>
      </c>
      <c r="F58" s="3165"/>
      <c r="G58" s="3166"/>
      <c r="H58" s="3164">
        <f>SUM(H23,H25,H30,H32,H37,H39,H44,H46,H51,H53)</f>
        <v>0</v>
      </c>
      <c r="I58" s="3165"/>
      <c r="J58" s="3166"/>
      <c r="K58" s="3164">
        <f>SUM(K23,K25,K30,K32,K37,K39,K44,K46,K51,K53)</f>
        <v>0</v>
      </c>
      <c r="L58" s="3165"/>
      <c r="M58" s="3166"/>
      <c r="N58" s="3164">
        <f>SUM(N23,N25,N30,N32,N37,N39,N44,N46,N51,N53)</f>
        <v>0</v>
      </c>
      <c r="O58" s="3165"/>
      <c r="P58" s="3171"/>
      <c r="Q58" s="3164">
        <f>SUM(Q16,Q18,Q23,Q25,Q30,Q32,Q37,Q39,Q44,Q46,Q51,Q53)</f>
        <v>0</v>
      </c>
      <c r="R58" s="3165"/>
      <c r="S58" s="3166"/>
      <c r="T58" s="3164">
        <f>SUM(T16,T18,T23,T25,T30,T32,T37,T39,T44,T46,T51,T53)</f>
        <v>0</v>
      </c>
      <c r="U58" s="3165"/>
      <c r="V58" s="3166"/>
      <c r="W58" s="3164">
        <f>SUM(W16,W18,W23,W25,W30,W32,W37,W39,W44,W46,W51,W53)</f>
        <v>0</v>
      </c>
      <c r="X58" s="3165"/>
      <c r="Y58" s="3166"/>
      <c r="Z58" s="3164">
        <f>SUM(Z16,Z18,Z23,Z25,Z30,Z32,Z37,Z39,Z44,Z46,Z51,Z53)</f>
        <v>0</v>
      </c>
      <c r="AA58" s="3165"/>
      <c r="AB58" s="3171"/>
      <c r="AC58" s="3164">
        <f>SUM(AC16,AC18,AC23,AC25,AC30,AC32,AC37,AC39,AC44,AC46)</f>
        <v>0</v>
      </c>
      <c r="AD58" s="3165"/>
      <c r="AE58" s="3166"/>
      <c r="AF58" s="3164">
        <f>SUM(AF16,AF18,AF23,AF25,AF30,AF32,AF37,AF39,AF44,AF46)</f>
        <v>0</v>
      </c>
      <c r="AG58" s="3165"/>
      <c r="AH58" s="3166"/>
      <c r="AI58" s="3164">
        <f>SUM(AI16,AI18,AI23,AI25,AI30,AI32,AI37,AI39,AI44,AI46)</f>
        <v>0</v>
      </c>
      <c r="AJ58" s="3165"/>
      <c r="AK58" s="3166"/>
      <c r="AL58" s="3164">
        <f>SUM(AL16,AL18,AL23,AL25,AL30,AL32,AL37,AL39,AL44,AL46)</f>
        <v>0</v>
      </c>
      <c r="AM58" s="3165"/>
      <c r="AN58" s="3166"/>
      <c r="AP58" s="70"/>
    </row>
    <row r="59" spans="1:43" s="68" customFormat="1" ht="3.75" customHeight="1" x14ac:dyDescent="0.2">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x14ac:dyDescent="0.15">
      <c r="A60" s="70"/>
      <c r="B60" s="3174" t="s">
        <v>300</v>
      </c>
      <c r="C60" s="3175"/>
      <c r="D60" s="3175"/>
      <c r="E60" s="3175"/>
      <c r="F60" s="3175"/>
      <c r="G60" s="3175"/>
      <c r="H60" s="3175"/>
      <c r="I60" s="3175"/>
      <c r="J60" s="3175"/>
      <c r="K60" s="3175"/>
      <c r="L60" s="3175"/>
      <c r="M60" s="3175"/>
      <c r="N60" s="3175"/>
      <c r="O60" s="3175"/>
      <c r="P60" s="3175"/>
      <c r="Q60" s="3175"/>
      <c r="R60" s="3175"/>
      <c r="S60" s="3175"/>
      <c r="T60" s="3175"/>
      <c r="U60" s="3175"/>
      <c r="V60" s="3175"/>
      <c r="W60" s="3175"/>
      <c r="X60" s="3175"/>
      <c r="Y60" s="3175"/>
      <c r="Z60" s="3175"/>
      <c r="AA60" s="3160" t="s">
        <v>129</v>
      </c>
      <c r="AB60" s="3160"/>
      <c r="AC60" s="3160"/>
      <c r="AD60" s="3160"/>
      <c r="AE60" s="3160"/>
      <c r="AF60" s="77"/>
      <c r="AG60" s="78"/>
      <c r="AH60" s="78"/>
      <c r="AI60" s="78"/>
      <c r="AJ60" s="78"/>
      <c r="AK60" s="78"/>
      <c r="AL60" s="78"/>
      <c r="AM60" s="78"/>
      <c r="AN60" s="79"/>
      <c r="AO60" s="69"/>
      <c r="AP60" s="70"/>
    </row>
    <row r="61" spans="1:43" s="68" customFormat="1" ht="13.5" customHeight="1" x14ac:dyDescent="0.15">
      <c r="A61" s="70"/>
      <c r="B61" s="155"/>
      <c r="C61" s="3172" t="s">
        <v>128</v>
      </c>
      <c r="D61" s="3173"/>
      <c r="E61" s="3201" t="s">
        <v>127</v>
      </c>
      <c r="F61" s="3201"/>
      <c r="G61" s="3201"/>
      <c r="H61" s="3201"/>
      <c r="I61" s="3201"/>
      <c r="J61" s="3201"/>
      <c r="K61" s="3201"/>
      <c r="L61" s="3201"/>
      <c r="M61" s="3201"/>
      <c r="N61" s="3201"/>
      <c r="O61" s="3201"/>
      <c r="P61" s="3201"/>
      <c r="Q61" s="3201"/>
      <c r="R61" s="3201"/>
      <c r="S61" s="3201"/>
      <c r="T61" s="3173"/>
      <c r="U61" s="3201" t="s">
        <v>126</v>
      </c>
      <c r="V61" s="3201"/>
      <c r="W61" s="3201"/>
      <c r="X61" s="3201"/>
      <c r="Y61" s="3201"/>
      <c r="Z61" s="3173"/>
      <c r="AA61" s="3176" t="s">
        <v>296</v>
      </c>
      <c r="AB61" s="3176"/>
      <c r="AC61" s="3176"/>
      <c r="AD61" s="3176"/>
      <c r="AE61" s="3176"/>
      <c r="AF61" s="3176"/>
      <c r="AG61" s="3176"/>
      <c r="AH61" s="3176"/>
      <c r="AI61" s="3176"/>
      <c r="AJ61" s="3176"/>
      <c r="AK61" s="3176"/>
      <c r="AL61" s="3176"/>
      <c r="AM61" s="3176"/>
      <c r="AN61" s="3177"/>
    </row>
    <row r="62" spans="1:43" s="68" customFormat="1" ht="16.5" customHeight="1" x14ac:dyDescent="0.15">
      <c r="A62" s="70"/>
      <c r="B62" s="155"/>
      <c r="C62" s="3192" t="str">
        <f>入力1!M89</f>
        <v>現金</v>
      </c>
      <c r="D62" s="3193"/>
      <c r="E62" s="3180" t="s">
        <v>125</v>
      </c>
      <c r="F62" s="3181"/>
      <c r="G62" s="3181"/>
      <c r="H62" s="3181"/>
      <c r="I62" s="3181"/>
      <c r="J62" s="3181"/>
      <c r="K62" s="3181"/>
      <c r="L62" s="3181"/>
      <c r="M62" s="3181"/>
      <c r="N62" s="159" t="s">
        <v>95</v>
      </c>
      <c r="O62" s="3182">
        <f>入力1!I89</f>
        <v>0</v>
      </c>
      <c r="P62" s="3182"/>
      <c r="Q62" s="3182"/>
      <c r="R62" s="3183" t="s">
        <v>103</v>
      </c>
      <c r="S62" s="3183"/>
      <c r="T62" s="3184"/>
      <c r="U62" s="3185"/>
      <c r="V62" s="3185"/>
      <c r="W62" s="3185"/>
      <c r="X62" s="3185"/>
      <c r="Y62" s="3185"/>
      <c r="Z62" s="3186"/>
      <c r="AA62" s="3176"/>
      <c r="AB62" s="3176"/>
      <c r="AC62" s="3176"/>
      <c r="AD62" s="3176"/>
      <c r="AE62" s="3176"/>
      <c r="AF62" s="3176"/>
      <c r="AG62" s="3176"/>
      <c r="AH62" s="3176"/>
      <c r="AI62" s="3176"/>
      <c r="AJ62" s="3176"/>
      <c r="AK62" s="3176"/>
      <c r="AL62" s="3176"/>
      <c r="AM62" s="3176"/>
      <c r="AN62" s="3177"/>
      <c r="AP62" s="70"/>
    </row>
    <row r="63" spans="1:43" s="68" customFormat="1" ht="16.5" customHeight="1" x14ac:dyDescent="0.15">
      <c r="A63" s="70"/>
      <c r="B63" s="293"/>
      <c r="C63" s="3194">
        <f>入力1!M90</f>
        <v>0</v>
      </c>
      <c r="D63" s="3195"/>
      <c r="E63" s="3187">
        <f>入力1!D90</f>
        <v>0</v>
      </c>
      <c r="F63" s="3188"/>
      <c r="G63" s="3188"/>
      <c r="H63" s="3188"/>
      <c r="I63" s="3188"/>
      <c r="J63" s="3188"/>
      <c r="K63" s="3188"/>
      <c r="L63" s="3188"/>
      <c r="M63" s="3188"/>
      <c r="N63" s="3188"/>
      <c r="O63" s="3188"/>
      <c r="P63" s="3188"/>
      <c r="Q63" s="3188"/>
      <c r="R63" s="3188"/>
      <c r="S63" s="3188"/>
      <c r="T63" s="3189"/>
      <c r="U63" s="3190"/>
      <c r="V63" s="3190"/>
      <c r="W63" s="3190"/>
      <c r="X63" s="3190"/>
      <c r="Y63" s="3190"/>
      <c r="Z63" s="3191"/>
      <c r="AA63" s="3176"/>
      <c r="AB63" s="3176"/>
      <c r="AC63" s="3176"/>
      <c r="AD63" s="3176"/>
      <c r="AE63" s="3176"/>
      <c r="AF63" s="3176"/>
      <c r="AG63" s="3176"/>
      <c r="AH63" s="3176"/>
      <c r="AI63" s="3176"/>
      <c r="AJ63" s="3176"/>
      <c r="AK63" s="3176"/>
      <c r="AL63" s="3176"/>
      <c r="AM63" s="3176"/>
      <c r="AN63" s="3177"/>
    </row>
    <row r="64" spans="1:43" s="68" customFormat="1" ht="16.5" customHeight="1" x14ac:dyDescent="0.15">
      <c r="A64" s="70"/>
      <c r="B64" s="155"/>
      <c r="C64" s="3194">
        <f>入力1!M91</f>
        <v>0</v>
      </c>
      <c r="D64" s="3195"/>
      <c r="E64" s="3187">
        <f>入力1!D91</f>
        <v>0</v>
      </c>
      <c r="F64" s="3188"/>
      <c r="G64" s="3188"/>
      <c r="H64" s="3188"/>
      <c r="I64" s="3188"/>
      <c r="J64" s="3188"/>
      <c r="K64" s="3188"/>
      <c r="L64" s="3188"/>
      <c r="M64" s="3188"/>
      <c r="N64" s="3188"/>
      <c r="O64" s="3188"/>
      <c r="P64" s="3188"/>
      <c r="Q64" s="3188"/>
      <c r="R64" s="3188"/>
      <c r="S64" s="3188"/>
      <c r="T64" s="3189"/>
      <c r="U64" s="3198"/>
      <c r="V64" s="3199"/>
      <c r="W64" s="3199"/>
      <c r="X64" s="3199"/>
      <c r="Y64" s="3199"/>
      <c r="Z64" s="3200"/>
      <c r="AA64" s="3176"/>
      <c r="AB64" s="3176"/>
      <c r="AC64" s="3176"/>
      <c r="AD64" s="3176"/>
      <c r="AE64" s="3176"/>
      <c r="AF64" s="3176"/>
      <c r="AG64" s="3176"/>
      <c r="AH64" s="3176"/>
      <c r="AI64" s="3176"/>
      <c r="AJ64" s="3176"/>
      <c r="AK64" s="3176"/>
      <c r="AL64" s="3176"/>
      <c r="AM64" s="3176"/>
      <c r="AN64" s="3177"/>
    </row>
    <row r="65" spans="1:43" s="68" customFormat="1" ht="26.25" customHeight="1" x14ac:dyDescent="0.15">
      <c r="B65" s="3196" t="s">
        <v>297</v>
      </c>
      <c r="C65" s="3176"/>
      <c r="D65" s="3176"/>
      <c r="E65" s="3176"/>
      <c r="F65" s="3176"/>
      <c r="G65" s="3176"/>
      <c r="H65" s="3176"/>
      <c r="I65" s="3176"/>
      <c r="J65" s="3176"/>
      <c r="K65" s="3176"/>
      <c r="L65" s="3176"/>
      <c r="M65" s="3176"/>
      <c r="N65" s="3176"/>
      <c r="O65" s="3176"/>
      <c r="P65" s="3176"/>
      <c r="Q65" s="3176"/>
      <c r="R65" s="3176"/>
      <c r="S65" s="3176"/>
      <c r="T65" s="3176"/>
      <c r="U65" s="3176"/>
      <c r="V65" s="3176"/>
      <c r="W65" s="3176"/>
      <c r="X65" s="3176"/>
      <c r="Y65" s="3176"/>
      <c r="Z65" s="3176"/>
      <c r="AA65" s="3176"/>
      <c r="AB65" s="3176"/>
      <c r="AC65" s="3176"/>
      <c r="AD65" s="3176"/>
      <c r="AE65" s="3176"/>
      <c r="AF65" s="3176"/>
      <c r="AG65" s="3176"/>
      <c r="AH65" s="3176"/>
      <c r="AI65" s="3176"/>
      <c r="AJ65" s="3176"/>
      <c r="AK65" s="3176"/>
      <c r="AL65" s="3176"/>
      <c r="AM65" s="3176"/>
      <c r="AN65" s="3177"/>
      <c r="AO65" s="74"/>
    </row>
    <row r="66" spans="1:43" s="68" customFormat="1" ht="22.5" customHeight="1" x14ac:dyDescent="0.15">
      <c r="B66" s="3196"/>
      <c r="C66" s="3176"/>
      <c r="D66" s="3176"/>
      <c r="E66" s="3176"/>
      <c r="F66" s="3176"/>
      <c r="G66" s="3176"/>
      <c r="H66" s="3176"/>
      <c r="I66" s="3176"/>
      <c r="J66" s="3176"/>
      <c r="K66" s="3176"/>
      <c r="L66" s="3176"/>
      <c r="M66" s="3176"/>
      <c r="N66" s="3176"/>
      <c r="O66" s="3176"/>
      <c r="P66" s="3176"/>
      <c r="Q66" s="3176"/>
      <c r="R66" s="3176"/>
      <c r="S66" s="3176"/>
      <c r="T66" s="3176"/>
      <c r="U66" s="3176"/>
      <c r="V66" s="3176"/>
      <c r="W66" s="3176"/>
      <c r="X66" s="3176"/>
      <c r="Y66" s="3176"/>
      <c r="Z66" s="3176"/>
      <c r="AA66" s="3176"/>
      <c r="AB66" s="3176"/>
      <c r="AC66" s="3176"/>
      <c r="AD66" s="3176"/>
      <c r="AE66" s="3176"/>
      <c r="AF66" s="3176"/>
      <c r="AG66" s="3176"/>
      <c r="AH66" s="3176"/>
      <c r="AI66" s="3176"/>
      <c r="AJ66" s="3176"/>
      <c r="AK66" s="3176"/>
      <c r="AL66" s="3176"/>
      <c r="AM66" s="3176"/>
      <c r="AN66" s="3177"/>
      <c r="AO66" s="74"/>
    </row>
    <row r="67" spans="1:43" s="68" customFormat="1" ht="15" customHeight="1" x14ac:dyDescent="0.15">
      <c r="A67" s="70"/>
      <c r="B67" s="3197"/>
      <c r="C67" s="3178"/>
      <c r="D67" s="3178"/>
      <c r="E67" s="3178"/>
      <c r="F67" s="3178"/>
      <c r="G67" s="3178"/>
      <c r="H67" s="3178"/>
      <c r="I67" s="3178"/>
      <c r="J67" s="3178"/>
      <c r="K67" s="3178"/>
      <c r="L67" s="3178"/>
      <c r="M67" s="3178"/>
      <c r="N67" s="3178"/>
      <c r="O67" s="3178"/>
      <c r="P67" s="3178"/>
      <c r="Q67" s="3178"/>
      <c r="R67" s="3178"/>
      <c r="S67" s="3178"/>
      <c r="T67" s="3178"/>
      <c r="U67" s="3178"/>
      <c r="V67" s="3178"/>
      <c r="W67" s="3178"/>
      <c r="X67" s="3178"/>
      <c r="Y67" s="3178"/>
      <c r="Z67" s="3178"/>
      <c r="AA67" s="3178"/>
      <c r="AB67" s="3178"/>
      <c r="AC67" s="3178"/>
      <c r="AD67" s="3178"/>
      <c r="AE67" s="3178"/>
      <c r="AF67" s="3178"/>
      <c r="AG67" s="3178"/>
      <c r="AH67" s="3178"/>
      <c r="AI67" s="3178"/>
      <c r="AJ67" s="3178"/>
      <c r="AK67" s="3178"/>
      <c r="AL67" s="3178"/>
      <c r="AM67" s="3178"/>
      <c r="AN67" s="3179"/>
      <c r="AO67" s="74"/>
      <c r="AQ67" s="70"/>
    </row>
  </sheetData>
  <sheetProtection algorithmName="SHA-512" hashValue="tGpFBUytY/SENpPszMVBZeS0EtR7lwz4RgI73AaVWWoXjRItk+rJoaJEun748Fcy1BEoRUrecXnCaE+qPIri9w==" saltValue="NGHrdBPKxGPgjsWmGrwHkg==" spinCount="100000" sheet="1" selectLockedCells="1"/>
  <mergeCells count="453">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 ref="E41:G42"/>
    <mergeCell ref="H41:J42"/>
    <mergeCell ref="K41:M42"/>
    <mergeCell ref="N41:P42"/>
    <mergeCell ref="Q41:S42"/>
    <mergeCell ref="T41:V42"/>
    <mergeCell ref="W41:Y42"/>
    <mergeCell ref="Z41:AB42"/>
    <mergeCell ref="AC41:AE42"/>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T27:V28"/>
    <mergeCell ref="W27:Y28"/>
    <mergeCell ref="Q37:S38"/>
    <mergeCell ref="N25:P26"/>
    <mergeCell ref="Q25:S26"/>
    <mergeCell ref="T25:V26"/>
    <mergeCell ref="T37:V38"/>
    <mergeCell ref="W37:Y38"/>
    <mergeCell ref="N34:P35"/>
    <mergeCell ref="T36:V36"/>
    <mergeCell ref="W36:Y36"/>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16:AK17"/>
    <mergeCell ref="AL16:AN17"/>
    <mergeCell ref="AI22:AK22"/>
    <mergeCell ref="T20:V21"/>
    <mergeCell ref="W20:Y21"/>
    <mergeCell ref="Z20:AB21"/>
    <mergeCell ref="AC20:AE21"/>
    <mergeCell ref="AF20:AH21"/>
    <mergeCell ref="AI20:AK21"/>
    <mergeCell ref="AL20:AN21"/>
    <mergeCell ref="Z18:AB1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N12:P13"/>
    <mergeCell ref="Q12:Y12"/>
    <mergeCell ref="Z12:AB13"/>
    <mergeCell ref="AC12:AK12"/>
    <mergeCell ref="AL12:AN13"/>
    <mergeCell ref="AC13:AE13"/>
    <mergeCell ref="AF13:AH13"/>
    <mergeCell ref="AI13:AK13"/>
    <mergeCell ref="Q13:S13"/>
    <mergeCell ref="T13:V13"/>
    <mergeCell ref="W13:Y13"/>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s>
  <phoneticPr fontId="1"/>
  <pageMargins left="0.47244094488188981" right="0.39370078740157483" top="0.23622047244094491" bottom="0" header="0" footer="0"/>
  <pageSetup paperSize="9"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I86"/>
  <sheetViews>
    <sheetView showGridLines="0" view="pageBreakPreview" zoomScaleNormal="100" zoomScaleSheetLayoutView="100" workbookViewId="0">
      <selection activeCell="B60" sqref="B60:D60"/>
    </sheetView>
  </sheetViews>
  <sheetFormatPr defaultRowHeight="13.5" x14ac:dyDescent="0.1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x14ac:dyDescent="0.15">
      <c r="A1" s="3361" t="s">
        <v>54</v>
      </c>
      <c r="B1" s="3361"/>
      <c r="C1" s="3361"/>
      <c r="D1" s="45">
        <f>Y4</f>
        <v>2</v>
      </c>
      <c r="E1" s="3362" t="s">
        <v>55</v>
      </c>
      <c r="F1" s="3362"/>
      <c r="G1" s="3362"/>
      <c r="H1" s="3372" t="s">
        <v>221</v>
      </c>
      <c r="I1" s="3372"/>
      <c r="J1" s="3372"/>
      <c r="K1" s="3372"/>
      <c r="L1" s="3372"/>
      <c r="M1" s="3372"/>
      <c r="N1" s="3372"/>
      <c r="O1" s="3372"/>
      <c r="P1" s="3372"/>
      <c r="Q1" s="3372"/>
      <c r="R1" s="3372"/>
      <c r="S1" s="3372"/>
      <c r="T1" s="3372"/>
      <c r="U1" s="3372"/>
      <c r="V1" s="3372"/>
      <c r="W1" s="3372"/>
      <c r="X1" s="3372"/>
      <c r="Y1" s="3372"/>
      <c r="Z1" s="3372"/>
      <c r="AA1" s="3372"/>
      <c r="AB1" s="3372"/>
    </row>
    <row r="2" spans="1:35" ht="20.25" customHeight="1" x14ac:dyDescent="0.15">
      <c r="A2" s="2"/>
      <c r="B2" s="3258"/>
      <c r="C2" s="3258"/>
      <c r="D2" s="3258"/>
      <c r="E2" s="80"/>
      <c r="F2" s="80"/>
      <c r="G2" s="80"/>
      <c r="H2" s="80"/>
      <c r="I2" s="80"/>
      <c r="J2" s="80"/>
      <c r="K2" s="80"/>
      <c r="L2" s="80"/>
      <c r="M2" s="80"/>
      <c r="N2" s="80"/>
      <c r="O2" s="80"/>
      <c r="P2" s="80"/>
      <c r="Q2" s="80"/>
      <c r="S2" s="3009" t="s">
        <v>5</v>
      </c>
      <c r="T2" s="3009"/>
      <c r="U2" s="3009"/>
      <c r="V2" s="3005">
        <f>入力1!AF2</f>
        <v>0</v>
      </c>
      <c r="W2" s="3005"/>
      <c r="X2" s="3005"/>
      <c r="Y2" s="3005"/>
      <c r="Z2" s="3005"/>
      <c r="AA2" s="3005"/>
    </row>
    <row r="3" spans="1:35" ht="20.25" customHeight="1" x14ac:dyDescent="0.15">
      <c r="A3" s="2"/>
      <c r="B3" s="3258"/>
      <c r="C3" s="3258"/>
      <c r="D3" s="3258"/>
      <c r="E3" s="80"/>
      <c r="F3" s="80"/>
      <c r="G3" s="80"/>
      <c r="H3" s="80"/>
      <c r="I3" s="80"/>
      <c r="J3" s="80"/>
      <c r="K3" s="80"/>
      <c r="L3" s="80"/>
      <c r="M3" s="80"/>
      <c r="N3" s="80"/>
      <c r="O3" s="80"/>
      <c r="P3" s="80"/>
      <c r="Q3" s="80"/>
      <c r="S3" s="3010" t="s">
        <v>6</v>
      </c>
      <c r="T3" s="3010"/>
      <c r="U3" s="3010"/>
      <c r="V3" s="3363" t="s">
        <v>399</v>
      </c>
      <c r="W3" s="3363"/>
      <c r="X3" s="3363"/>
      <c r="Y3" s="3363"/>
      <c r="Z3" s="3363"/>
      <c r="AA3" s="3363"/>
      <c r="AD3" s="40"/>
    </row>
    <row r="4" spans="1:35" ht="33.75" customHeight="1" x14ac:dyDescent="0.25">
      <c r="B4" s="3224" t="s">
        <v>138</v>
      </c>
      <c r="C4" s="3224"/>
      <c r="D4" s="3224"/>
      <c r="E4" s="3224"/>
      <c r="F4" s="3224"/>
      <c r="G4" s="3224"/>
      <c r="H4" s="3224"/>
      <c r="I4" s="3224"/>
      <c r="J4" s="3224"/>
      <c r="K4" s="3224"/>
      <c r="L4" s="3224"/>
      <c r="M4" s="3224"/>
      <c r="N4" s="3224"/>
      <c r="O4" s="3224"/>
      <c r="P4" s="3224"/>
      <c r="Q4" s="3224"/>
      <c r="R4" s="3224"/>
      <c r="S4" s="3224"/>
      <c r="T4" s="3224"/>
      <c r="U4" s="82" t="s">
        <v>210</v>
      </c>
      <c r="V4" s="3246">
        <v>1</v>
      </c>
      <c r="W4" s="3246"/>
      <c r="X4" s="85" t="s">
        <v>56</v>
      </c>
      <c r="Y4" s="3246">
        <v>2</v>
      </c>
      <c r="Z4" s="3246"/>
      <c r="AA4" s="86" t="s">
        <v>57</v>
      </c>
    </row>
    <row r="5" spans="1:35" ht="3.75" customHeight="1" thickBot="1" x14ac:dyDescent="0.3">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x14ac:dyDescent="0.15">
      <c r="B6" s="3368" t="s">
        <v>38</v>
      </c>
      <c r="C6" s="3369"/>
      <c r="D6" s="3370"/>
      <c r="E6" s="3358">
        <f>入力1!G24</f>
        <v>0</v>
      </c>
      <c r="F6" s="3359"/>
      <c r="G6" s="3359"/>
      <c r="H6" s="3360" t="s">
        <v>29</v>
      </c>
      <c r="I6" s="3360"/>
      <c r="J6" s="101">
        <f>入力1!J24</f>
        <v>0</v>
      </c>
      <c r="K6" s="100" t="s">
        <v>30</v>
      </c>
      <c r="L6" s="101">
        <f>入力1!L24</f>
        <v>0</v>
      </c>
      <c r="M6" s="100" t="s">
        <v>37</v>
      </c>
      <c r="N6" s="161" t="s">
        <v>32</v>
      </c>
      <c r="O6" s="100" t="str">
        <f>入力1!O24</f>
        <v/>
      </c>
      <c r="P6" s="540" t="s">
        <v>33</v>
      </c>
      <c r="Q6" s="3371" t="s">
        <v>51</v>
      </c>
      <c r="R6" s="3371"/>
      <c r="S6" s="512" t="str">
        <f>入力1!T24</f>
        <v/>
      </c>
      <c r="T6" s="100" t="s">
        <v>30</v>
      </c>
      <c r="U6" s="513" t="str">
        <f>入力1!V24</f>
        <v/>
      </c>
      <c r="V6" s="100" t="s">
        <v>31</v>
      </c>
      <c r="W6" s="161" t="s">
        <v>15</v>
      </c>
      <c r="X6" s="504" t="str">
        <f>入力1!Y24</f>
        <v/>
      </c>
      <c r="Y6" s="540" t="s">
        <v>33</v>
      </c>
      <c r="Z6" s="3343" t="s">
        <v>47</v>
      </c>
      <c r="AA6" s="3344"/>
      <c r="AB6" s="23"/>
      <c r="AC6" s="23"/>
      <c r="AD6" s="23"/>
      <c r="AE6" s="23"/>
      <c r="AF6" s="23"/>
      <c r="AG6" s="23"/>
      <c r="AH6" s="23"/>
      <c r="AI6" s="23"/>
    </row>
    <row r="7" spans="1:35" ht="30" customHeight="1" thickBot="1" x14ac:dyDescent="0.2">
      <c r="B7" s="3364" t="s">
        <v>7</v>
      </c>
      <c r="C7" s="3365"/>
      <c r="D7" s="3366"/>
      <c r="E7" s="3340" t="str">
        <f>入力1!B7</f>
        <v/>
      </c>
      <c r="F7" s="3341"/>
      <c r="G7" s="3341"/>
      <c r="H7" s="3341"/>
      <c r="I7" s="3341"/>
      <c r="J7" s="3341"/>
      <c r="K7" s="3341"/>
      <c r="L7" s="3341"/>
      <c r="M7" s="3341"/>
      <c r="N7" s="3341"/>
      <c r="O7" s="3341"/>
      <c r="P7" s="3341"/>
      <c r="Q7" s="3341"/>
      <c r="R7" s="3341"/>
      <c r="S7" s="3341"/>
      <c r="T7" s="3341"/>
      <c r="U7" s="3341"/>
      <c r="V7" s="3341"/>
      <c r="W7" s="3341"/>
      <c r="X7" s="3341"/>
      <c r="Y7" s="3341"/>
      <c r="Z7" s="3341"/>
      <c r="AA7" s="3342"/>
      <c r="AB7" s="23"/>
      <c r="AC7" s="23"/>
      <c r="AD7" s="23"/>
      <c r="AE7" s="23"/>
      <c r="AF7" s="23"/>
      <c r="AG7" s="23"/>
      <c r="AH7" s="23"/>
      <c r="AI7" s="23"/>
    </row>
    <row r="8" spans="1:35" ht="18.75" customHeight="1" x14ac:dyDescent="0.15">
      <c r="B8" s="3367" t="s">
        <v>145</v>
      </c>
      <c r="C8" s="3367"/>
      <c r="D8" s="3367"/>
      <c r="E8" s="3367"/>
      <c r="F8" s="3367"/>
      <c r="G8" s="3367"/>
      <c r="H8" s="3367"/>
      <c r="I8" s="3367"/>
      <c r="J8" s="3367"/>
      <c r="K8" s="3367"/>
      <c r="L8" s="3367"/>
      <c r="M8" s="3367"/>
      <c r="N8" s="3367"/>
      <c r="O8" s="3367"/>
      <c r="P8" s="3367"/>
      <c r="Q8" s="3367"/>
      <c r="R8" s="3367"/>
      <c r="S8" s="3367"/>
      <c r="T8" s="3367"/>
      <c r="U8" s="3367"/>
      <c r="V8" s="3367"/>
      <c r="W8" s="3367"/>
      <c r="X8" s="3367"/>
      <c r="Y8" s="3367"/>
      <c r="Z8" s="3367"/>
      <c r="AA8" s="98"/>
      <c r="AB8" s="23"/>
      <c r="AC8" s="23"/>
      <c r="AD8" s="23"/>
      <c r="AE8" s="23"/>
      <c r="AF8" s="23"/>
      <c r="AG8" s="23"/>
      <c r="AH8" s="91"/>
      <c r="AI8" s="23"/>
    </row>
    <row r="9" spans="1:35" ht="17.25" customHeight="1" x14ac:dyDescent="0.15">
      <c r="B9" s="353"/>
      <c r="C9" s="354" t="s">
        <v>36</v>
      </c>
      <c r="D9" s="355" t="str">
        <f>IF(入力1!F97="なし","○","")</f>
        <v/>
      </c>
      <c r="E9" s="356" t="s">
        <v>33</v>
      </c>
      <c r="F9" s="3353" t="s">
        <v>139</v>
      </c>
      <c r="G9" s="3353"/>
      <c r="H9" s="3353"/>
      <c r="I9" s="3353"/>
      <c r="J9" s="3355" t="s">
        <v>141</v>
      </c>
      <c r="K9" s="3355"/>
      <c r="L9" s="3357" t="s">
        <v>143</v>
      </c>
      <c r="M9" s="3357"/>
      <c r="N9" s="3357"/>
      <c r="O9" s="3357"/>
      <c r="P9" s="3357"/>
      <c r="Q9" s="3357"/>
      <c r="R9" s="3357"/>
      <c r="S9" s="3357"/>
      <c r="T9" s="3357"/>
      <c r="U9" s="3357"/>
      <c r="V9" s="3357"/>
      <c r="W9" s="3357"/>
      <c r="X9" s="3357"/>
      <c r="Y9" s="3357"/>
      <c r="Z9" s="3357"/>
      <c r="AA9" s="3357"/>
      <c r="AB9" s="23"/>
      <c r="AC9" s="23"/>
      <c r="AD9" s="23"/>
      <c r="AE9" s="23"/>
      <c r="AF9" s="23"/>
      <c r="AG9" s="23"/>
      <c r="AH9" s="23"/>
      <c r="AI9" s="23"/>
    </row>
    <row r="10" spans="1:35" ht="17.25" customHeight="1" x14ac:dyDescent="0.15">
      <c r="B10" s="353"/>
      <c r="C10" s="354" t="s">
        <v>36</v>
      </c>
      <c r="D10" s="355" t="str">
        <f>IF(入力1!F97="あり","○","")</f>
        <v/>
      </c>
      <c r="E10" s="356" t="s">
        <v>33</v>
      </c>
      <c r="F10" s="3354" t="s">
        <v>140</v>
      </c>
      <c r="G10" s="3354"/>
      <c r="H10" s="3354"/>
      <c r="I10" s="3354"/>
      <c r="J10" s="3356" t="s">
        <v>141</v>
      </c>
      <c r="K10" s="3356"/>
      <c r="L10" s="3354" t="s">
        <v>142</v>
      </c>
      <c r="M10" s="3354"/>
      <c r="N10" s="3354"/>
      <c r="O10" s="3354"/>
      <c r="P10" s="3354"/>
      <c r="Q10" s="3354"/>
      <c r="R10" s="3354"/>
      <c r="S10" s="3354"/>
      <c r="T10" s="3354"/>
      <c r="U10" s="3354"/>
      <c r="V10" s="3354"/>
      <c r="W10" s="3354"/>
      <c r="X10" s="3354"/>
      <c r="Y10" s="3354"/>
      <c r="Z10" s="3354"/>
      <c r="AA10" s="3354"/>
      <c r="AB10" s="23"/>
      <c r="AC10" s="23"/>
      <c r="AD10" s="23"/>
      <c r="AE10" s="23"/>
      <c r="AF10" s="23"/>
      <c r="AG10" s="23"/>
      <c r="AH10" s="23"/>
      <c r="AI10" s="23"/>
    </row>
    <row r="11" spans="1:35" ht="2.25" customHeight="1" thickBot="1" x14ac:dyDescent="0.2">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x14ac:dyDescent="0.15">
      <c r="B12" s="3332" t="s">
        <v>20</v>
      </c>
      <c r="C12" s="3333"/>
      <c r="D12" s="3334"/>
      <c r="E12" s="3338" t="s">
        <v>21</v>
      </c>
      <c r="F12" s="3333"/>
      <c r="G12" s="3333"/>
      <c r="H12" s="3334"/>
      <c r="I12" s="3345" t="s">
        <v>22</v>
      </c>
      <c r="J12" s="3346"/>
      <c r="K12" s="3346"/>
      <c r="L12" s="3346"/>
      <c r="M12" s="3346"/>
      <c r="N12" s="3346"/>
      <c r="O12" s="3346"/>
      <c r="P12" s="3346"/>
      <c r="Q12" s="3346"/>
      <c r="R12" s="3346"/>
      <c r="S12" s="3346"/>
      <c r="T12" s="3346"/>
      <c r="U12" s="3346"/>
      <c r="V12" s="3346"/>
      <c r="W12" s="3346"/>
      <c r="X12" s="3346"/>
      <c r="Y12" s="3346"/>
      <c r="Z12" s="3346"/>
      <c r="AA12" s="3347"/>
      <c r="AB12" s="23"/>
      <c r="AC12" s="23"/>
      <c r="AD12" s="23"/>
      <c r="AE12" s="23"/>
      <c r="AF12" s="23"/>
      <c r="AG12" s="23"/>
      <c r="AH12" s="23"/>
      <c r="AI12" s="23"/>
    </row>
    <row r="13" spans="1:35" ht="19.5" customHeight="1" thickBot="1" x14ac:dyDescent="0.2">
      <c r="B13" s="3335"/>
      <c r="C13" s="3336"/>
      <c r="D13" s="3337"/>
      <c r="E13" s="3339"/>
      <c r="F13" s="3336"/>
      <c r="G13" s="3336"/>
      <c r="H13" s="3337"/>
      <c r="I13" s="3348" t="s">
        <v>149</v>
      </c>
      <c r="J13" s="3349"/>
      <c r="K13" s="3349"/>
      <c r="L13" s="3349"/>
      <c r="M13" s="3349"/>
      <c r="N13" s="3349"/>
      <c r="O13" s="3349"/>
      <c r="P13" s="3349"/>
      <c r="Q13" s="3349"/>
      <c r="R13" s="3349"/>
      <c r="S13" s="3350"/>
      <c r="T13" s="3348" t="s">
        <v>24</v>
      </c>
      <c r="U13" s="3351"/>
      <c r="V13" s="3348" t="s">
        <v>25</v>
      </c>
      <c r="W13" s="3349"/>
      <c r="X13" s="3350"/>
      <c r="Y13" s="3348" t="s">
        <v>23</v>
      </c>
      <c r="Z13" s="3349"/>
      <c r="AA13" s="3352"/>
      <c r="AB13" s="23"/>
      <c r="AC13" s="23"/>
      <c r="AD13" s="23"/>
      <c r="AE13" s="103"/>
      <c r="AF13" s="23"/>
      <c r="AG13" s="23"/>
      <c r="AH13" s="23"/>
      <c r="AI13" s="23"/>
    </row>
    <row r="14" spans="1:35" ht="25.5" customHeight="1" x14ac:dyDescent="0.15">
      <c r="B14" s="3267">
        <f>入力1!D110</f>
        <v>0</v>
      </c>
      <c r="C14" s="3268"/>
      <c r="D14" s="3269"/>
      <c r="E14" s="3276" t="str">
        <f>IF(入力1!H110="","",入力1!H110)</f>
        <v/>
      </c>
      <c r="F14" s="3268" t="s">
        <v>14</v>
      </c>
      <c r="G14" s="3278" t="str">
        <f>IF(入力1!H110="","",入力1!H110)</f>
        <v/>
      </c>
      <c r="H14" s="3269" t="s">
        <v>1</v>
      </c>
      <c r="I14" s="3280">
        <f>入力1!L110</f>
        <v>0</v>
      </c>
      <c r="J14" s="3281"/>
      <c r="K14" s="3281"/>
      <c r="L14" s="3281"/>
      <c r="M14" s="3281"/>
      <c r="N14" s="3281"/>
      <c r="O14" s="3281"/>
      <c r="P14" s="3281"/>
      <c r="Q14" s="3281"/>
      <c r="R14" s="3281"/>
      <c r="S14" s="3282"/>
      <c r="T14" s="3298">
        <f>入力1!T110</f>
        <v>0</v>
      </c>
      <c r="U14" s="3299"/>
      <c r="V14" s="3300">
        <f>入力1!V110</f>
        <v>0</v>
      </c>
      <c r="W14" s="3301"/>
      <c r="X14" s="3302"/>
      <c r="Y14" s="3303">
        <f>入力1!X110</f>
        <v>0</v>
      </c>
      <c r="Z14" s="3304"/>
      <c r="AA14" s="3305"/>
    </row>
    <row r="15" spans="1:35" ht="25.5" customHeight="1" x14ac:dyDescent="0.15">
      <c r="B15" s="3270"/>
      <c r="C15" s="3271"/>
      <c r="D15" s="3272"/>
      <c r="E15" s="3277"/>
      <c r="F15" s="3271"/>
      <c r="G15" s="3279"/>
      <c r="H15" s="3272"/>
      <c r="I15" s="3247">
        <f>入力1!L111</f>
        <v>0</v>
      </c>
      <c r="J15" s="3248"/>
      <c r="K15" s="3248"/>
      <c r="L15" s="3248"/>
      <c r="M15" s="3248"/>
      <c r="N15" s="3248"/>
      <c r="O15" s="3248"/>
      <c r="P15" s="3248"/>
      <c r="Q15" s="3248"/>
      <c r="R15" s="3248"/>
      <c r="S15" s="3249"/>
      <c r="T15" s="3250">
        <f>入力1!T111</f>
        <v>0</v>
      </c>
      <c r="U15" s="3251"/>
      <c r="V15" s="3252">
        <f>入力1!V111</f>
        <v>0</v>
      </c>
      <c r="W15" s="3253"/>
      <c r="X15" s="3254"/>
      <c r="Y15" s="3255">
        <f>入力1!X111</f>
        <v>0</v>
      </c>
      <c r="Z15" s="3256"/>
      <c r="AA15" s="3257"/>
      <c r="AB15" s="23"/>
      <c r="AC15" s="23"/>
      <c r="AD15" s="23"/>
      <c r="AE15" s="23"/>
      <c r="AF15" s="23"/>
      <c r="AG15" s="23"/>
      <c r="AH15" s="23"/>
      <c r="AI15" s="23"/>
    </row>
    <row r="16" spans="1:35" ht="10.5" customHeight="1" x14ac:dyDescent="0.15">
      <c r="B16" s="3273"/>
      <c r="C16" s="3274"/>
      <c r="D16" s="3275"/>
      <c r="E16" s="3289">
        <f>入力1!H112</f>
        <v>0</v>
      </c>
      <c r="F16" s="3271" t="s">
        <v>46</v>
      </c>
      <c r="G16" s="3292">
        <f>入力1!J112</f>
        <v>0</v>
      </c>
      <c r="H16" s="3272" t="s">
        <v>45</v>
      </c>
      <c r="I16" s="3306">
        <f>入力1!L112</f>
        <v>0</v>
      </c>
      <c r="J16" s="3307"/>
      <c r="K16" s="3307"/>
      <c r="L16" s="3307"/>
      <c r="M16" s="3307"/>
      <c r="N16" s="3307"/>
      <c r="O16" s="3307"/>
      <c r="P16" s="3307"/>
      <c r="Q16" s="3307"/>
      <c r="R16" s="3307"/>
      <c r="S16" s="3308"/>
      <c r="T16" s="3312">
        <f>入力1!T112</f>
        <v>0</v>
      </c>
      <c r="U16" s="3313"/>
      <c r="V16" s="3316">
        <f>入力1!V112</f>
        <v>0</v>
      </c>
      <c r="W16" s="3317"/>
      <c r="X16" s="3318"/>
      <c r="Y16" s="3322">
        <f>入力1!X112</f>
        <v>0</v>
      </c>
      <c r="Z16" s="3323"/>
      <c r="AA16" s="3324"/>
      <c r="AB16" s="23"/>
      <c r="AC16" s="23"/>
      <c r="AD16" s="23"/>
      <c r="AE16" s="23"/>
      <c r="AF16" s="23"/>
      <c r="AG16" s="23"/>
      <c r="AH16" s="23"/>
      <c r="AI16" s="23"/>
    </row>
    <row r="17" spans="2:35" ht="15" customHeight="1" x14ac:dyDescent="0.15">
      <c r="B17" s="3283" t="s">
        <v>147</v>
      </c>
      <c r="C17" s="3284"/>
      <c r="D17" s="3285"/>
      <c r="E17" s="3289"/>
      <c r="F17" s="3271"/>
      <c r="G17" s="3292"/>
      <c r="H17" s="3272"/>
      <c r="I17" s="3309"/>
      <c r="J17" s="3310"/>
      <c r="K17" s="3310"/>
      <c r="L17" s="3310"/>
      <c r="M17" s="3310"/>
      <c r="N17" s="3310"/>
      <c r="O17" s="3310"/>
      <c r="P17" s="3310"/>
      <c r="Q17" s="3310"/>
      <c r="R17" s="3310"/>
      <c r="S17" s="3311"/>
      <c r="T17" s="3314"/>
      <c r="U17" s="3315"/>
      <c r="V17" s="3319"/>
      <c r="W17" s="3320"/>
      <c r="X17" s="3321"/>
      <c r="Y17" s="3325"/>
      <c r="Z17" s="3326"/>
      <c r="AA17" s="3327"/>
    </row>
    <row r="18" spans="2:35" ht="25.5" customHeight="1" thickBot="1" x14ac:dyDescent="0.2">
      <c r="B18" s="3286"/>
      <c r="C18" s="3287"/>
      <c r="D18" s="3288"/>
      <c r="E18" s="3290"/>
      <c r="F18" s="3291"/>
      <c r="G18" s="3293"/>
      <c r="H18" s="3294"/>
      <c r="I18" s="3247">
        <f>入力1!L113</f>
        <v>0</v>
      </c>
      <c r="J18" s="3248"/>
      <c r="K18" s="3248"/>
      <c r="L18" s="3248"/>
      <c r="M18" s="3248"/>
      <c r="N18" s="3248"/>
      <c r="O18" s="3248"/>
      <c r="P18" s="3248"/>
      <c r="Q18" s="3248"/>
      <c r="R18" s="3248"/>
      <c r="S18" s="3249"/>
      <c r="T18" s="3250">
        <f>入力1!T113</f>
        <v>0</v>
      </c>
      <c r="U18" s="3251"/>
      <c r="V18" s="3252">
        <f>入力1!V113</f>
        <v>0</v>
      </c>
      <c r="W18" s="3253"/>
      <c r="X18" s="3254"/>
      <c r="Y18" s="3255">
        <f>入力1!X113</f>
        <v>0</v>
      </c>
      <c r="Z18" s="3256"/>
      <c r="AA18" s="3257"/>
      <c r="AB18" s="23"/>
      <c r="AC18" s="23"/>
      <c r="AD18" s="23"/>
      <c r="AE18" s="23"/>
      <c r="AF18" s="23"/>
      <c r="AG18" s="23"/>
      <c r="AH18" s="23"/>
      <c r="AI18" s="23"/>
    </row>
    <row r="19" spans="2:35" ht="25.5" customHeight="1" x14ac:dyDescent="0.15">
      <c r="B19" s="3267">
        <f>入力1!D116</f>
        <v>0</v>
      </c>
      <c r="C19" s="3268"/>
      <c r="D19" s="3269"/>
      <c r="E19" s="3276" t="str">
        <f>IF(入力1!H116="","",入力1!H116)</f>
        <v/>
      </c>
      <c r="F19" s="3268" t="s">
        <v>14</v>
      </c>
      <c r="G19" s="3278" t="str">
        <f>IF(入力1!H116="","",入力1!H116)</f>
        <v/>
      </c>
      <c r="H19" s="3269" t="s">
        <v>1</v>
      </c>
      <c r="I19" s="3280">
        <f>入力1!L116</f>
        <v>0</v>
      </c>
      <c r="J19" s="3281"/>
      <c r="K19" s="3281"/>
      <c r="L19" s="3281"/>
      <c r="M19" s="3281"/>
      <c r="N19" s="3281"/>
      <c r="O19" s="3281"/>
      <c r="P19" s="3281"/>
      <c r="Q19" s="3281"/>
      <c r="R19" s="3281"/>
      <c r="S19" s="3282"/>
      <c r="T19" s="3298">
        <f>入力1!T116</f>
        <v>0</v>
      </c>
      <c r="U19" s="3299"/>
      <c r="V19" s="3300">
        <f>入力1!V116</f>
        <v>0</v>
      </c>
      <c r="W19" s="3301"/>
      <c r="X19" s="3302"/>
      <c r="Y19" s="3303">
        <f>入力1!X116</f>
        <v>0</v>
      </c>
      <c r="Z19" s="3304"/>
      <c r="AA19" s="3305"/>
    </row>
    <row r="20" spans="2:35" ht="25.5" customHeight="1" x14ac:dyDescent="0.15">
      <c r="B20" s="3270"/>
      <c r="C20" s="3271"/>
      <c r="D20" s="3272"/>
      <c r="E20" s="3277"/>
      <c r="F20" s="3271"/>
      <c r="G20" s="3279"/>
      <c r="H20" s="3272"/>
      <c r="I20" s="3247">
        <f>入力1!L117</f>
        <v>0</v>
      </c>
      <c r="J20" s="3248"/>
      <c r="K20" s="3248"/>
      <c r="L20" s="3248"/>
      <c r="M20" s="3248"/>
      <c r="N20" s="3248"/>
      <c r="O20" s="3248"/>
      <c r="P20" s="3248"/>
      <c r="Q20" s="3248"/>
      <c r="R20" s="3248"/>
      <c r="S20" s="3249"/>
      <c r="T20" s="3250">
        <f>入力1!T117</f>
        <v>0</v>
      </c>
      <c r="U20" s="3251"/>
      <c r="V20" s="3252">
        <f>入力1!V117</f>
        <v>0</v>
      </c>
      <c r="W20" s="3253"/>
      <c r="X20" s="3254"/>
      <c r="Y20" s="3255">
        <f>入力1!X117</f>
        <v>0</v>
      </c>
      <c r="Z20" s="3256"/>
      <c r="AA20" s="3257"/>
      <c r="AB20" s="23"/>
      <c r="AC20" s="23"/>
      <c r="AD20" s="23"/>
      <c r="AE20" s="23"/>
      <c r="AF20" s="23"/>
      <c r="AG20" s="23"/>
      <c r="AH20" s="23"/>
      <c r="AI20" s="23"/>
    </row>
    <row r="21" spans="2:35" ht="10.5" customHeight="1" x14ac:dyDescent="0.15">
      <c r="B21" s="3273"/>
      <c r="C21" s="3274"/>
      <c r="D21" s="3275"/>
      <c r="E21" s="3289">
        <f>入力1!H118</f>
        <v>0</v>
      </c>
      <c r="F21" s="3271" t="s">
        <v>46</v>
      </c>
      <c r="G21" s="3292">
        <f>入力1!J118</f>
        <v>0</v>
      </c>
      <c r="H21" s="3272" t="s">
        <v>45</v>
      </c>
      <c r="I21" s="3306">
        <f>入力1!L118</f>
        <v>0</v>
      </c>
      <c r="J21" s="3307"/>
      <c r="K21" s="3307"/>
      <c r="L21" s="3307"/>
      <c r="M21" s="3307"/>
      <c r="N21" s="3307"/>
      <c r="O21" s="3307"/>
      <c r="P21" s="3307"/>
      <c r="Q21" s="3307"/>
      <c r="R21" s="3307"/>
      <c r="S21" s="3308"/>
      <c r="T21" s="3312">
        <f>入力1!T118</f>
        <v>0</v>
      </c>
      <c r="U21" s="3313"/>
      <c r="V21" s="3316">
        <f>入力1!V118</f>
        <v>0</v>
      </c>
      <c r="W21" s="3317"/>
      <c r="X21" s="3318"/>
      <c r="Y21" s="3322">
        <f>入力1!X118</f>
        <v>0</v>
      </c>
      <c r="Z21" s="3323"/>
      <c r="AA21" s="3324"/>
      <c r="AB21" s="23"/>
      <c r="AC21" s="23"/>
      <c r="AD21" s="23"/>
      <c r="AE21" s="23"/>
      <c r="AF21" s="23"/>
      <c r="AG21" s="23"/>
      <c r="AH21" s="23"/>
      <c r="AI21" s="23"/>
    </row>
    <row r="22" spans="2:35" ht="15" customHeight="1" x14ac:dyDescent="0.15">
      <c r="B22" s="3283" t="s">
        <v>147</v>
      </c>
      <c r="C22" s="3284"/>
      <c r="D22" s="3285"/>
      <c r="E22" s="3289"/>
      <c r="F22" s="3271"/>
      <c r="G22" s="3292"/>
      <c r="H22" s="3272"/>
      <c r="I22" s="3309"/>
      <c r="J22" s="3310"/>
      <c r="K22" s="3310"/>
      <c r="L22" s="3310"/>
      <c r="M22" s="3310"/>
      <c r="N22" s="3310"/>
      <c r="O22" s="3310"/>
      <c r="P22" s="3310"/>
      <c r="Q22" s="3310"/>
      <c r="R22" s="3310"/>
      <c r="S22" s="3311"/>
      <c r="T22" s="3314"/>
      <c r="U22" s="3315"/>
      <c r="V22" s="3319"/>
      <c r="W22" s="3320"/>
      <c r="X22" s="3321"/>
      <c r="Y22" s="3325"/>
      <c r="Z22" s="3326"/>
      <c r="AA22" s="3327"/>
    </row>
    <row r="23" spans="2:35" ht="25.5" customHeight="1" thickBot="1" x14ac:dyDescent="0.2">
      <c r="B23" s="3286"/>
      <c r="C23" s="3287"/>
      <c r="D23" s="3288"/>
      <c r="E23" s="3290"/>
      <c r="F23" s="3291"/>
      <c r="G23" s="3293"/>
      <c r="H23" s="3294"/>
      <c r="I23" s="3247">
        <f>入力1!L119</f>
        <v>0</v>
      </c>
      <c r="J23" s="3248"/>
      <c r="K23" s="3248"/>
      <c r="L23" s="3248"/>
      <c r="M23" s="3248"/>
      <c r="N23" s="3248"/>
      <c r="O23" s="3248"/>
      <c r="P23" s="3248"/>
      <c r="Q23" s="3248"/>
      <c r="R23" s="3248"/>
      <c r="S23" s="3249"/>
      <c r="T23" s="3250">
        <f>入力1!T119</f>
        <v>0</v>
      </c>
      <c r="U23" s="3251"/>
      <c r="V23" s="3252">
        <f>入力1!V119</f>
        <v>0</v>
      </c>
      <c r="W23" s="3253"/>
      <c r="X23" s="3254"/>
      <c r="Y23" s="3255">
        <f>入力1!X119</f>
        <v>0</v>
      </c>
      <c r="Z23" s="3256"/>
      <c r="AA23" s="3257"/>
      <c r="AB23" s="23"/>
      <c r="AC23" s="23"/>
      <c r="AD23" s="23"/>
      <c r="AE23" s="23"/>
      <c r="AF23" s="23"/>
      <c r="AG23" s="23"/>
      <c r="AH23" s="23"/>
      <c r="AI23" s="23"/>
    </row>
    <row r="24" spans="2:35" ht="25.5" customHeight="1" x14ac:dyDescent="0.15">
      <c r="B24" s="3267">
        <f>入力1!D122</f>
        <v>0</v>
      </c>
      <c r="C24" s="3268"/>
      <c r="D24" s="3269"/>
      <c r="E24" s="3276" t="str">
        <f>IF(入力1!H122="","",入力1!H122)</f>
        <v/>
      </c>
      <c r="F24" s="3268" t="s">
        <v>14</v>
      </c>
      <c r="G24" s="3278" t="str">
        <f>IF(入力1!H122="","",入力1!H122)</f>
        <v/>
      </c>
      <c r="H24" s="3269" t="s">
        <v>1</v>
      </c>
      <c r="I24" s="3280">
        <f>入力1!L122</f>
        <v>0</v>
      </c>
      <c r="J24" s="3281"/>
      <c r="K24" s="3281"/>
      <c r="L24" s="3281"/>
      <c r="M24" s="3281"/>
      <c r="N24" s="3281"/>
      <c r="O24" s="3281"/>
      <c r="P24" s="3281"/>
      <c r="Q24" s="3281"/>
      <c r="R24" s="3281"/>
      <c r="S24" s="3282"/>
      <c r="T24" s="3298">
        <f>入力1!T122</f>
        <v>0</v>
      </c>
      <c r="U24" s="3299"/>
      <c r="V24" s="3300">
        <f>入力1!V122</f>
        <v>0</v>
      </c>
      <c r="W24" s="3301"/>
      <c r="X24" s="3302"/>
      <c r="Y24" s="3303">
        <f>入力1!X122</f>
        <v>0</v>
      </c>
      <c r="Z24" s="3304"/>
      <c r="AA24" s="3305"/>
    </row>
    <row r="25" spans="2:35" ht="25.5" customHeight="1" x14ac:dyDescent="0.15">
      <c r="B25" s="3270"/>
      <c r="C25" s="3271"/>
      <c r="D25" s="3272"/>
      <c r="E25" s="3277"/>
      <c r="F25" s="3271"/>
      <c r="G25" s="3279"/>
      <c r="H25" s="3272"/>
      <c r="I25" s="3247">
        <f>入力1!L123</f>
        <v>0</v>
      </c>
      <c r="J25" s="3248"/>
      <c r="K25" s="3248"/>
      <c r="L25" s="3248"/>
      <c r="M25" s="3248"/>
      <c r="N25" s="3248"/>
      <c r="O25" s="3248"/>
      <c r="P25" s="3248"/>
      <c r="Q25" s="3248"/>
      <c r="R25" s="3248"/>
      <c r="S25" s="3249"/>
      <c r="T25" s="3250">
        <f>入力1!T123</f>
        <v>0</v>
      </c>
      <c r="U25" s="3251"/>
      <c r="V25" s="3252">
        <f>入力1!V123</f>
        <v>0</v>
      </c>
      <c r="W25" s="3253"/>
      <c r="X25" s="3254"/>
      <c r="Y25" s="3255">
        <f>入力1!X123</f>
        <v>0</v>
      </c>
      <c r="Z25" s="3256"/>
      <c r="AA25" s="3257"/>
      <c r="AB25" s="23"/>
      <c r="AC25" s="23"/>
      <c r="AD25" s="23"/>
      <c r="AE25" s="23"/>
      <c r="AF25" s="23"/>
      <c r="AG25" s="23"/>
      <c r="AH25" s="23"/>
      <c r="AI25" s="23"/>
    </row>
    <row r="26" spans="2:35" ht="10.5" customHeight="1" x14ac:dyDescent="0.15">
      <c r="B26" s="3273"/>
      <c r="C26" s="3274"/>
      <c r="D26" s="3275"/>
      <c r="E26" s="3289">
        <f>入力1!H124</f>
        <v>0</v>
      </c>
      <c r="F26" s="3271" t="s">
        <v>46</v>
      </c>
      <c r="G26" s="3292">
        <f>入力1!J124</f>
        <v>0</v>
      </c>
      <c r="H26" s="3272" t="s">
        <v>45</v>
      </c>
      <c r="I26" s="3306">
        <f>入力1!L124</f>
        <v>0</v>
      </c>
      <c r="J26" s="3307"/>
      <c r="K26" s="3307"/>
      <c r="L26" s="3307"/>
      <c r="M26" s="3307"/>
      <c r="N26" s="3307"/>
      <c r="O26" s="3307"/>
      <c r="P26" s="3307"/>
      <c r="Q26" s="3307"/>
      <c r="R26" s="3307"/>
      <c r="S26" s="3308"/>
      <c r="T26" s="3312">
        <f>入力1!T124</f>
        <v>0</v>
      </c>
      <c r="U26" s="3313"/>
      <c r="V26" s="3316">
        <f>入力1!V124</f>
        <v>0</v>
      </c>
      <c r="W26" s="3317"/>
      <c r="X26" s="3318"/>
      <c r="Y26" s="3322">
        <f>入力1!X124</f>
        <v>0</v>
      </c>
      <c r="Z26" s="3323"/>
      <c r="AA26" s="3324"/>
      <c r="AB26" s="23"/>
      <c r="AC26" s="23"/>
      <c r="AD26" s="23"/>
      <c r="AE26" s="23"/>
      <c r="AF26" s="23"/>
      <c r="AG26" s="23"/>
      <c r="AH26" s="23"/>
      <c r="AI26" s="23"/>
    </row>
    <row r="27" spans="2:35" ht="15" customHeight="1" x14ac:dyDescent="0.15">
      <c r="B27" s="3283" t="s">
        <v>147</v>
      </c>
      <c r="C27" s="3284"/>
      <c r="D27" s="3285"/>
      <c r="E27" s="3289"/>
      <c r="F27" s="3271"/>
      <c r="G27" s="3292"/>
      <c r="H27" s="3272"/>
      <c r="I27" s="3309"/>
      <c r="J27" s="3310"/>
      <c r="K27" s="3310"/>
      <c r="L27" s="3310"/>
      <c r="M27" s="3310"/>
      <c r="N27" s="3310"/>
      <c r="O27" s="3310"/>
      <c r="P27" s="3310"/>
      <c r="Q27" s="3310"/>
      <c r="R27" s="3310"/>
      <c r="S27" s="3311"/>
      <c r="T27" s="3314"/>
      <c r="U27" s="3315"/>
      <c r="V27" s="3319"/>
      <c r="W27" s="3320"/>
      <c r="X27" s="3321"/>
      <c r="Y27" s="3325"/>
      <c r="Z27" s="3326"/>
      <c r="AA27" s="3327"/>
    </row>
    <row r="28" spans="2:35" ht="25.5" customHeight="1" thickBot="1" x14ac:dyDescent="0.2">
      <c r="B28" s="3286"/>
      <c r="C28" s="3287"/>
      <c r="D28" s="3288"/>
      <c r="E28" s="3290"/>
      <c r="F28" s="3291"/>
      <c r="G28" s="3293"/>
      <c r="H28" s="3294"/>
      <c r="I28" s="3247">
        <f>入力1!L125</f>
        <v>0</v>
      </c>
      <c r="J28" s="3248"/>
      <c r="K28" s="3248"/>
      <c r="L28" s="3248"/>
      <c r="M28" s="3248"/>
      <c r="N28" s="3248"/>
      <c r="O28" s="3248"/>
      <c r="P28" s="3248"/>
      <c r="Q28" s="3248"/>
      <c r="R28" s="3248"/>
      <c r="S28" s="3249"/>
      <c r="T28" s="3250">
        <f>入力1!T125</f>
        <v>0</v>
      </c>
      <c r="U28" s="3251"/>
      <c r="V28" s="3252">
        <f>入力1!V125</f>
        <v>0</v>
      </c>
      <c r="W28" s="3253"/>
      <c r="X28" s="3254"/>
      <c r="Y28" s="3255">
        <f>入力1!X125</f>
        <v>0</v>
      </c>
      <c r="Z28" s="3256"/>
      <c r="AA28" s="3257"/>
      <c r="AB28" s="23"/>
      <c r="AC28" s="23"/>
      <c r="AD28" s="23"/>
      <c r="AE28" s="23"/>
      <c r="AF28" s="23"/>
      <c r="AG28" s="23"/>
      <c r="AH28" s="23"/>
      <c r="AI28" s="23"/>
    </row>
    <row r="29" spans="2:35" ht="25.5" customHeight="1" x14ac:dyDescent="0.15">
      <c r="B29" s="3267">
        <f>入力1!D128</f>
        <v>0</v>
      </c>
      <c r="C29" s="3268"/>
      <c r="D29" s="3269"/>
      <c r="E29" s="3276" t="str">
        <f>IF(入力1!H128="","",入力1!H128)</f>
        <v/>
      </c>
      <c r="F29" s="3268" t="s">
        <v>14</v>
      </c>
      <c r="G29" s="3278" t="str">
        <f>IF(入力1!H128="","",入力1!H128)</f>
        <v/>
      </c>
      <c r="H29" s="3269" t="s">
        <v>1</v>
      </c>
      <c r="I29" s="3280">
        <f>入力1!L128</f>
        <v>0</v>
      </c>
      <c r="J29" s="3281"/>
      <c r="K29" s="3281"/>
      <c r="L29" s="3281"/>
      <c r="M29" s="3281"/>
      <c r="N29" s="3281"/>
      <c r="O29" s="3281"/>
      <c r="P29" s="3281"/>
      <c r="Q29" s="3281"/>
      <c r="R29" s="3281"/>
      <c r="S29" s="3282"/>
      <c r="T29" s="3298">
        <f>入力1!T128</f>
        <v>0</v>
      </c>
      <c r="U29" s="3299"/>
      <c r="V29" s="3300">
        <f>入力1!V128</f>
        <v>0</v>
      </c>
      <c r="W29" s="3301"/>
      <c r="X29" s="3302"/>
      <c r="Y29" s="3303">
        <f>入力1!X128</f>
        <v>0</v>
      </c>
      <c r="Z29" s="3304"/>
      <c r="AA29" s="3305"/>
    </row>
    <row r="30" spans="2:35" ht="25.5" customHeight="1" x14ac:dyDescent="0.15">
      <c r="B30" s="3270"/>
      <c r="C30" s="3271"/>
      <c r="D30" s="3272"/>
      <c r="E30" s="3277"/>
      <c r="F30" s="3271"/>
      <c r="G30" s="3279"/>
      <c r="H30" s="3272"/>
      <c r="I30" s="3247">
        <f>入力1!L129</f>
        <v>0</v>
      </c>
      <c r="J30" s="3248"/>
      <c r="K30" s="3248"/>
      <c r="L30" s="3248"/>
      <c r="M30" s="3248"/>
      <c r="N30" s="3248"/>
      <c r="O30" s="3248"/>
      <c r="P30" s="3248"/>
      <c r="Q30" s="3248"/>
      <c r="R30" s="3248"/>
      <c r="S30" s="3249"/>
      <c r="T30" s="3250">
        <f>入力1!T129</f>
        <v>0</v>
      </c>
      <c r="U30" s="3251"/>
      <c r="V30" s="3252">
        <f>入力1!V129</f>
        <v>0</v>
      </c>
      <c r="W30" s="3253"/>
      <c r="X30" s="3254"/>
      <c r="Y30" s="3255">
        <f>入力1!X129</f>
        <v>0</v>
      </c>
      <c r="Z30" s="3256"/>
      <c r="AA30" s="3257"/>
      <c r="AB30" s="23"/>
      <c r="AC30" s="23"/>
      <c r="AD30" s="23"/>
      <c r="AE30" s="23"/>
      <c r="AF30" s="23"/>
      <c r="AG30" s="23"/>
      <c r="AH30" s="23"/>
      <c r="AI30" s="23"/>
    </row>
    <row r="31" spans="2:35" ht="10.5" customHeight="1" x14ac:dyDescent="0.15">
      <c r="B31" s="3273"/>
      <c r="C31" s="3274"/>
      <c r="D31" s="3275"/>
      <c r="E31" s="3289">
        <f>入力1!H130</f>
        <v>0</v>
      </c>
      <c r="F31" s="3271" t="s">
        <v>46</v>
      </c>
      <c r="G31" s="3292">
        <f>入力1!J130</f>
        <v>0</v>
      </c>
      <c r="H31" s="3272" t="s">
        <v>45</v>
      </c>
      <c r="I31" s="3306">
        <f>入力1!L130</f>
        <v>0</v>
      </c>
      <c r="J31" s="3307"/>
      <c r="K31" s="3307"/>
      <c r="L31" s="3307"/>
      <c r="M31" s="3307"/>
      <c r="N31" s="3307"/>
      <c r="O31" s="3307"/>
      <c r="P31" s="3307"/>
      <c r="Q31" s="3307"/>
      <c r="R31" s="3307"/>
      <c r="S31" s="3308"/>
      <c r="T31" s="3312">
        <f>入力1!T130</f>
        <v>0</v>
      </c>
      <c r="U31" s="3313"/>
      <c r="V31" s="3316">
        <f>入力1!V130</f>
        <v>0</v>
      </c>
      <c r="W31" s="3317"/>
      <c r="X31" s="3318"/>
      <c r="Y31" s="3322">
        <f>入力1!X130</f>
        <v>0</v>
      </c>
      <c r="Z31" s="3323"/>
      <c r="AA31" s="3324"/>
      <c r="AB31" s="23"/>
      <c r="AC31" s="23"/>
      <c r="AD31" s="23"/>
      <c r="AE31" s="23"/>
      <c r="AF31" s="23"/>
      <c r="AG31" s="23"/>
      <c r="AH31" s="23"/>
      <c r="AI31" s="23"/>
    </row>
    <row r="32" spans="2:35" ht="15" customHeight="1" x14ac:dyDescent="0.15">
      <c r="B32" s="3283" t="s">
        <v>147</v>
      </c>
      <c r="C32" s="3284"/>
      <c r="D32" s="3285"/>
      <c r="E32" s="3289"/>
      <c r="F32" s="3271"/>
      <c r="G32" s="3292"/>
      <c r="H32" s="3272"/>
      <c r="I32" s="3309"/>
      <c r="J32" s="3310"/>
      <c r="K32" s="3310"/>
      <c r="L32" s="3310"/>
      <c r="M32" s="3310"/>
      <c r="N32" s="3310"/>
      <c r="O32" s="3310"/>
      <c r="P32" s="3310"/>
      <c r="Q32" s="3310"/>
      <c r="R32" s="3310"/>
      <c r="S32" s="3311"/>
      <c r="T32" s="3314"/>
      <c r="U32" s="3315"/>
      <c r="V32" s="3319"/>
      <c r="W32" s="3320"/>
      <c r="X32" s="3321"/>
      <c r="Y32" s="3325"/>
      <c r="Z32" s="3326"/>
      <c r="AA32" s="3327"/>
    </row>
    <row r="33" spans="1:35" ht="25.5" customHeight="1" thickBot="1" x14ac:dyDescent="0.2">
      <c r="B33" s="3286"/>
      <c r="C33" s="3287"/>
      <c r="D33" s="3288"/>
      <c r="E33" s="3290"/>
      <c r="F33" s="3291"/>
      <c r="G33" s="3293"/>
      <c r="H33" s="3294"/>
      <c r="I33" s="3247">
        <f>入力1!L131</f>
        <v>0</v>
      </c>
      <c r="J33" s="3248"/>
      <c r="K33" s="3248"/>
      <c r="L33" s="3248"/>
      <c r="M33" s="3248"/>
      <c r="N33" s="3248"/>
      <c r="O33" s="3248"/>
      <c r="P33" s="3248"/>
      <c r="Q33" s="3248"/>
      <c r="R33" s="3248"/>
      <c r="S33" s="3249"/>
      <c r="T33" s="3250">
        <f>入力1!T131</f>
        <v>0</v>
      </c>
      <c r="U33" s="3251"/>
      <c r="V33" s="3252">
        <f>入力1!V131</f>
        <v>0</v>
      </c>
      <c r="W33" s="3253"/>
      <c r="X33" s="3254"/>
      <c r="Y33" s="3255">
        <f>入力1!X131</f>
        <v>0</v>
      </c>
      <c r="Z33" s="3256"/>
      <c r="AA33" s="3257"/>
      <c r="AB33" s="23"/>
      <c r="AC33" s="23"/>
      <c r="AD33" s="23"/>
      <c r="AE33" s="23"/>
      <c r="AF33" s="23"/>
      <c r="AG33" s="23"/>
      <c r="AH33" s="23"/>
      <c r="AI33" s="23"/>
    </row>
    <row r="34" spans="1:35" ht="26.25" customHeight="1" thickBot="1" x14ac:dyDescent="0.2">
      <c r="B34" s="3264"/>
      <c r="C34" s="3265"/>
      <c r="D34" s="3265"/>
      <c r="E34" s="3265"/>
      <c r="F34" s="3265"/>
      <c r="G34" s="3265"/>
      <c r="H34" s="3265"/>
      <c r="I34" s="3265"/>
      <c r="J34" s="3265"/>
      <c r="K34" s="3265"/>
      <c r="L34" s="3265"/>
      <c r="M34" s="3265"/>
      <c r="N34" s="3265"/>
      <c r="O34" s="3265"/>
      <c r="P34" s="3265"/>
      <c r="Q34" s="3265"/>
      <c r="R34" s="3265"/>
      <c r="S34" s="3266"/>
      <c r="T34" s="3295" t="s">
        <v>144</v>
      </c>
      <c r="U34" s="3296"/>
      <c r="V34" s="3296"/>
      <c r="W34" s="3296"/>
      <c r="X34" s="3297"/>
      <c r="Y34" s="3328">
        <f>SUM(Y14:AA33)</f>
        <v>0</v>
      </c>
      <c r="Z34" s="3328"/>
      <c r="AA34" s="3329"/>
    </row>
    <row r="35" spans="1:35" ht="30" customHeight="1" x14ac:dyDescent="0.15">
      <c r="A35" s="2"/>
      <c r="B35" s="3330" t="s">
        <v>402</v>
      </c>
      <c r="C35" s="3330"/>
      <c r="D35" s="3330"/>
      <c r="E35" s="3330"/>
      <c r="F35" s="3330"/>
      <c r="G35" s="3330"/>
      <c r="H35" s="3330"/>
      <c r="I35" s="3330"/>
      <c r="J35" s="3330"/>
      <c r="K35" s="3330"/>
      <c r="L35" s="3330"/>
      <c r="M35" s="3330"/>
      <c r="N35" s="3330"/>
      <c r="O35" s="3330"/>
      <c r="P35" s="3330"/>
      <c r="Q35" s="3330"/>
      <c r="R35" s="3330"/>
      <c r="S35" s="3330"/>
      <c r="T35" s="3330"/>
      <c r="U35" s="3330"/>
      <c r="V35" s="3330"/>
      <c r="W35" s="3330"/>
      <c r="X35" s="3330"/>
      <c r="Y35" s="3330"/>
      <c r="Z35" s="3330"/>
      <c r="AA35" s="3330"/>
      <c r="AB35" s="23"/>
      <c r="AC35" s="23"/>
      <c r="AD35" s="23"/>
      <c r="AE35" s="23"/>
      <c r="AF35" s="23"/>
      <c r="AG35" s="23"/>
      <c r="AH35" s="23"/>
      <c r="AI35" s="23"/>
    </row>
    <row r="36" spans="1:35" ht="21" customHeight="1" x14ac:dyDescent="0.15">
      <c r="B36" s="96"/>
      <c r="C36" s="3331" t="s">
        <v>48</v>
      </c>
      <c r="D36" s="3331"/>
      <c r="E36" s="3331"/>
      <c r="F36" s="3331"/>
      <c r="G36" s="3331"/>
      <c r="H36" s="92" t="str">
        <f>IF(入力1!O95="自然の家の食器を利用","○","")</f>
        <v/>
      </c>
      <c r="I36" s="93" t="s">
        <v>44</v>
      </c>
      <c r="J36" s="96"/>
      <c r="K36" s="3331" t="s">
        <v>49</v>
      </c>
      <c r="L36" s="3331"/>
      <c r="M36" s="3331"/>
      <c r="N36" s="3331"/>
      <c r="O36" s="3331"/>
      <c r="P36" s="3331"/>
      <c r="Q36" s="95" t="str">
        <f>IF(入力1!O95="使い捨て食器を購入","○","")</f>
        <v/>
      </c>
      <c r="R36" s="93" t="s">
        <v>44</v>
      </c>
      <c r="S36" s="96"/>
      <c r="T36" s="3331" t="s">
        <v>50</v>
      </c>
      <c r="U36" s="3331"/>
      <c r="V36" s="3331"/>
      <c r="W36" s="3331"/>
      <c r="X36" s="92" t="str">
        <f>IF(入力1!O95="食器を持参","○","")</f>
        <v/>
      </c>
      <c r="Y36" s="93" t="s">
        <v>44</v>
      </c>
      <c r="Z36" s="94"/>
      <c r="AA36" s="94"/>
      <c r="AB36" s="2"/>
    </row>
    <row r="37" spans="1:35" ht="40.5" customHeight="1" x14ac:dyDescent="0.15">
      <c r="A37" s="2"/>
      <c r="B37" s="3392" t="s">
        <v>695</v>
      </c>
      <c r="C37" s="3392"/>
      <c r="D37" s="3392"/>
      <c r="E37" s="3392"/>
      <c r="F37" s="3392"/>
      <c r="G37" s="3392"/>
      <c r="H37" s="3392"/>
      <c r="I37" s="3392"/>
      <c r="J37" s="3392"/>
      <c r="K37" s="3392"/>
      <c r="L37" s="3392"/>
      <c r="M37" s="3392"/>
      <c r="N37" s="3392"/>
      <c r="O37" s="3392"/>
      <c r="P37" s="3392"/>
      <c r="Q37" s="3392"/>
      <c r="R37" s="3392"/>
      <c r="S37" s="3392"/>
      <c r="T37" s="3392"/>
      <c r="U37" s="3392"/>
      <c r="V37" s="3392"/>
      <c r="W37" s="3392"/>
      <c r="X37" s="3392"/>
      <c r="Y37" s="3392"/>
      <c r="Z37" s="3392"/>
      <c r="AA37" s="3392"/>
      <c r="AB37" s="23"/>
      <c r="AC37" s="23"/>
      <c r="AD37" s="23"/>
      <c r="AE37" s="99"/>
      <c r="AF37" s="23"/>
      <c r="AG37" s="23"/>
      <c r="AH37" s="23"/>
      <c r="AI37" s="23"/>
    </row>
    <row r="38" spans="1:35" ht="2.25" customHeight="1" thickBot="1" x14ac:dyDescent="0.2">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x14ac:dyDescent="0.2">
      <c r="B39" s="3389" t="s">
        <v>26</v>
      </c>
      <c r="C39" s="3390"/>
      <c r="D39" s="3391"/>
      <c r="E39" s="3261" t="s">
        <v>19</v>
      </c>
      <c r="F39" s="3262"/>
      <c r="G39" s="3262"/>
      <c r="H39" s="3262"/>
      <c r="I39" s="3262"/>
      <c r="J39" s="3262"/>
      <c r="K39" s="3262"/>
      <c r="L39" s="3262"/>
      <c r="M39" s="3262"/>
      <c r="N39" s="3262"/>
      <c r="O39" s="3262"/>
      <c r="P39" s="3262"/>
      <c r="Q39" s="3262"/>
      <c r="R39" s="3262"/>
      <c r="S39" s="3262"/>
      <c r="T39" s="3263"/>
      <c r="U39" s="3261" t="s">
        <v>27</v>
      </c>
      <c r="V39" s="3262"/>
      <c r="W39" s="3262"/>
      <c r="X39" s="3262"/>
      <c r="Y39" s="3262"/>
      <c r="Z39" s="3262"/>
      <c r="AA39" s="3393"/>
    </row>
    <row r="40" spans="1:35" ht="22.5" customHeight="1" x14ac:dyDescent="0.15">
      <c r="B40" s="3236" t="str">
        <f>入力1!M104</f>
        <v>現金</v>
      </c>
      <c r="C40" s="3237"/>
      <c r="D40" s="3238"/>
      <c r="E40" s="3225" t="s">
        <v>148</v>
      </c>
      <c r="F40" s="3226"/>
      <c r="G40" s="3226"/>
      <c r="H40" s="3226"/>
      <c r="I40" s="3226"/>
      <c r="J40" s="3226"/>
      <c r="K40" s="3226"/>
      <c r="L40" s="3226"/>
      <c r="M40" s="104" t="s">
        <v>94</v>
      </c>
      <c r="N40" s="3227">
        <f>入力1!I104</f>
        <v>0</v>
      </c>
      <c r="O40" s="3227"/>
      <c r="P40" s="3227"/>
      <c r="Q40" s="105" t="s">
        <v>43</v>
      </c>
      <c r="R40" s="106"/>
      <c r="S40" s="106"/>
      <c r="T40" s="107"/>
      <c r="U40" s="3229">
        <f>入力1!P104</f>
        <v>0</v>
      </c>
      <c r="V40" s="3229"/>
      <c r="W40" s="3229"/>
      <c r="X40" s="3229"/>
      <c r="Y40" s="3229"/>
      <c r="Z40" s="3229"/>
      <c r="AA40" s="3230"/>
    </row>
    <row r="41" spans="1:35" ht="22.5" customHeight="1" x14ac:dyDescent="0.15">
      <c r="B41" s="3239">
        <f>入力1!M105</f>
        <v>0</v>
      </c>
      <c r="C41" s="2967"/>
      <c r="D41" s="2968"/>
      <c r="E41" s="3240">
        <f>入力1!D105</f>
        <v>0</v>
      </c>
      <c r="F41" s="3241"/>
      <c r="G41" s="3241"/>
      <c r="H41" s="3241"/>
      <c r="I41" s="3241"/>
      <c r="J41" s="3241"/>
      <c r="K41" s="3241"/>
      <c r="L41" s="3241"/>
      <c r="M41" s="3241"/>
      <c r="N41" s="3241"/>
      <c r="O41" s="3241"/>
      <c r="P41" s="3241"/>
      <c r="Q41" s="3241"/>
      <c r="R41" s="3241"/>
      <c r="S41" s="3241"/>
      <c r="T41" s="3242"/>
      <c r="U41" s="3231">
        <f>入力1!P105</f>
        <v>0</v>
      </c>
      <c r="V41" s="3231"/>
      <c r="W41" s="3231"/>
      <c r="X41" s="3231"/>
      <c r="Y41" s="3231"/>
      <c r="Z41" s="3231"/>
      <c r="AA41" s="3232"/>
    </row>
    <row r="42" spans="1:35" ht="22.5" customHeight="1" thickBot="1" x14ac:dyDescent="0.2">
      <c r="B42" s="3228">
        <f>入力1!M106</f>
        <v>0</v>
      </c>
      <c r="C42" s="2982"/>
      <c r="D42" s="2983"/>
      <c r="E42" s="3243">
        <f>入力1!D106</f>
        <v>0</v>
      </c>
      <c r="F42" s="3244"/>
      <c r="G42" s="3244"/>
      <c r="H42" s="3244"/>
      <c r="I42" s="3244"/>
      <c r="J42" s="3244"/>
      <c r="K42" s="3244"/>
      <c r="L42" s="3244"/>
      <c r="M42" s="3244"/>
      <c r="N42" s="3244"/>
      <c r="O42" s="3244"/>
      <c r="P42" s="3244"/>
      <c r="Q42" s="3244"/>
      <c r="R42" s="3244"/>
      <c r="S42" s="3244"/>
      <c r="T42" s="3245"/>
      <c r="U42" s="3233">
        <f>入力1!P106</f>
        <v>0</v>
      </c>
      <c r="V42" s="3234"/>
      <c r="W42" s="3234"/>
      <c r="X42" s="3234"/>
      <c r="Y42" s="3234"/>
      <c r="Z42" s="3234"/>
      <c r="AA42" s="3235"/>
    </row>
    <row r="43" spans="1:35" ht="44.25" customHeight="1" x14ac:dyDescent="0.15">
      <c r="B43" s="42"/>
      <c r="C43" s="42"/>
      <c r="D43" s="42"/>
      <c r="E43" s="360"/>
      <c r="F43" s="360"/>
      <c r="G43" s="360"/>
      <c r="H43" s="360"/>
      <c r="I43" s="360"/>
      <c r="J43" s="360"/>
      <c r="K43" s="360"/>
      <c r="L43" s="360"/>
      <c r="M43" s="360"/>
      <c r="N43" s="360"/>
      <c r="O43" s="360"/>
      <c r="P43" s="360"/>
      <c r="Q43" s="360"/>
      <c r="R43" s="360"/>
      <c r="S43" s="360"/>
      <c r="T43" s="360"/>
      <c r="U43" s="767"/>
      <c r="V43" s="767"/>
      <c r="W43" s="767"/>
      <c r="X43" s="767"/>
      <c r="Y43" s="767"/>
      <c r="Z43" s="767"/>
      <c r="AA43" s="767"/>
    </row>
    <row r="44" spans="1:35" ht="20.25" customHeight="1" x14ac:dyDescent="0.15">
      <c r="A44" s="2"/>
      <c r="B44" s="3258"/>
      <c r="C44" s="3258"/>
      <c r="D44" s="3258"/>
      <c r="E44" s="80"/>
      <c r="F44" s="80"/>
      <c r="G44" s="80"/>
      <c r="H44" s="80"/>
      <c r="I44" s="80"/>
      <c r="J44" s="80"/>
      <c r="K44" s="80"/>
      <c r="L44" s="80"/>
      <c r="M44" s="80"/>
      <c r="N44" s="80"/>
      <c r="O44" s="80"/>
      <c r="P44" s="80"/>
      <c r="Q44" s="80"/>
      <c r="S44" s="3009" t="s">
        <v>5</v>
      </c>
      <c r="T44" s="3009"/>
      <c r="U44" s="3009"/>
      <c r="V44" s="3259">
        <f>V2</f>
        <v>0</v>
      </c>
      <c r="W44" s="3259"/>
      <c r="X44" s="3259"/>
      <c r="Y44" s="3259"/>
      <c r="Z44" s="3259"/>
      <c r="AA44" s="3259"/>
      <c r="AB44" s="209"/>
    </row>
    <row r="45" spans="1:35" ht="20.25" customHeight="1" x14ac:dyDescent="0.15">
      <c r="A45" s="2"/>
      <c r="B45" s="3258"/>
      <c r="C45" s="3258"/>
      <c r="D45" s="3258"/>
      <c r="E45" s="80"/>
      <c r="F45" s="80"/>
      <c r="G45" s="80"/>
      <c r="H45" s="80"/>
      <c r="I45" s="80"/>
      <c r="J45" s="80"/>
      <c r="K45" s="80"/>
      <c r="L45" s="80"/>
      <c r="M45" s="80"/>
      <c r="N45" s="80"/>
      <c r="O45" s="80"/>
      <c r="P45" s="80"/>
      <c r="Q45" s="80"/>
      <c r="S45" s="3010" t="s">
        <v>6</v>
      </c>
      <c r="T45" s="3010"/>
      <c r="U45" s="3010"/>
      <c r="V45" s="3260" t="str">
        <f>V3</f>
        <v xml:space="preserve">　　　月　 　 日 　　 ：　 </v>
      </c>
      <c r="W45" s="3260"/>
      <c r="X45" s="3260"/>
      <c r="Y45" s="3260"/>
      <c r="Z45" s="3260"/>
      <c r="AA45" s="3260"/>
      <c r="AB45" s="209"/>
      <c r="AD45" s="40"/>
    </row>
    <row r="46" spans="1:35" ht="33.75" customHeight="1" x14ac:dyDescent="0.25">
      <c r="B46" s="3224" t="s">
        <v>138</v>
      </c>
      <c r="C46" s="3224"/>
      <c r="D46" s="3224"/>
      <c r="E46" s="3224"/>
      <c r="F46" s="3224"/>
      <c r="G46" s="3224"/>
      <c r="H46" s="3224"/>
      <c r="I46" s="3224"/>
      <c r="J46" s="3224"/>
      <c r="K46" s="3224"/>
      <c r="L46" s="3224"/>
      <c r="M46" s="3224"/>
      <c r="N46" s="3224"/>
      <c r="O46" s="3224"/>
      <c r="P46" s="3224"/>
      <c r="Q46" s="3224"/>
      <c r="R46" s="3224"/>
      <c r="S46" s="3224"/>
      <c r="T46" s="3224"/>
      <c r="U46" s="82" t="s">
        <v>210</v>
      </c>
      <c r="V46" s="3246">
        <v>2</v>
      </c>
      <c r="W46" s="3246"/>
      <c r="X46" s="210" t="s">
        <v>56</v>
      </c>
      <c r="Y46" s="3246">
        <v>2</v>
      </c>
      <c r="Z46" s="3246"/>
      <c r="AA46" s="211" t="s">
        <v>57</v>
      </c>
      <c r="AB46" s="209"/>
    </row>
    <row r="47" spans="1:35" ht="3.75" customHeight="1" thickBot="1" x14ac:dyDescent="0.3">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x14ac:dyDescent="0.15">
      <c r="A48" s="209"/>
      <c r="B48" s="3368" t="s">
        <v>28</v>
      </c>
      <c r="C48" s="3369"/>
      <c r="D48" s="3370"/>
      <c r="E48" s="3358">
        <f>E6</f>
        <v>0</v>
      </c>
      <c r="F48" s="3359"/>
      <c r="G48" s="3359"/>
      <c r="H48" s="3360" t="s">
        <v>13</v>
      </c>
      <c r="I48" s="3360"/>
      <c r="J48" s="503">
        <f>J6</f>
        <v>0</v>
      </c>
      <c r="K48" s="504" t="s">
        <v>14</v>
      </c>
      <c r="L48" s="503">
        <f>L6</f>
        <v>0</v>
      </c>
      <c r="M48" s="504" t="s">
        <v>31</v>
      </c>
      <c r="N48" s="503" t="s">
        <v>15</v>
      </c>
      <c r="O48" s="504" t="str">
        <f>④物品発注!O6</f>
        <v/>
      </c>
      <c r="P48" s="102" t="s">
        <v>16</v>
      </c>
      <c r="Q48" s="3371" t="s">
        <v>34</v>
      </c>
      <c r="R48" s="3371"/>
      <c r="S48" s="512" t="str">
        <f>S6</f>
        <v/>
      </c>
      <c r="T48" s="504" t="s">
        <v>14</v>
      </c>
      <c r="U48" s="513" t="str">
        <f>U6</f>
        <v/>
      </c>
      <c r="V48" s="504" t="s">
        <v>31</v>
      </c>
      <c r="W48" s="503" t="s">
        <v>15</v>
      </c>
      <c r="X48" s="504" t="str">
        <f>X6</f>
        <v/>
      </c>
      <c r="Y48" s="102" t="s">
        <v>16</v>
      </c>
      <c r="Z48" s="3343" t="s">
        <v>47</v>
      </c>
      <c r="AA48" s="3344"/>
      <c r="AB48" s="217"/>
      <c r="AC48" s="23"/>
      <c r="AD48" s="23"/>
      <c r="AE48" s="23"/>
      <c r="AF48" s="23"/>
      <c r="AG48" s="23"/>
      <c r="AH48" s="23"/>
      <c r="AI48" s="23"/>
    </row>
    <row r="49" spans="1:35" ht="30" customHeight="1" thickBot="1" x14ac:dyDescent="0.2">
      <c r="A49" s="209"/>
      <c r="B49" s="3364" t="s">
        <v>7</v>
      </c>
      <c r="C49" s="3365"/>
      <c r="D49" s="3366"/>
      <c r="E49" s="3340" t="str">
        <f>E7</f>
        <v/>
      </c>
      <c r="F49" s="3341"/>
      <c r="G49" s="3341"/>
      <c r="H49" s="3341"/>
      <c r="I49" s="3341"/>
      <c r="J49" s="3341"/>
      <c r="K49" s="3341"/>
      <c r="L49" s="3341"/>
      <c r="M49" s="3341"/>
      <c r="N49" s="3341"/>
      <c r="O49" s="3341"/>
      <c r="P49" s="3341"/>
      <c r="Q49" s="3341"/>
      <c r="R49" s="3341"/>
      <c r="S49" s="3341"/>
      <c r="T49" s="3341"/>
      <c r="U49" s="3341"/>
      <c r="V49" s="3341"/>
      <c r="W49" s="3341"/>
      <c r="X49" s="3341"/>
      <c r="Y49" s="3341"/>
      <c r="Z49" s="3341"/>
      <c r="AA49" s="3342"/>
      <c r="AB49" s="217"/>
      <c r="AC49" s="23"/>
      <c r="AD49" s="23"/>
      <c r="AE49" s="23"/>
      <c r="AF49" s="23"/>
      <c r="AG49" s="23"/>
      <c r="AH49" s="23"/>
      <c r="AI49" s="23"/>
    </row>
    <row r="50" spans="1:35" ht="18.75" customHeight="1" x14ac:dyDescent="0.15">
      <c r="A50" s="209"/>
      <c r="B50" s="3394" t="s">
        <v>145</v>
      </c>
      <c r="C50" s="3394"/>
      <c r="D50" s="3394"/>
      <c r="E50" s="3394"/>
      <c r="F50" s="3394"/>
      <c r="G50" s="3394"/>
      <c r="H50" s="3394"/>
      <c r="I50" s="3394"/>
      <c r="J50" s="3394"/>
      <c r="K50" s="3394"/>
      <c r="L50" s="3394"/>
      <c r="M50" s="3394"/>
      <c r="N50" s="3394"/>
      <c r="O50" s="3394"/>
      <c r="P50" s="3394"/>
      <c r="Q50" s="3394"/>
      <c r="R50" s="3394"/>
      <c r="S50" s="3394"/>
      <c r="T50" s="3394"/>
      <c r="U50" s="3394"/>
      <c r="V50" s="3394"/>
      <c r="W50" s="3394"/>
      <c r="X50" s="3394"/>
      <c r="Y50" s="3394"/>
      <c r="Z50" s="3394"/>
      <c r="AA50" s="218"/>
      <c r="AB50" s="217"/>
      <c r="AC50" s="23"/>
      <c r="AD50" s="23"/>
      <c r="AE50" s="23"/>
      <c r="AF50" s="23"/>
      <c r="AG50" s="23"/>
      <c r="AH50" s="91"/>
      <c r="AI50" s="23"/>
    </row>
    <row r="51" spans="1:35" ht="17.25" customHeight="1" x14ac:dyDescent="0.15">
      <c r="A51" s="209"/>
      <c r="B51" s="219"/>
      <c r="C51" s="357" t="s">
        <v>15</v>
      </c>
      <c r="D51" s="358" t="str">
        <f>D9</f>
        <v/>
      </c>
      <c r="E51" s="359" t="s">
        <v>33</v>
      </c>
      <c r="F51" s="3395" t="s">
        <v>139</v>
      </c>
      <c r="G51" s="3395"/>
      <c r="H51" s="3395"/>
      <c r="I51" s="3395"/>
      <c r="J51" s="3396" t="s">
        <v>141</v>
      </c>
      <c r="K51" s="3396"/>
      <c r="L51" s="3397" t="s">
        <v>143</v>
      </c>
      <c r="M51" s="3397"/>
      <c r="N51" s="3397"/>
      <c r="O51" s="3397"/>
      <c r="P51" s="3397"/>
      <c r="Q51" s="3397"/>
      <c r="R51" s="3397"/>
      <c r="S51" s="3397"/>
      <c r="T51" s="3397"/>
      <c r="U51" s="3397"/>
      <c r="V51" s="3397"/>
      <c r="W51" s="3397"/>
      <c r="X51" s="3397"/>
      <c r="Y51" s="3397"/>
      <c r="Z51" s="3397"/>
      <c r="AA51" s="3397"/>
      <c r="AB51" s="217"/>
      <c r="AC51" s="23"/>
      <c r="AD51" s="23"/>
      <c r="AE51" s="23"/>
      <c r="AF51" s="23"/>
      <c r="AG51" s="23"/>
      <c r="AH51" s="23"/>
      <c r="AI51" s="23"/>
    </row>
    <row r="52" spans="1:35" ht="17.25" customHeight="1" x14ac:dyDescent="0.15">
      <c r="A52" s="209"/>
      <c r="B52" s="222"/>
      <c r="C52" s="357" t="s">
        <v>15</v>
      </c>
      <c r="D52" s="358" t="str">
        <f>D10</f>
        <v/>
      </c>
      <c r="E52" s="359" t="s">
        <v>33</v>
      </c>
      <c r="F52" s="3462" t="s">
        <v>140</v>
      </c>
      <c r="G52" s="3462"/>
      <c r="H52" s="3462"/>
      <c r="I52" s="3462"/>
      <c r="J52" s="3463" t="s">
        <v>141</v>
      </c>
      <c r="K52" s="3463"/>
      <c r="L52" s="3462" t="s">
        <v>142</v>
      </c>
      <c r="M52" s="3462"/>
      <c r="N52" s="3462"/>
      <c r="O52" s="3462"/>
      <c r="P52" s="3462"/>
      <c r="Q52" s="3462"/>
      <c r="R52" s="3462"/>
      <c r="S52" s="3462"/>
      <c r="T52" s="3462"/>
      <c r="U52" s="3462"/>
      <c r="V52" s="3462"/>
      <c r="W52" s="3462"/>
      <c r="X52" s="3462"/>
      <c r="Y52" s="3462"/>
      <c r="Z52" s="3462"/>
      <c r="AA52" s="3462"/>
      <c r="AB52" s="217"/>
      <c r="AC52" s="23"/>
      <c r="AD52" s="23"/>
      <c r="AE52" s="23"/>
      <c r="AF52" s="23"/>
      <c r="AG52" s="23"/>
      <c r="AH52" s="23"/>
      <c r="AI52" s="23"/>
    </row>
    <row r="53" spans="1:35" ht="2.25" customHeight="1" thickBot="1" x14ac:dyDescent="0.2">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x14ac:dyDescent="0.15">
      <c r="A54" s="209"/>
      <c r="B54" s="3373" t="s">
        <v>20</v>
      </c>
      <c r="C54" s="3374"/>
      <c r="D54" s="3375"/>
      <c r="E54" s="3379" t="s">
        <v>21</v>
      </c>
      <c r="F54" s="3374"/>
      <c r="G54" s="3374"/>
      <c r="H54" s="3375"/>
      <c r="I54" s="3381" t="s">
        <v>22</v>
      </c>
      <c r="J54" s="3382"/>
      <c r="K54" s="3382"/>
      <c r="L54" s="3382"/>
      <c r="M54" s="3382"/>
      <c r="N54" s="3382"/>
      <c r="O54" s="3382"/>
      <c r="P54" s="3382"/>
      <c r="Q54" s="3382"/>
      <c r="R54" s="3382"/>
      <c r="S54" s="3382"/>
      <c r="T54" s="3382"/>
      <c r="U54" s="3382"/>
      <c r="V54" s="3382"/>
      <c r="W54" s="3382"/>
      <c r="X54" s="3382"/>
      <c r="Y54" s="3382"/>
      <c r="Z54" s="3382"/>
      <c r="AA54" s="3383"/>
      <c r="AB54" s="217"/>
      <c r="AC54" s="23"/>
      <c r="AD54" s="23"/>
      <c r="AE54" s="23"/>
      <c r="AF54" s="23"/>
      <c r="AG54" s="23"/>
      <c r="AH54" s="23"/>
      <c r="AI54" s="23"/>
    </row>
    <row r="55" spans="1:35" ht="19.5" customHeight="1" thickBot="1" x14ac:dyDescent="0.2">
      <c r="A55" s="209"/>
      <c r="B55" s="3376"/>
      <c r="C55" s="3377"/>
      <c r="D55" s="3378"/>
      <c r="E55" s="3380"/>
      <c r="F55" s="3377"/>
      <c r="G55" s="3377"/>
      <c r="H55" s="3378"/>
      <c r="I55" s="3384" t="s">
        <v>149</v>
      </c>
      <c r="J55" s="3385"/>
      <c r="K55" s="3385"/>
      <c r="L55" s="3385"/>
      <c r="M55" s="3385"/>
      <c r="N55" s="3385"/>
      <c r="O55" s="3385"/>
      <c r="P55" s="3385"/>
      <c r="Q55" s="3385"/>
      <c r="R55" s="3385"/>
      <c r="S55" s="3386"/>
      <c r="T55" s="3384" t="s">
        <v>24</v>
      </c>
      <c r="U55" s="3387"/>
      <c r="V55" s="3384" t="s">
        <v>25</v>
      </c>
      <c r="W55" s="3385"/>
      <c r="X55" s="3386"/>
      <c r="Y55" s="3384" t="s">
        <v>23</v>
      </c>
      <c r="Z55" s="3385"/>
      <c r="AA55" s="3388"/>
      <c r="AB55" s="217"/>
      <c r="AC55" s="23"/>
      <c r="AD55" s="23"/>
      <c r="AE55" s="103"/>
      <c r="AF55" s="23"/>
      <c r="AG55" s="23"/>
      <c r="AH55" s="23"/>
      <c r="AI55" s="23"/>
    </row>
    <row r="56" spans="1:35" ht="25.5" customHeight="1" x14ac:dyDescent="0.15">
      <c r="A56" s="209"/>
      <c r="B56" s="3398">
        <f>入力1!D134</f>
        <v>0</v>
      </c>
      <c r="C56" s="3399"/>
      <c r="D56" s="3400"/>
      <c r="E56" s="3276" t="str">
        <f>IF(入力1!H134="","",入力1!H134)</f>
        <v/>
      </c>
      <c r="F56" s="3268" t="s">
        <v>14</v>
      </c>
      <c r="G56" s="3278" t="str">
        <f>IF(入力1!H134="","",入力1!H134)</f>
        <v/>
      </c>
      <c r="H56" s="3269" t="s">
        <v>1</v>
      </c>
      <c r="I56" s="3407">
        <f>入力1!L134</f>
        <v>0</v>
      </c>
      <c r="J56" s="3408"/>
      <c r="K56" s="3408"/>
      <c r="L56" s="3408"/>
      <c r="M56" s="3408"/>
      <c r="N56" s="3408"/>
      <c r="O56" s="3408"/>
      <c r="P56" s="3408"/>
      <c r="Q56" s="3408"/>
      <c r="R56" s="3408"/>
      <c r="S56" s="3409"/>
      <c r="T56" s="3410">
        <f>入力1!T134</f>
        <v>0</v>
      </c>
      <c r="U56" s="3411"/>
      <c r="V56" s="3412">
        <f>入力1!V134</f>
        <v>0</v>
      </c>
      <c r="W56" s="3413"/>
      <c r="X56" s="3414"/>
      <c r="Y56" s="3415">
        <f>入力1!X134</f>
        <v>0</v>
      </c>
      <c r="Z56" s="3416"/>
      <c r="AA56" s="3417"/>
      <c r="AB56" s="209"/>
    </row>
    <row r="57" spans="1:35" ht="25.5" customHeight="1" x14ac:dyDescent="0.15">
      <c r="A57" s="209"/>
      <c r="B57" s="3401"/>
      <c r="C57" s="3402"/>
      <c r="D57" s="3403"/>
      <c r="E57" s="3277"/>
      <c r="F57" s="3271"/>
      <c r="G57" s="3279"/>
      <c r="H57" s="3272"/>
      <c r="I57" s="3418">
        <f>入力1!L135</f>
        <v>0</v>
      </c>
      <c r="J57" s="3419"/>
      <c r="K57" s="3419"/>
      <c r="L57" s="3419"/>
      <c r="M57" s="3419"/>
      <c r="N57" s="3419"/>
      <c r="O57" s="3419"/>
      <c r="P57" s="3419"/>
      <c r="Q57" s="3419"/>
      <c r="R57" s="3419"/>
      <c r="S57" s="3420"/>
      <c r="T57" s="3421">
        <f>入力1!T135</f>
        <v>0</v>
      </c>
      <c r="U57" s="3422"/>
      <c r="V57" s="3423">
        <f>入力1!V135</f>
        <v>0</v>
      </c>
      <c r="W57" s="3424"/>
      <c r="X57" s="3425"/>
      <c r="Y57" s="3426">
        <f>入力1!X135</f>
        <v>0</v>
      </c>
      <c r="Z57" s="3427"/>
      <c r="AA57" s="3428"/>
      <c r="AB57" s="217"/>
      <c r="AC57" s="23"/>
      <c r="AD57" s="23"/>
      <c r="AE57" s="23"/>
      <c r="AF57" s="23"/>
      <c r="AG57" s="23"/>
      <c r="AH57" s="23"/>
      <c r="AI57" s="23"/>
    </row>
    <row r="58" spans="1:35" ht="10.5" customHeight="1" x14ac:dyDescent="0.15">
      <c r="A58" s="209"/>
      <c r="B58" s="3404"/>
      <c r="C58" s="3405"/>
      <c r="D58" s="3406"/>
      <c r="E58" s="3289">
        <f>入力1!H136</f>
        <v>0</v>
      </c>
      <c r="F58" s="3271" t="s">
        <v>46</v>
      </c>
      <c r="G58" s="3292">
        <f>入力1!J136</f>
        <v>0</v>
      </c>
      <c r="H58" s="3272" t="s">
        <v>45</v>
      </c>
      <c r="I58" s="3432">
        <f>入力1!L136</f>
        <v>0</v>
      </c>
      <c r="J58" s="3433"/>
      <c r="K58" s="3433"/>
      <c r="L58" s="3433"/>
      <c r="M58" s="3433"/>
      <c r="N58" s="3433"/>
      <c r="O58" s="3433"/>
      <c r="P58" s="3433"/>
      <c r="Q58" s="3433"/>
      <c r="R58" s="3433"/>
      <c r="S58" s="3434"/>
      <c r="T58" s="3438">
        <f>入力1!T136</f>
        <v>0</v>
      </c>
      <c r="U58" s="3439"/>
      <c r="V58" s="3442">
        <f>入力1!V136</f>
        <v>0</v>
      </c>
      <c r="W58" s="3443"/>
      <c r="X58" s="3444"/>
      <c r="Y58" s="3456">
        <f>入力1!X136</f>
        <v>0</v>
      </c>
      <c r="Z58" s="3457"/>
      <c r="AA58" s="3458"/>
      <c r="AB58" s="217"/>
      <c r="AC58" s="23"/>
      <c r="AD58" s="23"/>
      <c r="AE58" s="23"/>
      <c r="AF58" s="23"/>
      <c r="AG58" s="23"/>
      <c r="AH58" s="23"/>
      <c r="AI58" s="23"/>
    </row>
    <row r="59" spans="1:35" ht="15" customHeight="1" x14ac:dyDescent="0.15">
      <c r="A59" s="209"/>
      <c r="B59" s="3429" t="s">
        <v>147</v>
      </c>
      <c r="C59" s="3430"/>
      <c r="D59" s="3431"/>
      <c r="E59" s="3289"/>
      <c r="F59" s="3271"/>
      <c r="G59" s="3292"/>
      <c r="H59" s="3272"/>
      <c r="I59" s="3435"/>
      <c r="J59" s="3436"/>
      <c r="K59" s="3436"/>
      <c r="L59" s="3436"/>
      <c r="M59" s="3436"/>
      <c r="N59" s="3436"/>
      <c r="O59" s="3436"/>
      <c r="P59" s="3436"/>
      <c r="Q59" s="3436"/>
      <c r="R59" s="3436"/>
      <c r="S59" s="3437"/>
      <c r="T59" s="3440"/>
      <c r="U59" s="3441"/>
      <c r="V59" s="3445"/>
      <c r="W59" s="3446"/>
      <c r="X59" s="3447"/>
      <c r="Y59" s="3459"/>
      <c r="Z59" s="3460"/>
      <c r="AA59" s="3461"/>
      <c r="AB59" s="209"/>
    </row>
    <row r="60" spans="1:35" ht="25.5" customHeight="1" thickBot="1" x14ac:dyDescent="0.2">
      <c r="A60" s="209"/>
      <c r="B60" s="3286" t="s">
        <v>4</v>
      </c>
      <c r="C60" s="3287"/>
      <c r="D60" s="3288"/>
      <c r="E60" s="3290"/>
      <c r="F60" s="3291"/>
      <c r="G60" s="3293"/>
      <c r="H60" s="3294"/>
      <c r="I60" s="3418">
        <f>入力1!L137</f>
        <v>0</v>
      </c>
      <c r="J60" s="3419"/>
      <c r="K60" s="3419"/>
      <c r="L60" s="3419"/>
      <c r="M60" s="3419"/>
      <c r="N60" s="3419"/>
      <c r="O60" s="3419"/>
      <c r="P60" s="3419"/>
      <c r="Q60" s="3419"/>
      <c r="R60" s="3419"/>
      <c r="S60" s="3420"/>
      <c r="T60" s="3421">
        <f>入力1!T137</f>
        <v>0</v>
      </c>
      <c r="U60" s="3422"/>
      <c r="V60" s="3423">
        <f>入力1!V137</f>
        <v>0</v>
      </c>
      <c r="W60" s="3424"/>
      <c r="X60" s="3425"/>
      <c r="Y60" s="3426">
        <f>入力1!X137</f>
        <v>0</v>
      </c>
      <c r="Z60" s="3427"/>
      <c r="AA60" s="3428"/>
      <c r="AB60" s="217"/>
      <c r="AC60" s="23"/>
      <c r="AD60" s="23"/>
      <c r="AE60" s="23"/>
      <c r="AF60" s="23"/>
      <c r="AG60" s="23"/>
      <c r="AH60" s="23"/>
      <c r="AI60" s="23"/>
    </row>
    <row r="61" spans="1:35" ht="25.5" customHeight="1" x14ac:dyDescent="0.15">
      <c r="A61" s="209"/>
      <c r="B61" s="3398">
        <f>入力1!D140</f>
        <v>0</v>
      </c>
      <c r="C61" s="3399"/>
      <c r="D61" s="3400"/>
      <c r="E61" s="3276" t="str">
        <f>IF(入力1!H140="","",入力1!H140)</f>
        <v/>
      </c>
      <c r="F61" s="3268" t="s">
        <v>14</v>
      </c>
      <c r="G61" s="3278" t="str">
        <f>IF(入力1!H140="","",入力1!H140)</f>
        <v/>
      </c>
      <c r="H61" s="3269" t="s">
        <v>1</v>
      </c>
      <c r="I61" s="3407">
        <f>入力1!L140</f>
        <v>0</v>
      </c>
      <c r="J61" s="3408"/>
      <c r="K61" s="3408"/>
      <c r="L61" s="3408"/>
      <c r="M61" s="3408"/>
      <c r="N61" s="3408"/>
      <c r="O61" s="3408"/>
      <c r="P61" s="3408"/>
      <c r="Q61" s="3408"/>
      <c r="R61" s="3408"/>
      <c r="S61" s="3409"/>
      <c r="T61" s="3410">
        <f>入力1!T140</f>
        <v>0</v>
      </c>
      <c r="U61" s="3411"/>
      <c r="V61" s="3412">
        <f>入力1!V140</f>
        <v>0</v>
      </c>
      <c r="W61" s="3413"/>
      <c r="X61" s="3414"/>
      <c r="Y61" s="3415">
        <f>入力1!X140</f>
        <v>0</v>
      </c>
      <c r="Z61" s="3416"/>
      <c r="AA61" s="3417"/>
      <c r="AB61" s="209"/>
    </row>
    <row r="62" spans="1:35" ht="25.5" customHeight="1" x14ac:dyDescent="0.15">
      <c r="A62" s="209"/>
      <c r="B62" s="3401"/>
      <c r="C62" s="3402"/>
      <c r="D62" s="3403"/>
      <c r="E62" s="3277"/>
      <c r="F62" s="3271"/>
      <c r="G62" s="3279"/>
      <c r="H62" s="3272"/>
      <c r="I62" s="3418">
        <f>入力1!L141</f>
        <v>0</v>
      </c>
      <c r="J62" s="3419"/>
      <c r="K62" s="3419"/>
      <c r="L62" s="3419"/>
      <c r="M62" s="3419"/>
      <c r="N62" s="3419"/>
      <c r="O62" s="3419"/>
      <c r="P62" s="3419"/>
      <c r="Q62" s="3419"/>
      <c r="R62" s="3419"/>
      <c r="S62" s="3420"/>
      <c r="T62" s="3421">
        <f>入力1!T141</f>
        <v>0</v>
      </c>
      <c r="U62" s="3422"/>
      <c r="V62" s="3423">
        <f>入力1!V141</f>
        <v>0</v>
      </c>
      <c r="W62" s="3424"/>
      <c r="X62" s="3425"/>
      <c r="Y62" s="3426">
        <f>入力1!X141</f>
        <v>0</v>
      </c>
      <c r="Z62" s="3427"/>
      <c r="AA62" s="3428"/>
      <c r="AB62" s="217"/>
      <c r="AC62" s="23"/>
      <c r="AD62" s="23"/>
      <c r="AE62" s="23"/>
      <c r="AF62" s="23"/>
      <c r="AG62" s="23"/>
      <c r="AH62" s="23"/>
      <c r="AI62" s="23"/>
    </row>
    <row r="63" spans="1:35" ht="10.5" customHeight="1" x14ac:dyDescent="0.15">
      <c r="A63" s="209"/>
      <c r="B63" s="3404"/>
      <c r="C63" s="3405"/>
      <c r="D63" s="3406"/>
      <c r="E63" s="3289">
        <f>入力1!H142</f>
        <v>0</v>
      </c>
      <c r="F63" s="3271" t="s">
        <v>46</v>
      </c>
      <c r="G63" s="3292">
        <f>入力1!J142</f>
        <v>0</v>
      </c>
      <c r="H63" s="3272" t="s">
        <v>45</v>
      </c>
      <c r="I63" s="3432">
        <f>入力1!L142</f>
        <v>0</v>
      </c>
      <c r="J63" s="3433"/>
      <c r="K63" s="3433"/>
      <c r="L63" s="3433"/>
      <c r="M63" s="3433"/>
      <c r="N63" s="3433"/>
      <c r="O63" s="3433"/>
      <c r="P63" s="3433"/>
      <c r="Q63" s="3433"/>
      <c r="R63" s="3433"/>
      <c r="S63" s="3434"/>
      <c r="T63" s="3438">
        <f>入力1!T142</f>
        <v>0</v>
      </c>
      <c r="U63" s="3439"/>
      <c r="V63" s="3442">
        <f>入力1!V142</f>
        <v>0</v>
      </c>
      <c r="W63" s="3443"/>
      <c r="X63" s="3444"/>
      <c r="Y63" s="3456">
        <f>入力1!X142</f>
        <v>0</v>
      </c>
      <c r="Z63" s="3457"/>
      <c r="AA63" s="3458"/>
      <c r="AB63" s="217"/>
      <c r="AC63" s="23"/>
      <c r="AD63" s="23"/>
      <c r="AE63" s="23"/>
      <c r="AF63" s="23"/>
      <c r="AG63" s="23"/>
      <c r="AH63" s="23"/>
      <c r="AI63" s="23"/>
    </row>
    <row r="64" spans="1:35" ht="15" customHeight="1" x14ac:dyDescent="0.15">
      <c r="A64" s="209"/>
      <c r="B64" s="3429" t="s">
        <v>147</v>
      </c>
      <c r="C64" s="3430"/>
      <c r="D64" s="3431"/>
      <c r="E64" s="3289"/>
      <c r="F64" s="3271"/>
      <c r="G64" s="3292"/>
      <c r="H64" s="3272"/>
      <c r="I64" s="3435"/>
      <c r="J64" s="3436"/>
      <c r="K64" s="3436"/>
      <c r="L64" s="3436"/>
      <c r="M64" s="3436"/>
      <c r="N64" s="3436"/>
      <c r="O64" s="3436"/>
      <c r="P64" s="3436"/>
      <c r="Q64" s="3436"/>
      <c r="R64" s="3436"/>
      <c r="S64" s="3437"/>
      <c r="T64" s="3440"/>
      <c r="U64" s="3441"/>
      <c r="V64" s="3445"/>
      <c r="W64" s="3446"/>
      <c r="X64" s="3447"/>
      <c r="Y64" s="3459"/>
      <c r="Z64" s="3460"/>
      <c r="AA64" s="3461"/>
      <c r="AB64" s="209"/>
    </row>
    <row r="65" spans="1:35" ht="25.5" customHeight="1" thickBot="1" x14ac:dyDescent="0.2">
      <c r="A65" s="209"/>
      <c r="B65" s="3286"/>
      <c r="C65" s="3287"/>
      <c r="D65" s="3288"/>
      <c r="E65" s="3290"/>
      <c r="F65" s="3291"/>
      <c r="G65" s="3293"/>
      <c r="H65" s="3294"/>
      <c r="I65" s="3418">
        <f>入力1!L143</f>
        <v>0</v>
      </c>
      <c r="J65" s="3419"/>
      <c r="K65" s="3419"/>
      <c r="L65" s="3419"/>
      <c r="M65" s="3419"/>
      <c r="N65" s="3419"/>
      <c r="O65" s="3419"/>
      <c r="P65" s="3419"/>
      <c r="Q65" s="3419"/>
      <c r="R65" s="3419"/>
      <c r="S65" s="3420"/>
      <c r="T65" s="3421">
        <f>入力1!T143</f>
        <v>0</v>
      </c>
      <c r="U65" s="3422"/>
      <c r="V65" s="3423">
        <f>入力1!V143</f>
        <v>0</v>
      </c>
      <c r="W65" s="3424"/>
      <c r="X65" s="3425"/>
      <c r="Y65" s="3426">
        <f>入力1!X143</f>
        <v>0</v>
      </c>
      <c r="Z65" s="3427"/>
      <c r="AA65" s="3428"/>
      <c r="AB65" s="217"/>
      <c r="AC65" s="23"/>
      <c r="AD65" s="23"/>
      <c r="AE65" s="23"/>
      <c r="AF65" s="23"/>
      <c r="AG65" s="23"/>
      <c r="AH65" s="23"/>
      <c r="AI65" s="23"/>
    </row>
    <row r="66" spans="1:35" ht="25.5" customHeight="1" x14ac:dyDescent="0.15">
      <c r="A66" s="209"/>
      <c r="B66" s="3398">
        <f>入力1!D146</f>
        <v>0</v>
      </c>
      <c r="C66" s="3399"/>
      <c r="D66" s="3400"/>
      <c r="E66" s="3276" t="str">
        <f>IF(入力1!H146="","",入力1!H146)</f>
        <v/>
      </c>
      <c r="F66" s="3268" t="s">
        <v>14</v>
      </c>
      <c r="G66" s="3278" t="str">
        <f>IF(入力1!H146="","",入力1!H146)</f>
        <v/>
      </c>
      <c r="H66" s="3269" t="s">
        <v>1</v>
      </c>
      <c r="I66" s="3407">
        <f>入力1!L146</f>
        <v>0</v>
      </c>
      <c r="J66" s="3408"/>
      <c r="K66" s="3408"/>
      <c r="L66" s="3408"/>
      <c r="M66" s="3408"/>
      <c r="N66" s="3408"/>
      <c r="O66" s="3408"/>
      <c r="P66" s="3408"/>
      <c r="Q66" s="3408"/>
      <c r="R66" s="3408"/>
      <c r="S66" s="3409"/>
      <c r="T66" s="3410">
        <f>入力1!T146</f>
        <v>0</v>
      </c>
      <c r="U66" s="3411"/>
      <c r="V66" s="3412">
        <f>入力1!V146</f>
        <v>0</v>
      </c>
      <c r="W66" s="3413"/>
      <c r="X66" s="3414"/>
      <c r="Y66" s="3415">
        <f>入力1!X146</f>
        <v>0</v>
      </c>
      <c r="Z66" s="3416"/>
      <c r="AA66" s="3417"/>
      <c r="AB66" s="209"/>
    </row>
    <row r="67" spans="1:35" ht="25.5" customHeight="1" x14ac:dyDescent="0.15">
      <c r="A67" s="209"/>
      <c r="B67" s="3401"/>
      <c r="C67" s="3402"/>
      <c r="D67" s="3403"/>
      <c r="E67" s="3277"/>
      <c r="F67" s="3271"/>
      <c r="G67" s="3279"/>
      <c r="H67" s="3272"/>
      <c r="I67" s="3418">
        <f>入力1!L147</f>
        <v>0</v>
      </c>
      <c r="J67" s="3419"/>
      <c r="K67" s="3419"/>
      <c r="L67" s="3419"/>
      <c r="M67" s="3419"/>
      <c r="N67" s="3419"/>
      <c r="O67" s="3419"/>
      <c r="P67" s="3419"/>
      <c r="Q67" s="3419"/>
      <c r="R67" s="3419"/>
      <c r="S67" s="3420"/>
      <c r="T67" s="3421">
        <f>入力1!T147</f>
        <v>0</v>
      </c>
      <c r="U67" s="3422"/>
      <c r="V67" s="3423">
        <f>入力1!V147</f>
        <v>0</v>
      </c>
      <c r="W67" s="3424"/>
      <c r="X67" s="3425"/>
      <c r="Y67" s="3426">
        <f>入力1!X147</f>
        <v>0</v>
      </c>
      <c r="Z67" s="3427"/>
      <c r="AA67" s="3428"/>
      <c r="AB67" s="217"/>
      <c r="AC67" s="23"/>
      <c r="AD67" s="23"/>
      <c r="AE67" s="23"/>
      <c r="AF67" s="23"/>
      <c r="AG67" s="23"/>
      <c r="AH67" s="23"/>
      <c r="AI67" s="23"/>
    </row>
    <row r="68" spans="1:35" ht="10.5" customHeight="1" x14ac:dyDescent="0.15">
      <c r="A68" s="209"/>
      <c r="B68" s="3404"/>
      <c r="C68" s="3405"/>
      <c r="D68" s="3406"/>
      <c r="E68" s="3289">
        <f>入力1!H148</f>
        <v>0</v>
      </c>
      <c r="F68" s="3271" t="s">
        <v>46</v>
      </c>
      <c r="G68" s="3292">
        <f>入力1!J148</f>
        <v>0</v>
      </c>
      <c r="H68" s="3272" t="s">
        <v>45</v>
      </c>
      <c r="I68" s="3432">
        <f>入力1!L148</f>
        <v>0</v>
      </c>
      <c r="J68" s="3433"/>
      <c r="K68" s="3433"/>
      <c r="L68" s="3433"/>
      <c r="M68" s="3433"/>
      <c r="N68" s="3433"/>
      <c r="O68" s="3433"/>
      <c r="P68" s="3433"/>
      <c r="Q68" s="3433"/>
      <c r="R68" s="3433"/>
      <c r="S68" s="3434"/>
      <c r="T68" s="3438">
        <f>入力1!T148</f>
        <v>0</v>
      </c>
      <c r="U68" s="3439"/>
      <c r="V68" s="3442">
        <f>入力1!V148</f>
        <v>0</v>
      </c>
      <c r="W68" s="3443"/>
      <c r="X68" s="3444"/>
      <c r="Y68" s="3456">
        <f>入力1!X148</f>
        <v>0</v>
      </c>
      <c r="Z68" s="3457"/>
      <c r="AA68" s="3458"/>
      <c r="AB68" s="217"/>
      <c r="AC68" s="23"/>
      <c r="AD68" s="23"/>
      <c r="AE68" s="23"/>
      <c r="AF68" s="23"/>
      <c r="AG68" s="23"/>
      <c r="AH68" s="23"/>
      <c r="AI68" s="23"/>
    </row>
    <row r="69" spans="1:35" ht="15" customHeight="1" x14ac:dyDescent="0.15">
      <c r="A69" s="209"/>
      <c r="B69" s="3429" t="s">
        <v>147</v>
      </c>
      <c r="C69" s="3430"/>
      <c r="D69" s="3431"/>
      <c r="E69" s="3289"/>
      <c r="F69" s="3271"/>
      <c r="G69" s="3292"/>
      <c r="H69" s="3272"/>
      <c r="I69" s="3435"/>
      <c r="J69" s="3436"/>
      <c r="K69" s="3436"/>
      <c r="L69" s="3436"/>
      <c r="M69" s="3436"/>
      <c r="N69" s="3436"/>
      <c r="O69" s="3436"/>
      <c r="P69" s="3436"/>
      <c r="Q69" s="3436"/>
      <c r="R69" s="3436"/>
      <c r="S69" s="3437"/>
      <c r="T69" s="3440"/>
      <c r="U69" s="3441"/>
      <c r="V69" s="3445"/>
      <c r="W69" s="3446"/>
      <c r="X69" s="3447"/>
      <c r="Y69" s="3459"/>
      <c r="Z69" s="3460"/>
      <c r="AA69" s="3461"/>
      <c r="AB69" s="209"/>
    </row>
    <row r="70" spans="1:35" ht="25.5" customHeight="1" thickBot="1" x14ac:dyDescent="0.2">
      <c r="A70" s="209"/>
      <c r="B70" s="3286"/>
      <c r="C70" s="3287"/>
      <c r="D70" s="3288"/>
      <c r="E70" s="3290"/>
      <c r="F70" s="3291"/>
      <c r="G70" s="3293"/>
      <c r="H70" s="3294"/>
      <c r="I70" s="3418">
        <f>入力1!L149</f>
        <v>0</v>
      </c>
      <c r="J70" s="3419"/>
      <c r="K70" s="3419"/>
      <c r="L70" s="3419"/>
      <c r="M70" s="3419"/>
      <c r="N70" s="3419"/>
      <c r="O70" s="3419"/>
      <c r="P70" s="3419"/>
      <c r="Q70" s="3419"/>
      <c r="R70" s="3419"/>
      <c r="S70" s="3420"/>
      <c r="T70" s="3421">
        <f>入力1!T149</f>
        <v>0</v>
      </c>
      <c r="U70" s="3422"/>
      <c r="V70" s="3423">
        <f>入力1!V149</f>
        <v>0</v>
      </c>
      <c r="W70" s="3424"/>
      <c r="X70" s="3425"/>
      <c r="Y70" s="3426">
        <f>入力1!X149</f>
        <v>0</v>
      </c>
      <c r="Z70" s="3427"/>
      <c r="AA70" s="3428"/>
      <c r="AB70" s="217"/>
      <c r="AC70" s="23"/>
      <c r="AD70" s="23"/>
      <c r="AE70" s="23"/>
      <c r="AF70" s="23"/>
      <c r="AG70" s="23"/>
      <c r="AH70" s="23"/>
      <c r="AI70" s="23"/>
    </row>
    <row r="71" spans="1:35" ht="25.5" customHeight="1" x14ac:dyDescent="0.15">
      <c r="B71" s="3267">
        <f>入力1!D152</f>
        <v>0</v>
      </c>
      <c r="C71" s="3268"/>
      <c r="D71" s="3269"/>
      <c r="E71" s="3276" t="str">
        <f>IF(入力1!H152="","",入力1!H152)</f>
        <v/>
      </c>
      <c r="F71" s="3268" t="s">
        <v>14</v>
      </c>
      <c r="G71" s="3278" t="str">
        <f>IF(入力1!H152="","",入力1!H152)</f>
        <v/>
      </c>
      <c r="H71" s="3269" t="s">
        <v>1</v>
      </c>
      <c r="I71" s="3280">
        <f>入力1!L152</f>
        <v>0</v>
      </c>
      <c r="J71" s="3281"/>
      <c r="K71" s="3281"/>
      <c r="L71" s="3281"/>
      <c r="M71" s="3281"/>
      <c r="N71" s="3281"/>
      <c r="O71" s="3281"/>
      <c r="P71" s="3281"/>
      <c r="Q71" s="3281"/>
      <c r="R71" s="3281"/>
      <c r="S71" s="3282"/>
      <c r="T71" s="3298">
        <f>入力1!T152</f>
        <v>0</v>
      </c>
      <c r="U71" s="3299"/>
      <c r="V71" s="3300">
        <f>入力1!V152</f>
        <v>0</v>
      </c>
      <c r="W71" s="3301"/>
      <c r="X71" s="3302"/>
      <c r="Y71" s="3303">
        <f>入力1!X152</f>
        <v>0</v>
      </c>
      <c r="Z71" s="3304"/>
      <c r="AA71" s="3305"/>
    </row>
    <row r="72" spans="1:35" ht="25.5" customHeight="1" x14ac:dyDescent="0.15">
      <c r="B72" s="3270"/>
      <c r="C72" s="3271"/>
      <c r="D72" s="3272"/>
      <c r="E72" s="3277"/>
      <c r="F72" s="3271"/>
      <c r="G72" s="3279"/>
      <c r="H72" s="3272"/>
      <c r="I72" s="3247">
        <f>入力1!L153</f>
        <v>0</v>
      </c>
      <c r="J72" s="3248"/>
      <c r="K72" s="3248"/>
      <c r="L72" s="3248"/>
      <c r="M72" s="3248"/>
      <c r="N72" s="3248"/>
      <c r="O72" s="3248"/>
      <c r="P72" s="3248"/>
      <c r="Q72" s="3248"/>
      <c r="R72" s="3248"/>
      <c r="S72" s="3249"/>
      <c r="T72" s="3250">
        <f>入力1!T153</f>
        <v>0</v>
      </c>
      <c r="U72" s="3251"/>
      <c r="V72" s="3252">
        <f>入力1!V153</f>
        <v>0</v>
      </c>
      <c r="W72" s="3253"/>
      <c r="X72" s="3254"/>
      <c r="Y72" s="3255">
        <f>入力1!X153</f>
        <v>0</v>
      </c>
      <c r="Z72" s="3256"/>
      <c r="AA72" s="3257"/>
      <c r="AB72" s="23"/>
      <c r="AC72" s="23"/>
      <c r="AD72" s="23"/>
      <c r="AE72" s="23"/>
      <c r="AF72" s="23"/>
      <c r="AG72" s="23"/>
      <c r="AH72" s="23"/>
      <c r="AI72" s="23"/>
    </row>
    <row r="73" spans="1:35" ht="10.5" customHeight="1" x14ac:dyDescent="0.15">
      <c r="B73" s="3273"/>
      <c r="C73" s="3274"/>
      <c r="D73" s="3275"/>
      <c r="E73" s="3289">
        <f>入力1!H154</f>
        <v>0</v>
      </c>
      <c r="F73" s="3271" t="s">
        <v>46</v>
      </c>
      <c r="G73" s="3292">
        <f>入力1!J154</f>
        <v>0</v>
      </c>
      <c r="H73" s="3272" t="s">
        <v>45</v>
      </c>
      <c r="I73" s="3306">
        <f>入力1!L154</f>
        <v>0</v>
      </c>
      <c r="J73" s="3307"/>
      <c r="K73" s="3307"/>
      <c r="L73" s="3307"/>
      <c r="M73" s="3307"/>
      <c r="N73" s="3307"/>
      <c r="O73" s="3307"/>
      <c r="P73" s="3307"/>
      <c r="Q73" s="3307"/>
      <c r="R73" s="3307"/>
      <c r="S73" s="3308"/>
      <c r="T73" s="3312">
        <f>入力1!T154</f>
        <v>0</v>
      </c>
      <c r="U73" s="3313"/>
      <c r="V73" s="3316">
        <f>入力1!V154</f>
        <v>0</v>
      </c>
      <c r="W73" s="3317"/>
      <c r="X73" s="3318"/>
      <c r="Y73" s="3322">
        <f>入力1!X154</f>
        <v>0</v>
      </c>
      <c r="Z73" s="3323"/>
      <c r="AA73" s="3324"/>
      <c r="AB73" s="23"/>
      <c r="AC73" s="23"/>
      <c r="AD73" s="23"/>
      <c r="AE73" s="23"/>
      <c r="AF73" s="23"/>
      <c r="AG73" s="23"/>
      <c r="AH73" s="23"/>
      <c r="AI73" s="23"/>
    </row>
    <row r="74" spans="1:35" ht="15" customHeight="1" x14ac:dyDescent="0.15">
      <c r="B74" s="3283" t="s">
        <v>147</v>
      </c>
      <c r="C74" s="3284"/>
      <c r="D74" s="3285"/>
      <c r="E74" s="3289"/>
      <c r="F74" s="3271"/>
      <c r="G74" s="3292"/>
      <c r="H74" s="3272"/>
      <c r="I74" s="3309"/>
      <c r="J74" s="3310"/>
      <c r="K74" s="3310"/>
      <c r="L74" s="3310"/>
      <c r="M74" s="3310"/>
      <c r="N74" s="3310"/>
      <c r="O74" s="3310"/>
      <c r="P74" s="3310"/>
      <c r="Q74" s="3310"/>
      <c r="R74" s="3310"/>
      <c r="S74" s="3311"/>
      <c r="T74" s="3314"/>
      <c r="U74" s="3315"/>
      <c r="V74" s="3319"/>
      <c r="W74" s="3320"/>
      <c r="X74" s="3321"/>
      <c r="Y74" s="3325"/>
      <c r="Z74" s="3326"/>
      <c r="AA74" s="3327"/>
    </row>
    <row r="75" spans="1:35" ht="25.5" customHeight="1" thickBot="1" x14ac:dyDescent="0.2">
      <c r="B75" s="3286"/>
      <c r="C75" s="3287"/>
      <c r="D75" s="3288"/>
      <c r="E75" s="3290"/>
      <c r="F75" s="3291"/>
      <c r="G75" s="3293"/>
      <c r="H75" s="3294"/>
      <c r="I75" s="3247">
        <f>入力1!L155</f>
        <v>0</v>
      </c>
      <c r="J75" s="3248"/>
      <c r="K75" s="3248"/>
      <c r="L75" s="3248"/>
      <c r="M75" s="3248"/>
      <c r="N75" s="3248"/>
      <c r="O75" s="3248"/>
      <c r="P75" s="3248"/>
      <c r="Q75" s="3248"/>
      <c r="R75" s="3248"/>
      <c r="S75" s="3249"/>
      <c r="T75" s="3250">
        <f>入力1!T155</f>
        <v>0</v>
      </c>
      <c r="U75" s="3251"/>
      <c r="V75" s="3252">
        <f>入力1!V155</f>
        <v>0</v>
      </c>
      <c r="W75" s="3253"/>
      <c r="X75" s="3254"/>
      <c r="Y75" s="3255">
        <f>入力1!X155</f>
        <v>0</v>
      </c>
      <c r="Z75" s="3256"/>
      <c r="AA75" s="3257"/>
      <c r="AB75" s="23"/>
      <c r="AC75" s="23"/>
      <c r="AD75" s="23"/>
      <c r="AE75" s="23"/>
      <c r="AF75" s="23"/>
      <c r="AG75" s="23"/>
      <c r="AH75" s="23"/>
      <c r="AI75" s="23"/>
    </row>
    <row r="76" spans="1:35" ht="26.25" customHeight="1" thickBot="1" x14ac:dyDescent="0.2">
      <c r="A76" s="209"/>
      <c r="B76" s="3448" t="s">
        <v>312</v>
      </c>
      <c r="C76" s="3449"/>
      <c r="D76" s="3449"/>
      <c r="E76" s="3449"/>
      <c r="F76" s="3449"/>
      <c r="G76" s="3449"/>
      <c r="H76" s="3449"/>
      <c r="I76" s="3449"/>
      <c r="J76" s="3449"/>
      <c r="K76" s="3449"/>
      <c r="L76" s="3449"/>
      <c r="M76" s="3449"/>
      <c r="N76" s="3449"/>
      <c r="O76" s="3449"/>
      <c r="P76" s="3449"/>
      <c r="Q76" s="3449"/>
      <c r="R76" s="3449"/>
      <c r="S76" s="3450"/>
      <c r="T76" s="3451" t="s">
        <v>144</v>
      </c>
      <c r="U76" s="3452"/>
      <c r="V76" s="3452"/>
      <c r="W76" s="3452"/>
      <c r="X76" s="3453"/>
      <c r="Y76" s="3454">
        <f>SUM(Y34,Y56:AA75)</f>
        <v>0</v>
      </c>
      <c r="Z76" s="3454"/>
      <c r="AA76" s="3455"/>
      <c r="AB76" s="209"/>
    </row>
    <row r="77" spans="1:35" ht="30" customHeight="1" x14ac:dyDescent="0.15">
      <c r="A77" s="2"/>
      <c r="B77" s="3330" t="s">
        <v>146</v>
      </c>
      <c r="C77" s="3330"/>
      <c r="D77" s="3330"/>
      <c r="E77" s="3330"/>
      <c r="F77" s="3330"/>
      <c r="G77" s="3330"/>
      <c r="H77" s="3330"/>
      <c r="I77" s="3330"/>
      <c r="J77" s="3330"/>
      <c r="K77" s="3330"/>
      <c r="L77" s="3330"/>
      <c r="M77" s="3330"/>
      <c r="N77" s="3330"/>
      <c r="O77" s="3330"/>
      <c r="P77" s="3330"/>
      <c r="Q77" s="3330"/>
      <c r="R77" s="3330"/>
      <c r="S77" s="3330"/>
      <c r="T77" s="3330"/>
      <c r="U77" s="3330"/>
      <c r="V77" s="3330"/>
      <c r="W77" s="3330"/>
      <c r="X77" s="3330"/>
      <c r="Y77" s="3330"/>
      <c r="Z77" s="3330"/>
      <c r="AA77" s="3330"/>
      <c r="AB77" s="23"/>
      <c r="AC77" s="23"/>
      <c r="AD77" s="23"/>
      <c r="AE77" s="23"/>
      <c r="AF77" s="23"/>
      <c r="AG77" s="23"/>
      <c r="AH77" s="23"/>
      <c r="AI77" s="23"/>
    </row>
    <row r="78" spans="1:35" ht="21" customHeight="1" x14ac:dyDescent="0.15">
      <c r="B78" s="96"/>
      <c r="C78" s="3331" t="s">
        <v>48</v>
      </c>
      <c r="D78" s="3331"/>
      <c r="E78" s="3331"/>
      <c r="F78" s="3331"/>
      <c r="G78" s="3331"/>
      <c r="H78" s="92" t="str">
        <f>H36</f>
        <v/>
      </c>
      <c r="I78" s="93" t="s">
        <v>44</v>
      </c>
      <c r="J78" s="96"/>
      <c r="K78" s="3331" t="s">
        <v>49</v>
      </c>
      <c r="L78" s="3331"/>
      <c r="M78" s="3331"/>
      <c r="N78" s="3331"/>
      <c r="O78" s="3331"/>
      <c r="P78" s="3331"/>
      <c r="Q78" s="95" t="str">
        <f>Q36</f>
        <v/>
      </c>
      <c r="R78" s="93" t="s">
        <v>44</v>
      </c>
      <c r="S78" s="96"/>
      <c r="T78" s="3331" t="s">
        <v>50</v>
      </c>
      <c r="U78" s="3331"/>
      <c r="V78" s="3331"/>
      <c r="W78" s="3331"/>
      <c r="X78" s="92" t="str">
        <f>X36</f>
        <v/>
      </c>
      <c r="Y78" s="93" t="s">
        <v>44</v>
      </c>
      <c r="Z78" s="94"/>
      <c r="AA78" s="94"/>
      <c r="AB78" s="2"/>
    </row>
    <row r="79" spans="1:35" ht="40.5" customHeight="1" x14ac:dyDescent="0.15">
      <c r="A79" s="2"/>
      <c r="B79" s="3392" t="s">
        <v>695</v>
      </c>
      <c r="C79" s="3392"/>
      <c r="D79" s="3392"/>
      <c r="E79" s="3392"/>
      <c r="F79" s="3392"/>
      <c r="G79" s="3392"/>
      <c r="H79" s="3392"/>
      <c r="I79" s="3392"/>
      <c r="J79" s="3392"/>
      <c r="K79" s="3392"/>
      <c r="L79" s="3392"/>
      <c r="M79" s="3392"/>
      <c r="N79" s="3392"/>
      <c r="O79" s="3392"/>
      <c r="P79" s="3392"/>
      <c r="Q79" s="3392"/>
      <c r="R79" s="3392"/>
      <c r="S79" s="3392"/>
      <c r="T79" s="3392"/>
      <c r="U79" s="3392"/>
      <c r="V79" s="3392"/>
      <c r="W79" s="3392"/>
      <c r="X79" s="3392"/>
      <c r="Y79" s="3392"/>
      <c r="Z79" s="3392"/>
      <c r="AA79" s="3392"/>
      <c r="AB79" s="23"/>
      <c r="AC79" s="23"/>
      <c r="AD79" s="23"/>
      <c r="AE79" s="99"/>
      <c r="AF79" s="23"/>
      <c r="AG79" s="23"/>
      <c r="AH79" s="23"/>
      <c r="AI79" s="23"/>
    </row>
    <row r="80" spans="1:35" ht="2.25" customHeight="1" thickBot="1" x14ac:dyDescent="0.2">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x14ac:dyDescent="0.2">
      <c r="B81" s="3389" t="s">
        <v>26</v>
      </c>
      <c r="C81" s="3390"/>
      <c r="D81" s="3391"/>
      <c r="E81" s="3261" t="s">
        <v>19</v>
      </c>
      <c r="F81" s="3262"/>
      <c r="G81" s="3262"/>
      <c r="H81" s="3262"/>
      <c r="I81" s="3262"/>
      <c r="J81" s="3262"/>
      <c r="K81" s="3262"/>
      <c r="L81" s="3262"/>
      <c r="M81" s="3262"/>
      <c r="N81" s="3262"/>
      <c r="O81" s="3262"/>
      <c r="P81" s="3262"/>
      <c r="Q81" s="3262"/>
      <c r="R81" s="3262"/>
      <c r="S81" s="3262"/>
      <c r="T81" s="3263"/>
      <c r="U81" s="3261" t="s">
        <v>27</v>
      </c>
      <c r="V81" s="3262"/>
      <c r="W81" s="3262"/>
      <c r="X81" s="3262"/>
      <c r="Y81" s="3262"/>
      <c r="Z81" s="3262"/>
      <c r="AA81" s="3393"/>
    </row>
    <row r="82" spans="2:27" ht="22.5" customHeight="1" x14ac:dyDescent="0.15">
      <c r="B82" s="3236" t="str">
        <f>B40</f>
        <v>現金</v>
      </c>
      <c r="C82" s="3237"/>
      <c r="D82" s="3238"/>
      <c r="E82" s="3225" t="s">
        <v>148</v>
      </c>
      <c r="F82" s="3226"/>
      <c r="G82" s="3226"/>
      <c r="H82" s="3226"/>
      <c r="I82" s="3226"/>
      <c r="J82" s="3226"/>
      <c r="K82" s="3226"/>
      <c r="L82" s="3226"/>
      <c r="M82" s="320" t="s">
        <v>94</v>
      </c>
      <c r="N82" s="3227">
        <f>N40</f>
        <v>0</v>
      </c>
      <c r="O82" s="3227"/>
      <c r="P82" s="3227"/>
      <c r="Q82" s="105" t="s">
        <v>43</v>
      </c>
      <c r="R82" s="106"/>
      <c r="S82" s="106"/>
      <c r="T82" s="107"/>
      <c r="U82" s="3229">
        <f>U40</f>
        <v>0</v>
      </c>
      <c r="V82" s="3229"/>
      <c r="W82" s="3229"/>
      <c r="X82" s="3229"/>
      <c r="Y82" s="3229"/>
      <c r="Z82" s="3229"/>
      <c r="AA82" s="3230"/>
    </row>
    <row r="83" spans="2:27" ht="22.5" customHeight="1" x14ac:dyDescent="0.15">
      <c r="B83" s="3239">
        <f>B41</f>
        <v>0</v>
      </c>
      <c r="C83" s="2967"/>
      <c r="D83" s="2968"/>
      <c r="E83" s="3240">
        <f>E41</f>
        <v>0</v>
      </c>
      <c r="F83" s="3241"/>
      <c r="G83" s="3241"/>
      <c r="H83" s="3241"/>
      <c r="I83" s="3241"/>
      <c r="J83" s="3241"/>
      <c r="K83" s="3241"/>
      <c r="L83" s="3241"/>
      <c r="M83" s="3241"/>
      <c r="N83" s="3241"/>
      <c r="O83" s="3241"/>
      <c r="P83" s="3241"/>
      <c r="Q83" s="3241"/>
      <c r="R83" s="3241"/>
      <c r="S83" s="3241"/>
      <c r="T83" s="3242"/>
      <c r="U83" s="3231">
        <f>U41</f>
        <v>0</v>
      </c>
      <c r="V83" s="3231"/>
      <c r="W83" s="3231"/>
      <c r="X83" s="3231"/>
      <c r="Y83" s="3231"/>
      <c r="Z83" s="3231"/>
      <c r="AA83" s="3232"/>
    </row>
    <row r="84" spans="2:27" ht="22.5" customHeight="1" thickBot="1" x14ac:dyDescent="0.2">
      <c r="B84" s="3228">
        <f>B42</f>
        <v>0</v>
      </c>
      <c r="C84" s="2982"/>
      <c r="D84" s="2983"/>
      <c r="E84" s="3243">
        <f>E42</f>
        <v>0</v>
      </c>
      <c r="F84" s="3244"/>
      <c r="G84" s="3244"/>
      <c r="H84" s="3244"/>
      <c r="I84" s="3244"/>
      <c r="J84" s="3244"/>
      <c r="K84" s="3244"/>
      <c r="L84" s="3244"/>
      <c r="M84" s="3244"/>
      <c r="N84" s="3244"/>
      <c r="O84" s="3244"/>
      <c r="P84" s="3244"/>
      <c r="Q84" s="3244"/>
      <c r="R84" s="3244"/>
      <c r="S84" s="3244"/>
      <c r="T84" s="3245"/>
      <c r="U84" s="3233">
        <f>U42</f>
        <v>0</v>
      </c>
      <c r="V84" s="3234"/>
      <c r="W84" s="3234"/>
      <c r="X84" s="3234"/>
      <c r="Y84" s="3234"/>
      <c r="Z84" s="3234"/>
      <c r="AA84" s="3235"/>
    </row>
    <row r="85" spans="2:27" ht="44.25" customHeight="1" x14ac:dyDescent="0.15">
      <c r="B85" s="42"/>
      <c r="C85" s="42"/>
      <c r="D85" s="42"/>
      <c r="E85" s="360"/>
      <c r="F85" s="360"/>
      <c r="G85" s="360"/>
      <c r="H85" s="360"/>
      <c r="I85" s="360"/>
      <c r="J85" s="360"/>
      <c r="K85" s="360"/>
      <c r="L85" s="360"/>
      <c r="M85" s="360"/>
      <c r="N85" s="360"/>
      <c r="O85" s="360"/>
      <c r="P85" s="360"/>
      <c r="Q85" s="360"/>
      <c r="R85" s="360"/>
      <c r="S85" s="360"/>
      <c r="T85" s="360"/>
      <c r="U85" s="321"/>
      <c r="V85" s="321"/>
      <c r="W85" s="321"/>
      <c r="X85" s="321"/>
      <c r="Y85" s="321"/>
      <c r="Z85" s="321"/>
      <c r="AA85" s="321"/>
    </row>
    <row r="86" spans="2:27" ht="22.5" customHeight="1" x14ac:dyDescent="0.15">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dTC/s4m2GG3t3Y6TdEWSFw+FCph5vJmLZlUY2abQwswVIatzS3rmHcHV4whi4hjJ9/kcmt60adF6xrmJyjIwxQ==" saltValue="ecAjOr+wCiSl7+ulJF02EQ==" spinCount="100000" sheet="1" selectLockedCells="1"/>
  <mergeCells count="319">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E63:E65"/>
    <mergeCell ref="F63:F65"/>
    <mergeCell ref="G63:G65"/>
    <mergeCell ref="H63:H65"/>
    <mergeCell ref="I63:S64"/>
    <mergeCell ref="T63:U64"/>
    <mergeCell ref="V63:X64"/>
    <mergeCell ref="I67:S67"/>
    <mergeCell ref="T67:U67"/>
    <mergeCell ref="V67:X67"/>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B48:D48"/>
    <mergeCell ref="Q48:R48"/>
    <mergeCell ref="Z48:AA48"/>
    <mergeCell ref="B49:D49"/>
    <mergeCell ref="E49:AA49"/>
    <mergeCell ref="B50:Z50"/>
    <mergeCell ref="F51:I51"/>
    <mergeCell ref="J51:K51"/>
    <mergeCell ref="L51:AA51"/>
    <mergeCell ref="E48:G48"/>
    <mergeCell ref="H48:I48"/>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B46:T46"/>
    <mergeCell ref="E40:L40"/>
    <mergeCell ref="N40:P40"/>
    <mergeCell ref="B42:D42"/>
    <mergeCell ref="U40:AA40"/>
    <mergeCell ref="U41:AA41"/>
    <mergeCell ref="U42:AA42"/>
    <mergeCell ref="B40:D40"/>
    <mergeCell ref="B41:D41"/>
    <mergeCell ref="E41:T41"/>
    <mergeCell ref="E42:T42"/>
    <mergeCell ref="V46:W46"/>
    <mergeCell ref="Y46:Z46"/>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Y87"/>
  <sheetViews>
    <sheetView showGridLines="0" view="pageBreakPreview" zoomScaleNormal="100" zoomScaleSheetLayoutView="100" workbookViewId="0">
      <selection activeCell="H73" sqref="H73:I74"/>
    </sheetView>
  </sheetViews>
  <sheetFormatPr defaultRowHeight="13.5" x14ac:dyDescent="0.1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x14ac:dyDescent="0.15">
      <c r="A1" s="3609" t="s">
        <v>54</v>
      </c>
      <c r="B1" s="3609"/>
      <c r="C1" s="3609"/>
      <c r="D1" s="471"/>
      <c r="E1" s="3610" t="s">
        <v>55</v>
      </c>
      <c r="F1" s="3610"/>
      <c r="G1" s="3610"/>
      <c r="H1" s="3372" t="s">
        <v>220</v>
      </c>
      <c r="I1" s="3372"/>
      <c r="J1" s="3372"/>
      <c r="K1" s="3372"/>
      <c r="L1" s="3372"/>
      <c r="M1" s="3372"/>
      <c r="N1" s="3372"/>
      <c r="O1" s="3372"/>
      <c r="P1" s="3372"/>
      <c r="Q1" s="3372"/>
      <c r="R1" s="3372"/>
      <c r="S1" s="3372"/>
      <c r="T1" s="3372"/>
      <c r="U1" s="3372"/>
      <c r="V1" s="3372"/>
      <c r="W1" s="3372"/>
      <c r="X1" s="3372"/>
      <c r="Y1" s="3372"/>
      <c r="Z1" s="3372"/>
      <c r="AA1" s="3372"/>
      <c r="AB1" s="3372"/>
      <c r="AC1" s="3372"/>
      <c r="AD1" s="3372"/>
      <c r="AE1" s="3372"/>
      <c r="AF1" s="3372"/>
      <c r="AG1" s="3372"/>
      <c r="AH1" s="3372"/>
      <c r="AI1" s="3372"/>
      <c r="AJ1" s="3372"/>
      <c r="AK1" s="3372"/>
      <c r="AL1" s="3372"/>
      <c r="AM1" s="3372"/>
      <c r="AN1" s="3372"/>
      <c r="AO1" s="3372"/>
      <c r="AP1" s="3372"/>
      <c r="AQ1" s="3372"/>
      <c r="AR1" s="3372"/>
      <c r="AS1" s="3372"/>
      <c r="AT1" s="3372"/>
      <c r="AU1" s="3372"/>
      <c r="AV1" s="3372"/>
      <c r="AW1" s="3372"/>
    </row>
    <row r="2" spans="1:51" ht="26.25" customHeight="1" x14ac:dyDescent="0.15">
      <c r="C2" s="3611" t="s">
        <v>245</v>
      </c>
      <c r="D2" s="3611"/>
      <c r="E2" s="3611"/>
      <c r="F2" s="3611"/>
      <c r="G2" s="3611"/>
      <c r="H2" s="3611"/>
      <c r="I2" s="3611"/>
      <c r="J2" s="3611"/>
      <c r="K2" s="3611"/>
      <c r="L2" s="3611"/>
      <c r="M2" s="3611"/>
      <c r="N2" s="3611"/>
      <c r="O2" s="3611"/>
      <c r="P2" s="3611"/>
      <c r="Q2" s="3611"/>
      <c r="R2" s="3611"/>
      <c r="S2" s="3611"/>
      <c r="T2" s="3611"/>
      <c r="U2" s="3611"/>
      <c r="V2" s="3611"/>
      <c r="W2" s="3611"/>
      <c r="X2" s="3611"/>
      <c r="Y2" s="3611"/>
      <c r="Z2" s="3611"/>
      <c r="AA2" s="914"/>
      <c r="AB2" s="914"/>
      <c r="AC2" s="914"/>
      <c r="AD2" s="914"/>
      <c r="AE2" s="914"/>
      <c r="AF2" s="914"/>
      <c r="AG2" s="914"/>
      <c r="AH2" s="914"/>
      <c r="AI2" s="914"/>
      <c r="AJ2" s="914"/>
      <c r="AK2" s="914"/>
      <c r="AL2" s="914"/>
      <c r="AM2" s="914"/>
      <c r="AN2" s="914"/>
      <c r="AP2" s="472"/>
      <c r="AQ2" s="3590" t="s">
        <v>172</v>
      </c>
      <c r="AR2" s="3590"/>
      <c r="AS2" s="3590">
        <v>1</v>
      </c>
      <c r="AT2" s="3590"/>
    </row>
    <row r="3" spans="1:51" ht="3.75" customHeight="1" thickBot="1" x14ac:dyDescent="0.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P3" s="472"/>
      <c r="AQ3" s="473"/>
      <c r="AR3" s="473"/>
      <c r="AS3" s="473"/>
      <c r="AT3" s="473"/>
    </row>
    <row r="4" spans="1:51" ht="15" customHeight="1" x14ac:dyDescent="0.15">
      <c r="B4" s="3548" t="s">
        <v>171</v>
      </c>
      <c r="C4" s="3549"/>
      <c r="D4" s="3552" t="str">
        <f>" "&amp;入力1!B7</f>
        <v xml:space="preserve"> </v>
      </c>
      <c r="E4" s="3552"/>
      <c r="F4" s="3552"/>
      <c r="G4" s="3552"/>
      <c r="H4" s="3552"/>
      <c r="I4" s="3552"/>
      <c r="J4" s="3552"/>
      <c r="K4" s="3552"/>
      <c r="L4" s="3552"/>
      <c r="M4" s="3552"/>
      <c r="N4" s="3552"/>
      <c r="O4" s="3552"/>
      <c r="P4" s="3552"/>
      <c r="Q4" s="3552"/>
      <c r="R4" s="3552"/>
      <c r="S4" s="3552"/>
      <c r="T4" s="3552"/>
      <c r="U4" s="3552"/>
      <c r="V4" s="3552"/>
      <c r="W4" s="3552"/>
      <c r="X4" s="3552"/>
      <c r="Y4" s="3552"/>
      <c r="Z4" s="3553"/>
      <c r="AA4" s="475"/>
      <c r="AB4" s="3587" t="s">
        <v>380</v>
      </c>
      <c r="AC4" s="3588"/>
      <c r="AD4" s="3588"/>
      <c r="AE4" s="3588"/>
      <c r="AF4" s="3588"/>
      <c r="AG4" s="3588"/>
      <c r="AH4" s="3589"/>
      <c r="AJ4" s="3587" t="s">
        <v>377</v>
      </c>
      <c r="AK4" s="3588"/>
      <c r="AL4" s="3588"/>
      <c r="AM4" s="3588"/>
      <c r="AN4" s="3588"/>
      <c r="AO4" s="3588"/>
      <c r="AP4" s="3588"/>
      <c r="AQ4" s="3588"/>
      <c r="AR4" s="3588"/>
      <c r="AS4" s="3588"/>
      <c r="AT4" s="3589"/>
      <c r="AU4" s="476"/>
      <c r="AV4" s="470"/>
      <c r="AW4" s="470"/>
      <c r="AX4" s="470"/>
    </row>
    <row r="5" spans="1:51" ht="22.5" customHeight="1" thickBot="1" x14ac:dyDescent="0.2">
      <c r="B5" s="3550"/>
      <c r="C5" s="3551"/>
      <c r="D5" s="3554"/>
      <c r="E5" s="3554"/>
      <c r="F5" s="3554"/>
      <c r="G5" s="3554"/>
      <c r="H5" s="3554"/>
      <c r="I5" s="3554"/>
      <c r="J5" s="3554"/>
      <c r="K5" s="3554"/>
      <c r="L5" s="3554"/>
      <c r="M5" s="3554"/>
      <c r="N5" s="3554"/>
      <c r="O5" s="3554"/>
      <c r="P5" s="3554"/>
      <c r="Q5" s="3554"/>
      <c r="R5" s="3554"/>
      <c r="S5" s="3554"/>
      <c r="T5" s="3554"/>
      <c r="U5" s="3554"/>
      <c r="V5" s="3554"/>
      <c r="W5" s="3554"/>
      <c r="X5" s="3554"/>
      <c r="Y5" s="3554"/>
      <c r="Z5" s="3555"/>
      <c r="AA5" s="475"/>
      <c r="AB5" s="3465" t="s">
        <v>389</v>
      </c>
      <c r="AC5" s="3466"/>
      <c r="AD5" s="3466"/>
      <c r="AE5" s="3466"/>
      <c r="AF5" s="3464">
        <f>入力2【名簿】!AF2</f>
        <v>0</v>
      </c>
      <c r="AG5" s="3464"/>
      <c r="AH5" s="493" t="s">
        <v>174</v>
      </c>
      <c r="AJ5" s="485" t="s">
        <v>15</v>
      </c>
      <c r="AK5" s="505" t="str">
        <f>IF(入力1!H61="あり","○","")</f>
        <v/>
      </c>
      <c r="AL5" s="3600" t="s">
        <v>378</v>
      </c>
      <c r="AM5" s="3600"/>
      <c r="AN5" s="3600"/>
      <c r="AO5" s="491" t="s">
        <v>388</v>
      </c>
      <c r="AP5" s="478" t="s">
        <v>15</v>
      </c>
      <c r="AQ5" s="479" t="str">
        <f>IF(入力1!H61="なし","○","")</f>
        <v/>
      </c>
      <c r="AR5" s="3600" t="s">
        <v>379</v>
      </c>
      <c r="AS5" s="3600"/>
      <c r="AT5" s="3601"/>
      <c r="AU5" s="477"/>
      <c r="AV5" s="470"/>
      <c r="AW5" s="470"/>
      <c r="AX5" s="470"/>
      <c r="AY5" s="470"/>
    </row>
    <row r="6" spans="1:51" ht="24.75" customHeight="1" thickBot="1" x14ac:dyDescent="0.2">
      <c r="B6" s="3556" t="s">
        <v>170</v>
      </c>
      <c r="C6" s="3557"/>
      <c r="D6" s="3558">
        <f>入力1!G24</f>
        <v>0</v>
      </c>
      <c r="E6" s="3558"/>
      <c r="F6" s="486" t="s">
        <v>59</v>
      </c>
      <c r="G6" s="3558">
        <f>入力1!J24</f>
        <v>0</v>
      </c>
      <c r="H6" s="3558"/>
      <c r="I6" s="487" t="s">
        <v>60</v>
      </c>
      <c r="J6" s="3558">
        <f>入力1!L24</f>
        <v>0</v>
      </c>
      <c r="K6" s="3558"/>
      <c r="L6" s="487" t="s">
        <v>61</v>
      </c>
      <c r="M6" s="488" t="s">
        <v>169</v>
      </c>
      <c r="N6" s="487" t="str">
        <f>入力1!O24</f>
        <v/>
      </c>
      <c r="O6" s="487" t="s">
        <v>168</v>
      </c>
      <c r="P6" s="3559" t="s">
        <v>167</v>
      </c>
      <c r="Q6" s="3559"/>
      <c r="R6" s="3560" t="str">
        <f>入力1!T24</f>
        <v/>
      </c>
      <c r="S6" s="3560"/>
      <c r="T6" s="487" t="s">
        <v>60</v>
      </c>
      <c r="U6" s="3561" t="str">
        <f>入力1!V24</f>
        <v/>
      </c>
      <c r="V6" s="3561"/>
      <c r="W6" s="487" t="s">
        <v>61</v>
      </c>
      <c r="X6" s="488" t="s">
        <v>166</v>
      </c>
      <c r="Y6" s="489" t="str">
        <f>入力1!Y24</f>
        <v/>
      </c>
      <c r="Z6" s="490" t="s">
        <v>165</v>
      </c>
      <c r="AA6" s="480"/>
      <c r="AB6" s="3467" t="s">
        <v>390</v>
      </c>
      <c r="AC6" s="3468"/>
      <c r="AD6" s="3468"/>
      <c r="AE6" s="3468"/>
      <c r="AF6" s="3608">
        <f>入力2【名簿】!AL2</f>
        <v>0</v>
      </c>
      <c r="AG6" s="3608"/>
      <c r="AH6" s="494" t="s">
        <v>174</v>
      </c>
      <c r="AJ6" s="3602" t="s">
        <v>393</v>
      </c>
      <c r="AK6" s="3602"/>
      <c r="AL6" s="3602"/>
      <c r="AM6" s="3602"/>
      <c r="AN6" s="3602"/>
      <c r="AO6" s="3602"/>
      <c r="AP6" s="3602"/>
      <c r="AQ6" s="3602"/>
      <c r="AR6" s="3602"/>
      <c r="AS6" s="3602"/>
      <c r="AT6" s="3602"/>
    </row>
    <row r="7" spans="1:51" ht="13.5" customHeight="1" thickBot="1" x14ac:dyDescent="0.2">
      <c r="B7" s="481"/>
      <c r="C7" s="481"/>
      <c r="D7" s="482"/>
      <c r="E7" s="482"/>
      <c r="F7" s="482"/>
      <c r="G7" s="482"/>
      <c r="H7" s="482"/>
      <c r="I7" s="482"/>
      <c r="J7" s="482"/>
      <c r="K7" s="482"/>
      <c r="L7" s="482"/>
      <c r="M7" s="482"/>
      <c r="N7" s="482"/>
      <c r="O7" s="482"/>
      <c r="P7" s="482"/>
      <c r="Q7" s="482"/>
      <c r="R7" s="482"/>
      <c r="S7" s="482"/>
      <c r="T7" s="482"/>
      <c r="U7" s="482"/>
      <c r="V7" s="482"/>
      <c r="W7" s="482"/>
      <c r="X7" s="483"/>
      <c r="Y7" s="483"/>
      <c r="Z7" s="483"/>
      <c r="AA7" s="484"/>
      <c r="AB7" s="484"/>
      <c r="AC7" s="484"/>
      <c r="AD7" s="3604"/>
      <c r="AE7" s="3604"/>
      <c r="AF7" s="206"/>
      <c r="AG7" s="206"/>
      <c r="AH7" s="206"/>
      <c r="AI7" s="206"/>
      <c r="AJ7" s="3603"/>
      <c r="AK7" s="3603"/>
      <c r="AL7" s="3603"/>
      <c r="AM7" s="3603"/>
      <c r="AN7" s="3603"/>
      <c r="AO7" s="3603"/>
      <c r="AP7" s="3603"/>
      <c r="AQ7" s="3603"/>
      <c r="AR7" s="3603"/>
      <c r="AS7" s="3603"/>
      <c r="AT7" s="3603"/>
    </row>
    <row r="8" spans="1:51" ht="15" customHeight="1" x14ac:dyDescent="0.15">
      <c r="B8" s="3562" t="s">
        <v>247</v>
      </c>
      <c r="C8" s="3565" t="s">
        <v>164</v>
      </c>
      <c r="D8" s="2174"/>
      <c r="E8" s="2177" t="s">
        <v>301</v>
      </c>
      <c r="F8" s="2333" t="s">
        <v>163</v>
      </c>
      <c r="G8" s="2334"/>
      <c r="H8" s="3568" t="s">
        <v>162</v>
      </c>
      <c r="I8" s="3569"/>
      <c r="J8" s="3569"/>
      <c r="K8" s="3570"/>
      <c r="L8" s="3568" t="s">
        <v>161</v>
      </c>
      <c r="M8" s="3569"/>
      <c r="N8" s="3569"/>
      <c r="O8" s="3569"/>
      <c r="P8" s="3570"/>
      <c r="Q8" s="3568" t="s">
        <v>160</v>
      </c>
      <c r="R8" s="3569"/>
      <c r="S8" s="3569"/>
      <c r="T8" s="3569"/>
      <c r="U8" s="3570"/>
      <c r="V8" s="3568" t="s">
        <v>213</v>
      </c>
      <c r="W8" s="3569"/>
      <c r="X8" s="3569"/>
      <c r="Y8" s="3569"/>
      <c r="Z8" s="3570"/>
      <c r="AA8" s="3568" t="s">
        <v>214</v>
      </c>
      <c r="AB8" s="3569"/>
      <c r="AC8" s="3569"/>
      <c r="AD8" s="3569"/>
      <c r="AE8" s="3570"/>
      <c r="AF8" s="3568" t="s">
        <v>215</v>
      </c>
      <c r="AG8" s="3569"/>
      <c r="AH8" s="3569"/>
      <c r="AI8" s="3569"/>
      <c r="AJ8" s="3605" t="s">
        <v>391</v>
      </c>
      <c r="AK8" s="3606"/>
      <c r="AL8" s="3606"/>
      <c r="AM8" s="3606"/>
      <c r="AN8" s="3606"/>
      <c r="AO8" s="3607"/>
      <c r="AP8" s="3605" t="s">
        <v>159</v>
      </c>
      <c r="AQ8" s="3606"/>
      <c r="AR8" s="3606"/>
      <c r="AS8" s="3606"/>
      <c r="AT8" s="3607"/>
      <c r="AU8" s="117"/>
      <c r="AW8" s="474"/>
      <c r="AX8" s="474"/>
    </row>
    <row r="9" spans="1:51" ht="26.25" customHeight="1" x14ac:dyDescent="0.15">
      <c r="B9" s="3563"/>
      <c r="C9" s="3566"/>
      <c r="D9" s="2175"/>
      <c r="E9" s="2178"/>
      <c r="F9" s="2335"/>
      <c r="G9" s="2187"/>
      <c r="H9" s="3571" t="str">
        <f>入力1!I66</f>
        <v/>
      </c>
      <c r="I9" s="3572"/>
      <c r="J9" s="3572"/>
      <c r="K9" s="3573"/>
      <c r="L9" s="3574" t="str">
        <f>入力1!M66</f>
        <v/>
      </c>
      <c r="M9" s="3575"/>
      <c r="N9" s="3575"/>
      <c r="O9" s="3575"/>
      <c r="P9" s="3576"/>
      <c r="Q9" s="3574" t="str">
        <f>入力1!Q66</f>
        <v/>
      </c>
      <c r="R9" s="3575"/>
      <c r="S9" s="3575"/>
      <c r="T9" s="3575"/>
      <c r="U9" s="3576"/>
      <c r="V9" s="3574" t="str">
        <f>入力1!U66</f>
        <v/>
      </c>
      <c r="W9" s="3575"/>
      <c r="X9" s="3575"/>
      <c r="Y9" s="3575"/>
      <c r="Z9" s="3576"/>
      <c r="AA9" s="3574" t="str">
        <f>入力1!Y66</f>
        <v/>
      </c>
      <c r="AB9" s="3575"/>
      <c r="AC9" s="3575"/>
      <c r="AD9" s="3575"/>
      <c r="AE9" s="3576"/>
      <c r="AF9" s="3574" t="str">
        <f>入力1!AC66</f>
        <v/>
      </c>
      <c r="AG9" s="3575"/>
      <c r="AH9" s="3575"/>
      <c r="AI9" s="3575"/>
      <c r="AJ9" s="3594" t="s">
        <v>394</v>
      </c>
      <c r="AK9" s="3595"/>
      <c r="AL9" s="3595"/>
      <c r="AM9" s="3595"/>
      <c r="AN9" s="3595"/>
      <c r="AO9" s="3596"/>
      <c r="AP9" s="3591" t="s">
        <v>395</v>
      </c>
      <c r="AQ9" s="3592"/>
      <c r="AR9" s="3592"/>
      <c r="AS9" s="3592"/>
      <c r="AT9" s="3593"/>
      <c r="AU9" s="116"/>
    </row>
    <row r="10" spans="1:51" ht="16.5" customHeight="1" x14ac:dyDescent="0.15">
      <c r="B10" s="3563"/>
      <c r="C10" s="3566"/>
      <c r="D10" s="2175"/>
      <c r="E10" s="2178"/>
      <c r="F10" s="3577" t="s">
        <v>77</v>
      </c>
      <c r="G10" s="3579" t="s">
        <v>78</v>
      </c>
      <c r="H10" s="2189" t="s">
        <v>173</v>
      </c>
      <c r="I10" s="3581"/>
      <c r="J10" s="3583" t="s">
        <v>158</v>
      </c>
      <c r="K10" s="3584"/>
      <c r="L10" s="2189" t="s">
        <v>173</v>
      </c>
      <c r="M10" s="3581"/>
      <c r="N10" s="3583" t="s">
        <v>157</v>
      </c>
      <c r="O10" s="3586"/>
      <c r="P10" s="3584"/>
      <c r="Q10" s="2189" t="s">
        <v>173</v>
      </c>
      <c r="R10" s="3581"/>
      <c r="S10" s="3583" t="s">
        <v>157</v>
      </c>
      <c r="T10" s="3586"/>
      <c r="U10" s="3584"/>
      <c r="V10" s="2189" t="s">
        <v>173</v>
      </c>
      <c r="W10" s="3581"/>
      <c r="X10" s="3583" t="s">
        <v>157</v>
      </c>
      <c r="Y10" s="3586"/>
      <c r="Z10" s="3584"/>
      <c r="AA10" s="2189" t="s">
        <v>173</v>
      </c>
      <c r="AB10" s="3581"/>
      <c r="AC10" s="3583" t="s">
        <v>157</v>
      </c>
      <c r="AD10" s="3586"/>
      <c r="AE10" s="3584"/>
      <c r="AF10" s="2189" t="s">
        <v>173</v>
      </c>
      <c r="AG10" s="3581"/>
      <c r="AH10" s="3583" t="s">
        <v>157</v>
      </c>
      <c r="AI10" s="3586"/>
      <c r="AJ10" s="3594"/>
      <c r="AK10" s="3595"/>
      <c r="AL10" s="3595"/>
      <c r="AM10" s="3595"/>
      <c r="AN10" s="3595"/>
      <c r="AO10" s="3596"/>
      <c r="AP10" s="3594"/>
      <c r="AQ10" s="3595"/>
      <c r="AR10" s="3595"/>
      <c r="AS10" s="3595"/>
      <c r="AT10" s="3596"/>
      <c r="AU10" s="115"/>
    </row>
    <row r="11" spans="1:51" ht="19.5" customHeight="1" thickBot="1" x14ac:dyDescent="0.2">
      <c r="B11" s="3564"/>
      <c r="C11" s="3567"/>
      <c r="D11" s="2176"/>
      <c r="E11" s="2179"/>
      <c r="F11" s="3578"/>
      <c r="G11" s="3580"/>
      <c r="H11" s="2193"/>
      <c r="I11" s="3582"/>
      <c r="J11" s="496" t="s">
        <v>150</v>
      </c>
      <c r="K11" s="495" t="s">
        <v>243</v>
      </c>
      <c r="L11" s="2193"/>
      <c r="M11" s="3585"/>
      <c r="N11" s="496" t="s">
        <v>151</v>
      </c>
      <c r="O11" s="496" t="s">
        <v>150</v>
      </c>
      <c r="P11" s="495" t="s">
        <v>243</v>
      </c>
      <c r="Q11" s="2193"/>
      <c r="R11" s="3582"/>
      <c r="S11" s="496" t="s">
        <v>151</v>
      </c>
      <c r="T11" s="496" t="s">
        <v>150</v>
      </c>
      <c r="U11" s="495" t="s">
        <v>243</v>
      </c>
      <c r="V11" s="2193"/>
      <c r="W11" s="3582"/>
      <c r="X11" s="496" t="s">
        <v>151</v>
      </c>
      <c r="Y11" s="496" t="s">
        <v>150</v>
      </c>
      <c r="Z11" s="495" t="s">
        <v>243</v>
      </c>
      <c r="AA11" s="2193"/>
      <c r="AB11" s="3582"/>
      <c r="AC11" s="496" t="s">
        <v>151</v>
      </c>
      <c r="AD11" s="496" t="s">
        <v>150</v>
      </c>
      <c r="AE11" s="495" t="s">
        <v>243</v>
      </c>
      <c r="AF11" s="2193"/>
      <c r="AG11" s="3582"/>
      <c r="AH11" s="496" t="s">
        <v>151</v>
      </c>
      <c r="AI11" s="496" t="s">
        <v>150</v>
      </c>
      <c r="AJ11" s="3597"/>
      <c r="AK11" s="3598"/>
      <c r="AL11" s="3598"/>
      <c r="AM11" s="3598"/>
      <c r="AN11" s="3598"/>
      <c r="AO11" s="3599"/>
      <c r="AP11" s="3597"/>
      <c r="AQ11" s="3598"/>
      <c r="AR11" s="3598"/>
      <c r="AS11" s="3598"/>
      <c r="AT11" s="3599"/>
      <c r="AU11" s="114"/>
    </row>
    <row r="12" spans="1:51" ht="15" customHeight="1" x14ac:dyDescent="0.15">
      <c r="B12" s="3532" t="s">
        <v>156</v>
      </c>
      <c r="C12" s="3534" t="s">
        <v>155</v>
      </c>
      <c r="D12" s="3535"/>
      <c r="E12" s="3538" t="s">
        <v>154</v>
      </c>
      <c r="F12" s="3540" t="s">
        <v>97</v>
      </c>
      <c r="G12" s="3542"/>
      <c r="H12" s="3524" t="s">
        <v>152</v>
      </c>
      <c r="I12" s="3525"/>
      <c r="J12" s="3520" t="s">
        <v>97</v>
      </c>
      <c r="K12" s="3522" t="s">
        <v>97</v>
      </c>
      <c r="L12" s="3524" t="s">
        <v>152</v>
      </c>
      <c r="M12" s="3544"/>
      <c r="N12" s="3520" t="s">
        <v>97</v>
      </c>
      <c r="O12" s="3520" t="s">
        <v>97</v>
      </c>
      <c r="P12" s="3522" t="s">
        <v>97</v>
      </c>
      <c r="Q12" s="2323" t="s">
        <v>369</v>
      </c>
      <c r="R12" s="3528"/>
      <c r="S12" s="3520" t="s">
        <v>97</v>
      </c>
      <c r="T12" s="3530"/>
      <c r="U12" s="3546"/>
      <c r="V12" s="3524"/>
      <c r="W12" s="3525"/>
      <c r="X12" s="3520"/>
      <c r="Y12" s="3520"/>
      <c r="Z12" s="3522"/>
      <c r="AA12" s="3524"/>
      <c r="AB12" s="3525"/>
      <c r="AC12" s="3520"/>
      <c r="AD12" s="3520"/>
      <c r="AE12" s="3522"/>
      <c r="AF12" s="2323"/>
      <c r="AG12" s="3528"/>
      <c r="AH12" s="3520"/>
      <c r="AI12" s="3530"/>
      <c r="AJ12" s="2261" t="s">
        <v>386</v>
      </c>
      <c r="AK12" s="2262"/>
      <c r="AL12" s="2262"/>
      <c r="AM12" s="2262"/>
      <c r="AN12" s="2262"/>
      <c r="AO12" s="2263"/>
      <c r="AP12" s="2255" t="s">
        <v>302</v>
      </c>
      <c r="AQ12" s="2256"/>
      <c r="AR12" s="2256"/>
      <c r="AS12" s="2256"/>
      <c r="AT12" s="2257"/>
      <c r="AU12" s="113"/>
    </row>
    <row r="13" spans="1:51" ht="15" customHeight="1" x14ac:dyDescent="0.15">
      <c r="B13" s="3533"/>
      <c r="C13" s="3536"/>
      <c r="D13" s="3537"/>
      <c r="E13" s="3539"/>
      <c r="F13" s="3541"/>
      <c r="G13" s="3543"/>
      <c r="H13" s="3526"/>
      <c r="I13" s="3527"/>
      <c r="J13" s="3521"/>
      <c r="K13" s="3523"/>
      <c r="L13" s="3526"/>
      <c r="M13" s="3545"/>
      <c r="N13" s="3521"/>
      <c r="O13" s="3521"/>
      <c r="P13" s="3523"/>
      <c r="Q13" s="2325"/>
      <c r="R13" s="3529"/>
      <c r="S13" s="3521"/>
      <c r="T13" s="3531"/>
      <c r="U13" s="3547"/>
      <c r="V13" s="3526"/>
      <c r="W13" s="3527"/>
      <c r="X13" s="3521"/>
      <c r="Y13" s="3521"/>
      <c r="Z13" s="3523"/>
      <c r="AA13" s="3526"/>
      <c r="AB13" s="3527"/>
      <c r="AC13" s="3521"/>
      <c r="AD13" s="3521"/>
      <c r="AE13" s="3523"/>
      <c r="AF13" s="2325"/>
      <c r="AG13" s="3529"/>
      <c r="AH13" s="3521"/>
      <c r="AI13" s="3531"/>
      <c r="AJ13" s="2264" t="s">
        <v>387</v>
      </c>
      <c r="AK13" s="2265"/>
      <c r="AL13" s="2265"/>
      <c r="AM13" s="2265"/>
      <c r="AN13" s="2265"/>
      <c r="AO13" s="2266"/>
      <c r="AP13" s="2258"/>
      <c r="AQ13" s="2259"/>
      <c r="AR13" s="2259"/>
      <c r="AS13" s="2259"/>
      <c r="AT13" s="2260"/>
      <c r="AU13" s="113"/>
    </row>
    <row r="14" spans="1:51" ht="15" customHeight="1" x14ac:dyDescent="0.15">
      <c r="B14" s="3499">
        <v>1</v>
      </c>
      <c r="C14" s="3501">
        <f>入力2【名簿】!D15</f>
        <v>0</v>
      </c>
      <c r="D14" s="3502"/>
      <c r="E14" s="3505">
        <f>入力2【名簿】!E15</f>
        <v>0</v>
      </c>
      <c r="F14" s="3507">
        <f>入力2【名簿】!G15</f>
        <v>0</v>
      </c>
      <c r="G14" s="3509">
        <f>入力2【名簿】!H15</f>
        <v>0</v>
      </c>
      <c r="H14" s="3473">
        <f>入力2【名簿】!I15</f>
        <v>0</v>
      </c>
      <c r="I14" s="3474"/>
      <c r="J14" s="3469">
        <f>入力2【名簿】!K15</f>
        <v>0</v>
      </c>
      <c r="K14" s="3471">
        <f>入力2【名簿】!L15</f>
        <v>0</v>
      </c>
      <c r="L14" s="3473">
        <f>入力2【名簿】!M15</f>
        <v>0</v>
      </c>
      <c r="M14" s="3511"/>
      <c r="N14" s="3469">
        <f>入力2【名簿】!O15</f>
        <v>0</v>
      </c>
      <c r="O14" s="3469">
        <f>入力2【名簿】!P15</f>
        <v>0</v>
      </c>
      <c r="P14" s="3471">
        <f>入力2【名簿】!Q15</f>
        <v>0</v>
      </c>
      <c r="Q14" s="3473">
        <f>入力2【名簿】!R15</f>
        <v>0</v>
      </c>
      <c r="R14" s="3474"/>
      <c r="S14" s="3469">
        <f>入力2【名簿】!T15</f>
        <v>0</v>
      </c>
      <c r="T14" s="3469">
        <f>入力2【名簿】!U15</f>
        <v>0</v>
      </c>
      <c r="U14" s="3471">
        <f>入力2【名簿】!V15</f>
        <v>0</v>
      </c>
      <c r="V14" s="3473">
        <f>入力2【名簿】!W15</f>
        <v>0</v>
      </c>
      <c r="W14" s="3474"/>
      <c r="X14" s="3469">
        <f>入力2【名簿】!Y15</f>
        <v>0</v>
      </c>
      <c r="Y14" s="3469">
        <f>入力2【名簿】!Z15</f>
        <v>0</v>
      </c>
      <c r="Z14" s="3471">
        <f>入力2【名簿】!AA15</f>
        <v>0</v>
      </c>
      <c r="AA14" s="3473">
        <f>入力2【名簿】!AB15</f>
        <v>0</v>
      </c>
      <c r="AB14" s="3474"/>
      <c r="AC14" s="3469">
        <f>入力2【名簿】!AD15</f>
        <v>0</v>
      </c>
      <c r="AD14" s="3469">
        <f>入力2【名簿】!AE15</f>
        <v>0</v>
      </c>
      <c r="AE14" s="3471">
        <f>入力2【名簿】!AF15</f>
        <v>0</v>
      </c>
      <c r="AF14" s="3473">
        <f>入力2【名簿】!AG15</f>
        <v>0</v>
      </c>
      <c r="AG14" s="3474"/>
      <c r="AH14" s="3469">
        <f>入力2【名簿】!AI15</f>
        <v>0</v>
      </c>
      <c r="AI14" s="3469">
        <f>入力2【名簿】!AJ15</f>
        <v>0</v>
      </c>
      <c r="AJ14" s="3477">
        <f>入力2【名簿】!AK15</f>
        <v>0</v>
      </c>
      <c r="AK14" s="3478"/>
      <c r="AL14" s="3478"/>
      <c r="AM14" s="3478"/>
      <c r="AN14" s="3478"/>
      <c r="AO14" s="3479"/>
      <c r="AP14" s="3480">
        <f>入力2【名簿】!AO15</f>
        <v>0</v>
      </c>
      <c r="AQ14" s="3481"/>
      <c r="AR14" s="3481"/>
      <c r="AS14" s="3481"/>
      <c r="AT14" s="3482"/>
      <c r="AU14" s="113"/>
    </row>
    <row r="15" spans="1:51" ht="15" customHeight="1" x14ac:dyDescent="0.15">
      <c r="B15" s="3513"/>
      <c r="C15" s="3514"/>
      <c r="D15" s="3515"/>
      <c r="E15" s="3516"/>
      <c r="F15" s="3517"/>
      <c r="G15" s="3518"/>
      <c r="H15" s="3486"/>
      <c r="I15" s="3487"/>
      <c r="J15" s="3497"/>
      <c r="K15" s="3498"/>
      <c r="L15" s="3486"/>
      <c r="M15" s="3519"/>
      <c r="N15" s="3497"/>
      <c r="O15" s="3497"/>
      <c r="P15" s="3498"/>
      <c r="Q15" s="3486"/>
      <c r="R15" s="3487"/>
      <c r="S15" s="3497"/>
      <c r="T15" s="3497"/>
      <c r="U15" s="3498"/>
      <c r="V15" s="3486"/>
      <c r="W15" s="3487"/>
      <c r="X15" s="3497"/>
      <c r="Y15" s="3497"/>
      <c r="Z15" s="3498"/>
      <c r="AA15" s="3486"/>
      <c r="AB15" s="3487"/>
      <c r="AC15" s="3497"/>
      <c r="AD15" s="3497"/>
      <c r="AE15" s="3498"/>
      <c r="AF15" s="3486"/>
      <c r="AG15" s="3487"/>
      <c r="AH15" s="3497"/>
      <c r="AI15" s="3497"/>
      <c r="AJ15" s="3494">
        <f>入力2【名簿】!AK16</f>
        <v>0</v>
      </c>
      <c r="AK15" s="3495"/>
      <c r="AL15" s="3495"/>
      <c r="AM15" s="3495"/>
      <c r="AN15" s="3495"/>
      <c r="AO15" s="3496"/>
      <c r="AP15" s="3491"/>
      <c r="AQ15" s="3492"/>
      <c r="AR15" s="3492"/>
      <c r="AS15" s="3492"/>
      <c r="AT15" s="3493"/>
      <c r="AU15" s="113"/>
    </row>
    <row r="16" spans="1:51" ht="15" customHeight="1" x14ac:dyDescent="0.15">
      <c r="B16" s="3499">
        <v>2</v>
      </c>
      <c r="C16" s="3501">
        <f>入力2【名簿】!D17</f>
        <v>0</v>
      </c>
      <c r="D16" s="3502"/>
      <c r="E16" s="3505">
        <f>入力2【名簿】!E17</f>
        <v>0</v>
      </c>
      <c r="F16" s="3507">
        <f>入力2【名簿】!G17</f>
        <v>0</v>
      </c>
      <c r="G16" s="3509">
        <f>入力2【名簿】!H17</f>
        <v>0</v>
      </c>
      <c r="H16" s="3473">
        <f>入力2【名簿】!I17</f>
        <v>0</v>
      </c>
      <c r="I16" s="3474"/>
      <c r="J16" s="3469">
        <f>入力2【名簿】!K17</f>
        <v>0</v>
      </c>
      <c r="K16" s="3471">
        <f>入力2【名簿】!L17</f>
        <v>0</v>
      </c>
      <c r="L16" s="3473">
        <f>入力2【名簿】!M17</f>
        <v>0</v>
      </c>
      <c r="M16" s="3511"/>
      <c r="N16" s="3469">
        <f>入力2【名簿】!O17</f>
        <v>0</v>
      </c>
      <c r="O16" s="3469">
        <f>入力2【名簿】!P17</f>
        <v>0</v>
      </c>
      <c r="P16" s="3471">
        <f>入力2【名簿】!Q17</f>
        <v>0</v>
      </c>
      <c r="Q16" s="3473">
        <f>入力2【名簿】!R17</f>
        <v>0</v>
      </c>
      <c r="R16" s="3474"/>
      <c r="S16" s="3469">
        <f>入力2【名簿】!T17</f>
        <v>0</v>
      </c>
      <c r="T16" s="3469">
        <f>入力2【名簿】!U17</f>
        <v>0</v>
      </c>
      <c r="U16" s="3471">
        <f>入力2【名簿】!V17</f>
        <v>0</v>
      </c>
      <c r="V16" s="3473">
        <f>入力2【名簿】!W17</f>
        <v>0</v>
      </c>
      <c r="W16" s="3474"/>
      <c r="X16" s="3469">
        <f>入力2【名簿】!Y17</f>
        <v>0</v>
      </c>
      <c r="Y16" s="3469">
        <f>入力2【名簿】!Z17</f>
        <v>0</v>
      </c>
      <c r="Z16" s="3471">
        <f>入力2【名簿】!AA17</f>
        <v>0</v>
      </c>
      <c r="AA16" s="3473">
        <f>入力2【名簿】!AB17</f>
        <v>0</v>
      </c>
      <c r="AB16" s="3474"/>
      <c r="AC16" s="3469">
        <f>入力2【名簿】!AD17</f>
        <v>0</v>
      </c>
      <c r="AD16" s="3469">
        <f>入力2【名簿】!AE17</f>
        <v>0</v>
      </c>
      <c r="AE16" s="3471">
        <f>入力2【名簿】!AF17</f>
        <v>0</v>
      </c>
      <c r="AF16" s="3473">
        <f>入力2【名簿】!AG17</f>
        <v>0</v>
      </c>
      <c r="AG16" s="3474"/>
      <c r="AH16" s="3469">
        <f>入力2【名簿】!AI17</f>
        <v>0</v>
      </c>
      <c r="AI16" s="3469">
        <f>入力2【名簿】!AJ17</f>
        <v>0</v>
      </c>
      <c r="AJ16" s="3477">
        <f>入力2【名簿】!AK17</f>
        <v>0</v>
      </c>
      <c r="AK16" s="3478"/>
      <c r="AL16" s="3478"/>
      <c r="AM16" s="3478"/>
      <c r="AN16" s="3478"/>
      <c r="AO16" s="3479"/>
      <c r="AP16" s="3480">
        <f>入力2【名簿】!AO17</f>
        <v>0</v>
      </c>
      <c r="AQ16" s="3481"/>
      <c r="AR16" s="3481"/>
      <c r="AS16" s="3481"/>
      <c r="AT16" s="3482"/>
      <c r="AU16" s="113"/>
    </row>
    <row r="17" spans="2:47" ht="15" customHeight="1" x14ac:dyDescent="0.15">
      <c r="B17" s="3513"/>
      <c r="C17" s="3514"/>
      <c r="D17" s="3515"/>
      <c r="E17" s="3516"/>
      <c r="F17" s="3517"/>
      <c r="G17" s="3518"/>
      <c r="H17" s="3486"/>
      <c r="I17" s="3487"/>
      <c r="J17" s="3497"/>
      <c r="K17" s="3498"/>
      <c r="L17" s="3486"/>
      <c r="M17" s="3519"/>
      <c r="N17" s="3497"/>
      <c r="O17" s="3497"/>
      <c r="P17" s="3498"/>
      <c r="Q17" s="3486"/>
      <c r="R17" s="3487"/>
      <c r="S17" s="3497"/>
      <c r="T17" s="3497"/>
      <c r="U17" s="3498"/>
      <c r="V17" s="3486"/>
      <c r="W17" s="3487"/>
      <c r="X17" s="3497"/>
      <c r="Y17" s="3497"/>
      <c r="Z17" s="3498"/>
      <c r="AA17" s="3486"/>
      <c r="AB17" s="3487"/>
      <c r="AC17" s="3497"/>
      <c r="AD17" s="3497"/>
      <c r="AE17" s="3498"/>
      <c r="AF17" s="3486"/>
      <c r="AG17" s="3487"/>
      <c r="AH17" s="3497"/>
      <c r="AI17" s="3497"/>
      <c r="AJ17" s="3494">
        <f>入力2【名簿】!AK18</f>
        <v>0</v>
      </c>
      <c r="AK17" s="3495"/>
      <c r="AL17" s="3495"/>
      <c r="AM17" s="3495"/>
      <c r="AN17" s="3495"/>
      <c r="AO17" s="3496"/>
      <c r="AP17" s="3491"/>
      <c r="AQ17" s="3492"/>
      <c r="AR17" s="3492"/>
      <c r="AS17" s="3492"/>
      <c r="AT17" s="3493"/>
      <c r="AU17" s="113"/>
    </row>
    <row r="18" spans="2:47" ht="15" customHeight="1" x14ac:dyDescent="0.15">
      <c r="B18" s="3499">
        <v>3</v>
      </c>
      <c r="C18" s="3501">
        <f>入力2【名簿】!D19</f>
        <v>0</v>
      </c>
      <c r="D18" s="3502"/>
      <c r="E18" s="3505">
        <f>入力2【名簿】!E19</f>
        <v>0</v>
      </c>
      <c r="F18" s="3507">
        <f>入力2【名簿】!G19</f>
        <v>0</v>
      </c>
      <c r="G18" s="3509">
        <f>入力2【名簿】!H19</f>
        <v>0</v>
      </c>
      <c r="H18" s="3473">
        <f>入力2【名簿】!I19</f>
        <v>0</v>
      </c>
      <c r="I18" s="3474"/>
      <c r="J18" s="3469">
        <f>入力2【名簿】!K19</f>
        <v>0</v>
      </c>
      <c r="K18" s="3471">
        <f>入力2【名簿】!L19</f>
        <v>0</v>
      </c>
      <c r="L18" s="3473">
        <f>入力2【名簿】!M19</f>
        <v>0</v>
      </c>
      <c r="M18" s="3511"/>
      <c r="N18" s="3469">
        <f>入力2【名簿】!O19</f>
        <v>0</v>
      </c>
      <c r="O18" s="3469">
        <f>入力2【名簿】!P19</f>
        <v>0</v>
      </c>
      <c r="P18" s="3471">
        <f>入力2【名簿】!Q19</f>
        <v>0</v>
      </c>
      <c r="Q18" s="3473">
        <f>入力2【名簿】!R19</f>
        <v>0</v>
      </c>
      <c r="R18" s="3474"/>
      <c r="S18" s="3469">
        <f>入力2【名簿】!T19</f>
        <v>0</v>
      </c>
      <c r="T18" s="3469">
        <f>入力2【名簿】!U19</f>
        <v>0</v>
      </c>
      <c r="U18" s="3471">
        <f>入力2【名簿】!V19</f>
        <v>0</v>
      </c>
      <c r="V18" s="3473">
        <f>入力2【名簿】!W19</f>
        <v>0</v>
      </c>
      <c r="W18" s="3474"/>
      <c r="X18" s="3469">
        <f>入力2【名簿】!Y19</f>
        <v>0</v>
      </c>
      <c r="Y18" s="3469">
        <f>入力2【名簿】!Z19</f>
        <v>0</v>
      </c>
      <c r="Z18" s="3471">
        <f>入力2【名簿】!AA19</f>
        <v>0</v>
      </c>
      <c r="AA18" s="3473">
        <f>入力2【名簿】!AB19</f>
        <v>0</v>
      </c>
      <c r="AB18" s="3474"/>
      <c r="AC18" s="3469">
        <f>入力2【名簿】!AD19</f>
        <v>0</v>
      </c>
      <c r="AD18" s="3469">
        <f>入力2【名簿】!AE19</f>
        <v>0</v>
      </c>
      <c r="AE18" s="3471">
        <f>入力2【名簿】!AF19</f>
        <v>0</v>
      </c>
      <c r="AF18" s="3473">
        <f>入力2【名簿】!AG19</f>
        <v>0</v>
      </c>
      <c r="AG18" s="3474"/>
      <c r="AH18" s="3469">
        <f>入力2【名簿】!AI19</f>
        <v>0</v>
      </c>
      <c r="AI18" s="3469">
        <f>入力2【名簿】!AJ19</f>
        <v>0</v>
      </c>
      <c r="AJ18" s="3477">
        <f>入力2【名簿】!AK19</f>
        <v>0</v>
      </c>
      <c r="AK18" s="3478"/>
      <c r="AL18" s="3478"/>
      <c r="AM18" s="3478"/>
      <c r="AN18" s="3478"/>
      <c r="AO18" s="3479"/>
      <c r="AP18" s="3480">
        <f>入力2【名簿】!AO19</f>
        <v>0</v>
      </c>
      <c r="AQ18" s="3481"/>
      <c r="AR18" s="3481"/>
      <c r="AS18" s="3481"/>
      <c r="AT18" s="3482"/>
      <c r="AU18" s="113"/>
    </row>
    <row r="19" spans="2:47" ht="15" customHeight="1" x14ac:dyDescent="0.15">
      <c r="B19" s="3513"/>
      <c r="C19" s="3514"/>
      <c r="D19" s="3515"/>
      <c r="E19" s="3516"/>
      <c r="F19" s="3517"/>
      <c r="G19" s="3518"/>
      <c r="H19" s="3486"/>
      <c r="I19" s="3487"/>
      <c r="J19" s="3497"/>
      <c r="K19" s="3498"/>
      <c r="L19" s="3486"/>
      <c r="M19" s="3519"/>
      <c r="N19" s="3497"/>
      <c r="O19" s="3497"/>
      <c r="P19" s="3498"/>
      <c r="Q19" s="3486"/>
      <c r="R19" s="3487"/>
      <c r="S19" s="3497"/>
      <c r="T19" s="3497"/>
      <c r="U19" s="3498"/>
      <c r="V19" s="3486"/>
      <c r="W19" s="3487"/>
      <c r="X19" s="3497"/>
      <c r="Y19" s="3497"/>
      <c r="Z19" s="3498"/>
      <c r="AA19" s="3486"/>
      <c r="AB19" s="3487"/>
      <c r="AC19" s="3497"/>
      <c r="AD19" s="3497"/>
      <c r="AE19" s="3498"/>
      <c r="AF19" s="3486"/>
      <c r="AG19" s="3487"/>
      <c r="AH19" s="3497"/>
      <c r="AI19" s="3497"/>
      <c r="AJ19" s="3494">
        <f>入力2【名簿】!AK20</f>
        <v>0</v>
      </c>
      <c r="AK19" s="3495"/>
      <c r="AL19" s="3495"/>
      <c r="AM19" s="3495"/>
      <c r="AN19" s="3495"/>
      <c r="AO19" s="3496"/>
      <c r="AP19" s="3491"/>
      <c r="AQ19" s="3492"/>
      <c r="AR19" s="3492"/>
      <c r="AS19" s="3492"/>
      <c r="AT19" s="3493"/>
      <c r="AU19" s="113"/>
    </row>
    <row r="20" spans="2:47" ht="15" customHeight="1" x14ac:dyDescent="0.15">
      <c r="B20" s="3499">
        <v>4</v>
      </c>
      <c r="C20" s="3501">
        <f>入力2【名簿】!D21</f>
        <v>0</v>
      </c>
      <c r="D20" s="3502"/>
      <c r="E20" s="3505">
        <f>入力2【名簿】!E21</f>
        <v>0</v>
      </c>
      <c r="F20" s="3507">
        <f>入力2【名簿】!G21</f>
        <v>0</v>
      </c>
      <c r="G20" s="3509">
        <f>入力2【名簿】!H21</f>
        <v>0</v>
      </c>
      <c r="H20" s="3473">
        <f>入力2【名簿】!I21</f>
        <v>0</v>
      </c>
      <c r="I20" s="3474"/>
      <c r="J20" s="3469">
        <f>入力2【名簿】!K21</f>
        <v>0</v>
      </c>
      <c r="K20" s="3471">
        <f>入力2【名簿】!L21</f>
        <v>0</v>
      </c>
      <c r="L20" s="3473">
        <f>入力2【名簿】!M21</f>
        <v>0</v>
      </c>
      <c r="M20" s="3511"/>
      <c r="N20" s="3469">
        <f>入力2【名簿】!O21</f>
        <v>0</v>
      </c>
      <c r="O20" s="3469">
        <f>入力2【名簿】!P21</f>
        <v>0</v>
      </c>
      <c r="P20" s="3471">
        <f>入力2【名簿】!Q21</f>
        <v>0</v>
      </c>
      <c r="Q20" s="3473">
        <f>入力2【名簿】!R21</f>
        <v>0</v>
      </c>
      <c r="R20" s="3474"/>
      <c r="S20" s="3469">
        <f>入力2【名簿】!T21</f>
        <v>0</v>
      </c>
      <c r="T20" s="3469">
        <f>入力2【名簿】!U21</f>
        <v>0</v>
      </c>
      <c r="U20" s="3471">
        <f>入力2【名簿】!V21</f>
        <v>0</v>
      </c>
      <c r="V20" s="3473">
        <f>入力2【名簿】!W21</f>
        <v>0</v>
      </c>
      <c r="W20" s="3474"/>
      <c r="X20" s="3469">
        <f>入力2【名簿】!Y21</f>
        <v>0</v>
      </c>
      <c r="Y20" s="3469">
        <f>入力2【名簿】!Z21</f>
        <v>0</v>
      </c>
      <c r="Z20" s="3471">
        <f>入力2【名簿】!AA21</f>
        <v>0</v>
      </c>
      <c r="AA20" s="3473">
        <f>入力2【名簿】!AB21</f>
        <v>0</v>
      </c>
      <c r="AB20" s="3474"/>
      <c r="AC20" s="3469">
        <f>入力2【名簿】!AD21</f>
        <v>0</v>
      </c>
      <c r="AD20" s="3469">
        <f>入力2【名簿】!AE21</f>
        <v>0</v>
      </c>
      <c r="AE20" s="3471">
        <f>入力2【名簿】!AF21</f>
        <v>0</v>
      </c>
      <c r="AF20" s="3473">
        <f>入力2【名簿】!AG21</f>
        <v>0</v>
      </c>
      <c r="AG20" s="3474"/>
      <c r="AH20" s="3469">
        <f>入力2【名簿】!AI21</f>
        <v>0</v>
      </c>
      <c r="AI20" s="3469">
        <f>入力2【名簿】!AJ21</f>
        <v>0</v>
      </c>
      <c r="AJ20" s="3477">
        <f>入力2【名簿】!AK21</f>
        <v>0</v>
      </c>
      <c r="AK20" s="3478"/>
      <c r="AL20" s="3478"/>
      <c r="AM20" s="3478"/>
      <c r="AN20" s="3478"/>
      <c r="AO20" s="3479"/>
      <c r="AP20" s="3480">
        <f>入力2【名簿】!AO21</f>
        <v>0</v>
      </c>
      <c r="AQ20" s="3481"/>
      <c r="AR20" s="3481"/>
      <c r="AS20" s="3481"/>
      <c r="AT20" s="3482"/>
      <c r="AU20" s="113"/>
    </row>
    <row r="21" spans="2:47" ht="15" customHeight="1" x14ac:dyDescent="0.15">
      <c r="B21" s="3513"/>
      <c r="C21" s="3514"/>
      <c r="D21" s="3515"/>
      <c r="E21" s="3516"/>
      <c r="F21" s="3517"/>
      <c r="G21" s="3518"/>
      <c r="H21" s="3486"/>
      <c r="I21" s="3487"/>
      <c r="J21" s="3497"/>
      <c r="K21" s="3498"/>
      <c r="L21" s="3486"/>
      <c r="M21" s="3519"/>
      <c r="N21" s="3497"/>
      <c r="O21" s="3497"/>
      <c r="P21" s="3498"/>
      <c r="Q21" s="3486"/>
      <c r="R21" s="3487"/>
      <c r="S21" s="3497"/>
      <c r="T21" s="3497"/>
      <c r="U21" s="3498"/>
      <c r="V21" s="3486"/>
      <c r="W21" s="3487"/>
      <c r="X21" s="3497"/>
      <c r="Y21" s="3497"/>
      <c r="Z21" s="3498"/>
      <c r="AA21" s="3486"/>
      <c r="AB21" s="3487"/>
      <c r="AC21" s="3497"/>
      <c r="AD21" s="3497"/>
      <c r="AE21" s="3498"/>
      <c r="AF21" s="3486"/>
      <c r="AG21" s="3487"/>
      <c r="AH21" s="3497"/>
      <c r="AI21" s="3497"/>
      <c r="AJ21" s="3494">
        <f>入力2【名簿】!AK22</f>
        <v>0</v>
      </c>
      <c r="AK21" s="3495"/>
      <c r="AL21" s="3495"/>
      <c r="AM21" s="3495"/>
      <c r="AN21" s="3495"/>
      <c r="AO21" s="3496"/>
      <c r="AP21" s="3491"/>
      <c r="AQ21" s="3492"/>
      <c r="AR21" s="3492"/>
      <c r="AS21" s="3492"/>
      <c r="AT21" s="3493"/>
      <c r="AU21" s="113"/>
    </row>
    <row r="22" spans="2:47" ht="15" customHeight="1" x14ac:dyDescent="0.15">
      <c r="B22" s="3499">
        <v>5</v>
      </c>
      <c r="C22" s="3501">
        <f>入力2【名簿】!D23</f>
        <v>0</v>
      </c>
      <c r="D22" s="3502"/>
      <c r="E22" s="3505">
        <f>入力2【名簿】!E23</f>
        <v>0</v>
      </c>
      <c r="F22" s="3507">
        <f>入力2【名簿】!G23</f>
        <v>0</v>
      </c>
      <c r="G22" s="3509">
        <f>入力2【名簿】!H23</f>
        <v>0</v>
      </c>
      <c r="H22" s="3473">
        <f>入力2【名簿】!I23</f>
        <v>0</v>
      </c>
      <c r="I22" s="3474"/>
      <c r="J22" s="3469">
        <f>入力2【名簿】!K23</f>
        <v>0</v>
      </c>
      <c r="K22" s="3471">
        <f>入力2【名簿】!L23</f>
        <v>0</v>
      </c>
      <c r="L22" s="3473">
        <f>入力2【名簿】!M23</f>
        <v>0</v>
      </c>
      <c r="M22" s="3511"/>
      <c r="N22" s="3469">
        <f>入力2【名簿】!O23</f>
        <v>0</v>
      </c>
      <c r="O22" s="3469">
        <f>入力2【名簿】!P23</f>
        <v>0</v>
      </c>
      <c r="P22" s="3471">
        <f>入力2【名簿】!Q23</f>
        <v>0</v>
      </c>
      <c r="Q22" s="3473">
        <f>入力2【名簿】!R23</f>
        <v>0</v>
      </c>
      <c r="R22" s="3474"/>
      <c r="S22" s="3469">
        <f>入力2【名簿】!T23</f>
        <v>0</v>
      </c>
      <c r="T22" s="3469">
        <f>入力2【名簿】!U23</f>
        <v>0</v>
      </c>
      <c r="U22" s="3471">
        <f>入力2【名簿】!V23</f>
        <v>0</v>
      </c>
      <c r="V22" s="3473">
        <f>入力2【名簿】!W23</f>
        <v>0</v>
      </c>
      <c r="W22" s="3474"/>
      <c r="X22" s="3469">
        <f>入力2【名簿】!Y23</f>
        <v>0</v>
      </c>
      <c r="Y22" s="3469">
        <f>入力2【名簿】!Z23</f>
        <v>0</v>
      </c>
      <c r="Z22" s="3471">
        <f>入力2【名簿】!AA23</f>
        <v>0</v>
      </c>
      <c r="AA22" s="3473">
        <f>入力2【名簿】!AB23</f>
        <v>0</v>
      </c>
      <c r="AB22" s="3474"/>
      <c r="AC22" s="3469">
        <f>入力2【名簿】!AD23</f>
        <v>0</v>
      </c>
      <c r="AD22" s="3469">
        <f>入力2【名簿】!AE23</f>
        <v>0</v>
      </c>
      <c r="AE22" s="3471">
        <f>入力2【名簿】!AF23</f>
        <v>0</v>
      </c>
      <c r="AF22" s="3473">
        <f>入力2【名簿】!AG23</f>
        <v>0</v>
      </c>
      <c r="AG22" s="3474"/>
      <c r="AH22" s="3469">
        <f>入力2【名簿】!AI23</f>
        <v>0</v>
      </c>
      <c r="AI22" s="3469">
        <f>入力2【名簿】!AJ23</f>
        <v>0</v>
      </c>
      <c r="AJ22" s="3477">
        <f>入力2【名簿】!AK23</f>
        <v>0</v>
      </c>
      <c r="AK22" s="3478"/>
      <c r="AL22" s="3478"/>
      <c r="AM22" s="3478"/>
      <c r="AN22" s="3478"/>
      <c r="AO22" s="3479"/>
      <c r="AP22" s="3480">
        <f>入力2【名簿】!AO23</f>
        <v>0</v>
      </c>
      <c r="AQ22" s="3481"/>
      <c r="AR22" s="3481"/>
      <c r="AS22" s="3481"/>
      <c r="AT22" s="3482"/>
      <c r="AU22" s="113"/>
    </row>
    <row r="23" spans="2:47" ht="15" customHeight="1" x14ac:dyDescent="0.15">
      <c r="B23" s="3513"/>
      <c r="C23" s="3514"/>
      <c r="D23" s="3515"/>
      <c r="E23" s="3516"/>
      <c r="F23" s="3517"/>
      <c r="G23" s="3518"/>
      <c r="H23" s="3486"/>
      <c r="I23" s="3487"/>
      <c r="J23" s="3497"/>
      <c r="K23" s="3498"/>
      <c r="L23" s="3486"/>
      <c r="M23" s="3519"/>
      <c r="N23" s="3497"/>
      <c r="O23" s="3497"/>
      <c r="P23" s="3498"/>
      <c r="Q23" s="3486"/>
      <c r="R23" s="3487"/>
      <c r="S23" s="3497"/>
      <c r="T23" s="3497"/>
      <c r="U23" s="3498"/>
      <c r="V23" s="3486"/>
      <c r="W23" s="3487"/>
      <c r="X23" s="3497"/>
      <c r="Y23" s="3497"/>
      <c r="Z23" s="3498"/>
      <c r="AA23" s="3486"/>
      <c r="AB23" s="3487"/>
      <c r="AC23" s="3497"/>
      <c r="AD23" s="3497"/>
      <c r="AE23" s="3498"/>
      <c r="AF23" s="3486"/>
      <c r="AG23" s="3487"/>
      <c r="AH23" s="3497"/>
      <c r="AI23" s="3497"/>
      <c r="AJ23" s="3494">
        <f>入力2【名簿】!AK24</f>
        <v>0</v>
      </c>
      <c r="AK23" s="3495"/>
      <c r="AL23" s="3495"/>
      <c r="AM23" s="3495"/>
      <c r="AN23" s="3495"/>
      <c r="AO23" s="3496"/>
      <c r="AP23" s="3491"/>
      <c r="AQ23" s="3492"/>
      <c r="AR23" s="3492"/>
      <c r="AS23" s="3492"/>
      <c r="AT23" s="3493"/>
      <c r="AU23" s="113"/>
    </row>
    <row r="24" spans="2:47" ht="15" customHeight="1" x14ac:dyDescent="0.15">
      <c r="B24" s="3499">
        <v>6</v>
      </c>
      <c r="C24" s="3501">
        <f>入力2【名簿】!D25</f>
        <v>0</v>
      </c>
      <c r="D24" s="3502"/>
      <c r="E24" s="3505">
        <f>入力2【名簿】!E25</f>
        <v>0</v>
      </c>
      <c r="F24" s="3507">
        <f>入力2【名簿】!G25</f>
        <v>0</v>
      </c>
      <c r="G24" s="3509">
        <f>入力2【名簿】!H25</f>
        <v>0</v>
      </c>
      <c r="H24" s="3473">
        <f>入力2【名簿】!I25</f>
        <v>0</v>
      </c>
      <c r="I24" s="3474"/>
      <c r="J24" s="3469">
        <f>入力2【名簿】!K25</f>
        <v>0</v>
      </c>
      <c r="K24" s="3471">
        <f>入力2【名簿】!L25</f>
        <v>0</v>
      </c>
      <c r="L24" s="3473">
        <f>入力2【名簿】!M25</f>
        <v>0</v>
      </c>
      <c r="M24" s="3511"/>
      <c r="N24" s="3469">
        <f>入力2【名簿】!O25</f>
        <v>0</v>
      </c>
      <c r="O24" s="3469">
        <f>入力2【名簿】!P25</f>
        <v>0</v>
      </c>
      <c r="P24" s="3471">
        <f>入力2【名簿】!Q25</f>
        <v>0</v>
      </c>
      <c r="Q24" s="3473">
        <f>入力2【名簿】!R25</f>
        <v>0</v>
      </c>
      <c r="R24" s="3474"/>
      <c r="S24" s="3469">
        <f>入力2【名簿】!T25</f>
        <v>0</v>
      </c>
      <c r="T24" s="3469">
        <f>入力2【名簿】!U25</f>
        <v>0</v>
      </c>
      <c r="U24" s="3471">
        <f>入力2【名簿】!V25</f>
        <v>0</v>
      </c>
      <c r="V24" s="3473">
        <f>入力2【名簿】!W25</f>
        <v>0</v>
      </c>
      <c r="W24" s="3474"/>
      <c r="X24" s="3469">
        <f>入力2【名簿】!Y25</f>
        <v>0</v>
      </c>
      <c r="Y24" s="3469">
        <f>入力2【名簿】!Z25</f>
        <v>0</v>
      </c>
      <c r="Z24" s="3471">
        <f>入力2【名簿】!AA25</f>
        <v>0</v>
      </c>
      <c r="AA24" s="3473">
        <f>入力2【名簿】!AB25</f>
        <v>0</v>
      </c>
      <c r="AB24" s="3474"/>
      <c r="AC24" s="3469">
        <f>入力2【名簿】!AD25</f>
        <v>0</v>
      </c>
      <c r="AD24" s="3469">
        <f>入力2【名簿】!AE25</f>
        <v>0</v>
      </c>
      <c r="AE24" s="3471">
        <f>入力2【名簿】!AF25</f>
        <v>0</v>
      </c>
      <c r="AF24" s="3473">
        <f>入力2【名簿】!AG25</f>
        <v>0</v>
      </c>
      <c r="AG24" s="3474"/>
      <c r="AH24" s="3469">
        <f>入力2【名簿】!AI25</f>
        <v>0</v>
      </c>
      <c r="AI24" s="3469">
        <f>入力2【名簿】!AJ25</f>
        <v>0</v>
      </c>
      <c r="AJ24" s="3477">
        <f>入力2【名簿】!AK25</f>
        <v>0</v>
      </c>
      <c r="AK24" s="3478"/>
      <c r="AL24" s="3478"/>
      <c r="AM24" s="3478"/>
      <c r="AN24" s="3478"/>
      <c r="AO24" s="3479"/>
      <c r="AP24" s="3480">
        <f>入力2【名簿】!AO25</f>
        <v>0</v>
      </c>
      <c r="AQ24" s="3481"/>
      <c r="AR24" s="3481"/>
      <c r="AS24" s="3481"/>
      <c r="AT24" s="3482"/>
      <c r="AU24" s="113"/>
    </row>
    <row r="25" spans="2:47" ht="15" customHeight="1" x14ac:dyDescent="0.15">
      <c r="B25" s="3513"/>
      <c r="C25" s="3514"/>
      <c r="D25" s="3515"/>
      <c r="E25" s="3516"/>
      <c r="F25" s="3517"/>
      <c r="G25" s="3518"/>
      <c r="H25" s="3486"/>
      <c r="I25" s="3487"/>
      <c r="J25" s="3497"/>
      <c r="K25" s="3498"/>
      <c r="L25" s="3486"/>
      <c r="M25" s="3519"/>
      <c r="N25" s="3497"/>
      <c r="O25" s="3497"/>
      <c r="P25" s="3498"/>
      <c r="Q25" s="3486"/>
      <c r="R25" s="3487"/>
      <c r="S25" s="3497"/>
      <c r="T25" s="3497"/>
      <c r="U25" s="3498"/>
      <c r="V25" s="3486"/>
      <c r="W25" s="3487"/>
      <c r="X25" s="3497"/>
      <c r="Y25" s="3497"/>
      <c r="Z25" s="3498"/>
      <c r="AA25" s="3486"/>
      <c r="AB25" s="3487"/>
      <c r="AC25" s="3497"/>
      <c r="AD25" s="3497"/>
      <c r="AE25" s="3498"/>
      <c r="AF25" s="3486"/>
      <c r="AG25" s="3487"/>
      <c r="AH25" s="3497"/>
      <c r="AI25" s="3497"/>
      <c r="AJ25" s="3494">
        <f>入力2【名簿】!AK26</f>
        <v>0</v>
      </c>
      <c r="AK25" s="3495"/>
      <c r="AL25" s="3495"/>
      <c r="AM25" s="3495"/>
      <c r="AN25" s="3495"/>
      <c r="AO25" s="3496"/>
      <c r="AP25" s="3491"/>
      <c r="AQ25" s="3492"/>
      <c r="AR25" s="3492"/>
      <c r="AS25" s="3492"/>
      <c r="AT25" s="3493"/>
      <c r="AU25" s="113"/>
    </row>
    <row r="26" spans="2:47" ht="15" customHeight="1" x14ac:dyDescent="0.15">
      <c r="B26" s="3499">
        <v>7</v>
      </c>
      <c r="C26" s="3501">
        <f>入力2【名簿】!D27</f>
        <v>0</v>
      </c>
      <c r="D26" s="3502"/>
      <c r="E26" s="3505">
        <f>入力2【名簿】!E27</f>
        <v>0</v>
      </c>
      <c r="F26" s="3507">
        <f>入力2【名簿】!G27</f>
        <v>0</v>
      </c>
      <c r="G26" s="3509">
        <f>入力2【名簿】!H27</f>
        <v>0</v>
      </c>
      <c r="H26" s="3473">
        <f>入力2【名簿】!I27</f>
        <v>0</v>
      </c>
      <c r="I26" s="3474"/>
      <c r="J26" s="3469">
        <f>入力2【名簿】!K27</f>
        <v>0</v>
      </c>
      <c r="K26" s="3471">
        <f>入力2【名簿】!L27</f>
        <v>0</v>
      </c>
      <c r="L26" s="3473">
        <f>入力2【名簿】!M27</f>
        <v>0</v>
      </c>
      <c r="M26" s="3511"/>
      <c r="N26" s="3469">
        <f>入力2【名簿】!O27</f>
        <v>0</v>
      </c>
      <c r="O26" s="3469">
        <f>入力2【名簿】!P27</f>
        <v>0</v>
      </c>
      <c r="P26" s="3471">
        <f>入力2【名簿】!Q27</f>
        <v>0</v>
      </c>
      <c r="Q26" s="3473">
        <f>入力2【名簿】!R27</f>
        <v>0</v>
      </c>
      <c r="R26" s="3474"/>
      <c r="S26" s="3469">
        <f>入力2【名簿】!T27</f>
        <v>0</v>
      </c>
      <c r="T26" s="3469">
        <f>入力2【名簿】!U27</f>
        <v>0</v>
      </c>
      <c r="U26" s="3471">
        <f>入力2【名簿】!V27</f>
        <v>0</v>
      </c>
      <c r="V26" s="3473">
        <f>入力2【名簿】!W27</f>
        <v>0</v>
      </c>
      <c r="W26" s="3474"/>
      <c r="X26" s="3469">
        <f>入力2【名簿】!Y27</f>
        <v>0</v>
      </c>
      <c r="Y26" s="3469">
        <f>入力2【名簿】!Z27</f>
        <v>0</v>
      </c>
      <c r="Z26" s="3471">
        <f>入力2【名簿】!AA27</f>
        <v>0</v>
      </c>
      <c r="AA26" s="3473">
        <f>入力2【名簿】!AB27</f>
        <v>0</v>
      </c>
      <c r="AB26" s="3474"/>
      <c r="AC26" s="3469">
        <f>入力2【名簿】!AD27</f>
        <v>0</v>
      </c>
      <c r="AD26" s="3469">
        <f>入力2【名簿】!AE27</f>
        <v>0</v>
      </c>
      <c r="AE26" s="3471">
        <f>入力2【名簿】!AF27</f>
        <v>0</v>
      </c>
      <c r="AF26" s="3473">
        <f>入力2【名簿】!AG27</f>
        <v>0</v>
      </c>
      <c r="AG26" s="3474"/>
      <c r="AH26" s="3469">
        <f>入力2【名簿】!AI27</f>
        <v>0</v>
      </c>
      <c r="AI26" s="3469">
        <f>入力2【名簿】!AJ27</f>
        <v>0</v>
      </c>
      <c r="AJ26" s="3477">
        <f>入力2【名簿】!AK27</f>
        <v>0</v>
      </c>
      <c r="AK26" s="3478"/>
      <c r="AL26" s="3478"/>
      <c r="AM26" s="3478"/>
      <c r="AN26" s="3478"/>
      <c r="AO26" s="3479"/>
      <c r="AP26" s="3480">
        <f>入力2【名簿】!AO27</f>
        <v>0</v>
      </c>
      <c r="AQ26" s="3481"/>
      <c r="AR26" s="3481"/>
      <c r="AS26" s="3481"/>
      <c r="AT26" s="3482"/>
      <c r="AU26" s="113"/>
    </row>
    <row r="27" spans="2:47" ht="15" customHeight="1" x14ac:dyDescent="0.15">
      <c r="B27" s="3513"/>
      <c r="C27" s="3514"/>
      <c r="D27" s="3515"/>
      <c r="E27" s="3516"/>
      <c r="F27" s="3517"/>
      <c r="G27" s="3518"/>
      <c r="H27" s="3486"/>
      <c r="I27" s="3487"/>
      <c r="J27" s="3497"/>
      <c r="K27" s="3498"/>
      <c r="L27" s="3486"/>
      <c r="M27" s="3519"/>
      <c r="N27" s="3497"/>
      <c r="O27" s="3497"/>
      <c r="P27" s="3498"/>
      <c r="Q27" s="3486"/>
      <c r="R27" s="3487"/>
      <c r="S27" s="3497"/>
      <c r="T27" s="3497"/>
      <c r="U27" s="3498"/>
      <c r="V27" s="3486"/>
      <c r="W27" s="3487"/>
      <c r="X27" s="3497"/>
      <c r="Y27" s="3497"/>
      <c r="Z27" s="3498"/>
      <c r="AA27" s="3486"/>
      <c r="AB27" s="3487"/>
      <c r="AC27" s="3497"/>
      <c r="AD27" s="3497"/>
      <c r="AE27" s="3498"/>
      <c r="AF27" s="3486"/>
      <c r="AG27" s="3487"/>
      <c r="AH27" s="3497"/>
      <c r="AI27" s="3497"/>
      <c r="AJ27" s="3494">
        <f>入力2【名簿】!AK28</f>
        <v>0</v>
      </c>
      <c r="AK27" s="3495"/>
      <c r="AL27" s="3495"/>
      <c r="AM27" s="3495"/>
      <c r="AN27" s="3495"/>
      <c r="AO27" s="3496"/>
      <c r="AP27" s="3491"/>
      <c r="AQ27" s="3492"/>
      <c r="AR27" s="3492"/>
      <c r="AS27" s="3492"/>
      <c r="AT27" s="3493"/>
      <c r="AU27" s="113"/>
    </row>
    <row r="28" spans="2:47" ht="15" customHeight="1" x14ac:dyDescent="0.15">
      <c r="B28" s="3499">
        <v>8</v>
      </c>
      <c r="C28" s="3501">
        <f>入力2【名簿】!D29</f>
        <v>0</v>
      </c>
      <c r="D28" s="3502"/>
      <c r="E28" s="3505">
        <f>入力2【名簿】!E29</f>
        <v>0</v>
      </c>
      <c r="F28" s="3507">
        <f>入力2【名簿】!G29</f>
        <v>0</v>
      </c>
      <c r="G28" s="3509">
        <f>入力2【名簿】!H29</f>
        <v>0</v>
      </c>
      <c r="H28" s="3473">
        <f>入力2【名簿】!I29</f>
        <v>0</v>
      </c>
      <c r="I28" s="3474"/>
      <c r="J28" s="3469">
        <f>入力2【名簿】!K29</f>
        <v>0</v>
      </c>
      <c r="K28" s="3471">
        <f>入力2【名簿】!L29</f>
        <v>0</v>
      </c>
      <c r="L28" s="3473">
        <f>入力2【名簿】!M29</f>
        <v>0</v>
      </c>
      <c r="M28" s="3511"/>
      <c r="N28" s="3469">
        <f>入力2【名簿】!O29</f>
        <v>0</v>
      </c>
      <c r="O28" s="3469">
        <f>入力2【名簿】!P29</f>
        <v>0</v>
      </c>
      <c r="P28" s="3471">
        <f>入力2【名簿】!Q29</f>
        <v>0</v>
      </c>
      <c r="Q28" s="3473">
        <f>入力2【名簿】!R29</f>
        <v>0</v>
      </c>
      <c r="R28" s="3474"/>
      <c r="S28" s="3469">
        <f>入力2【名簿】!T29</f>
        <v>0</v>
      </c>
      <c r="T28" s="3469">
        <f>入力2【名簿】!U29</f>
        <v>0</v>
      </c>
      <c r="U28" s="3471">
        <f>入力2【名簿】!V29</f>
        <v>0</v>
      </c>
      <c r="V28" s="3473">
        <f>入力2【名簿】!W29</f>
        <v>0</v>
      </c>
      <c r="W28" s="3474"/>
      <c r="X28" s="3469">
        <f>入力2【名簿】!Y29</f>
        <v>0</v>
      </c>
      <c r="Y28" s="3469">
        <f>入力2【名簿】!Z29</f>
        <v>0</v>
      </c>
      <c r="Z28" s="3471">
        <f>入力2【名簿】!AA29</f>
        <v>0</v>
      </c>
      <c r="AA28" s="3473">
        <f>入力2【名簿】!AB29</f>
        <v>0</v>
      </c>
      <c r="AB28" s="3474"/>
      <c r="AC28" s="3469">
        <f>入力2【名簿】!AD29</f>
        <v>0</v>
      </c>
      <c r="AD28" s="3469">
        <f>入力2【名簿】!AE29</f>
        <v>0</v>
      </c>
      <c r="AE28" s="3471">
        <f>入力2【名簿】!AF29</f>
        <v>0</v>
      </c>
      <c r="AF28" s="3473">
        <f>入力2【名簿】!AG29</f>
        <v>0</v>
      </c>
      <c r="AG28" s="3474"/>
      <c r="AH28" s="3469">
        <f>入力2【名簿】!AI29</f>
        <v>0</v>
      </c>
      <c r="AI28" s="3469">
        <f>入力2【名簿】!AJ29</f>
        <v>0</v>
      </c>
      <c r="AJ28" s="3477">
        <f>入力2【名簿】!AK29</f>
        <v>0</v>
      </c>
      <c r="AK28" s="3478"/>
      <c r="AL28" s="3478"/>
      <c r="AM28" s="3478"/>
      <c r="AN28" s="3478"/>
      <c r="AO28" s="3479"/>
      <c r="AP28" s="3480">
        <f>入力2【名簿】!AO29</f>
        <v>0</v>
      </c>
      <c r="AQ28" s="3481"/>
      <c r="AR28" s="3481"/>
      <c r="AS28" s="3481"/>
      <c r="AT28" s="3482"/>
      <c r="AU28" s="113"/>
    </row>
    <row r="29" spans="2:47" ht="15" customHeight="1" x14ac:dyDescent="0.15">
      <c r="B29" s="3513"/>
      <c r="C29" s="3514"/>
      <c r="D29" s="3515"/>
      <c r="E29" s="3516"/>
      <c r="F29" s="3517"/>
      <c r="G29" s="3518"/>
      <c r="H29" s="3486"/>
      <c r="I29" s="3487"/>
      <c r="J29" s="3497"/>
      <c r="K29" s="3498"/>
      <c r="L29" s="3486"/>
      <c r="M29" s="3519"/>
      <c r="N29" s="3497"/>
      <c r="O29" s="3497"/>
      <c r="P29" s="3498"/>
      <c r="Q29" s="3486"/>
      <c r="R29" s="3487"/>
      <c r="S29" s="3497"/>
      <c r="T29" s="3497"/>
      <c r="U29" s="3498"/>
      <c r="V29" s="3486"/>
      <c r="W29" s="3487"/>
      <c r="X29" s="3497"/>
      <c r="Y29" s="3497"/>
      <c r="Z29" s="3498"/>
      <c r="AA29" s="3486"/>
      <c r="AB29" s="3487"/>
      <c r="AC29" s="3497"/>
      <c r="AD29" s="3497"/>
      <c r="AE29" s="3498"/>
      <c r="AF29" s="3486"/>
      <c r="AG29" s="3487"/>
      <c r="AH29" s="3497"/>
      <c r="AI29" s="3497"/>
      <c r="AJ29" s="3494">
        <f>入力2【名簿】!AK30</f>
        <v>0</v>
      </c>
      <c r="AK29" s="3495"/>
      <c r="AL29" s="3495"/>
      <c r="AM29" s="3495"/>
      <c r="AN29" s="3495"/>
      <c r="AO29" s="3496"/>
      <c r="AP29" s="3491"/>
      <c r="AQ29" s="3492"/>
      <c r="AR29" s="3492"/>
      <c r="AS29" s="3492"/>
      <c r="AT29" s="3493"/>
      <c r="AU29" s="113"/>
    </row>
    <row r="30" spans="2:47" ht="15" customHeight="1" x14ac:dyDescent="0.15">
      <c r="B30" s="3499">
        <v>9</v>
      </c>
      <c r="C30" s="3501">
        <f>入力2【名簿】!D31</f>
        <v>0</v>
      </c>
      <c r="D30" s="3502"/>
      <c r="E30" s="3505">
        <f>入力2【名簿】!E31</f>
        <v>0</v>
      </c>
      <c r="F30" s="3507">
        <f>入力2【名簿】!G31</f>
        <v>0</v>
      </c>
      <c r="G30" s="3509">
        <f>入力2【名簿】!H31</f>
        <v>0</v>
      </c>
      <c r="H30" s="3473">
        <f>入力2【名簿】!I31</f>
        <v>0</v>
      </c>
      <c r="I30" s="3474"/>
      <c r="J30" s="3469">
        <f>入力2【名簿】!K31</f>
        <v>0</v>
      </c>
      <c r="K30" s="3471">
        <f>入力2【名簿】!L31</f>
        <v>0</v>
      </c>
      <c r="L30" s="3473">
        <f>入力2【名簿】!M31</f>
        <v>0</v>
      </c>
      <c r="M30" s="3511"/>
      <c r="N30" s="3469">
        <f>入力2【名簿】!O31</f>
        <v>0</v>
      </c>
      <c r="O30" s="3469">
        <f>入力2【名簿】!P31</f>
        <v>0</v>
      </c>
      <c r="P30" s="3471">
        <f>入力2【名簿】!Q31</f>
        <v>0</v>
      </c>
      <c r="Q30" s="3473">
        <f>入力2【名簿】!R31</f>
        <v>0</v>
      </c>
      <c r="R30" s="3474"/>
      <c r="S30" s="3469">
        <f>入力2【名簿】!T31</f>
        <v>0</v>
      </c>
      <c r="T30" s="3469">
        <f>入力2【名簿】!U31</f>
        <v>0</v>
      </c>
      <c r="U30" s="3471">
        <f>入力2【名簿】!V31</f>
        <v>0</v>
      </c>
      <c r="V30" s="3473">
        <f>入力2【名簿】!W31</f>
        <v>0</v>
      </c>
      <c r="W30" s="3474"/>
      <c r="X30" s="3469">
        <f>入力2【名簿】!Y31</f>
        <v>0</v>
      </c>
      <c r="Y30" s="3469">
        <f>入力2【名簿】!Z31</f>
        <v>0</v>
      </c>
      <c r="Z30" s="3471">
        <f>入力2【名簿】!AA31</f>
        <v>0</v>
      </c>
      <c r="AA30" s="3473">
        <f>入力2【名簿】!AB31</f>
        <v>0</v>
      </c>
      <c r="AB30" s="3474"/>
      <c r="AC30" s="3469">
        <f>入力2【名簿】!AD31</f>
        <v>0</v>
      </c>
      <c r="AD30" s="3469">
        <f>入力2【名簿】!AE31</f>
        <v>0</v>
      </c>
      <c r="AE30" s="3471">
        <f>入力2【名簿】!AF31</f>
        <v>0</v>
      </c>
      <c r="AF30" s="3473">
        <f>入力2【名簿】!AG31</f>
        <v>0</v>
      </c>
      <c r="AG30" s="3474"/>
      <c r="AH30" s="3469">
        <f>入力2【名簿】!AI31</f>
        <v>0</v>
      </c>
      <c r="AI30" s="3469">
        <f>入力2【名簿】!AJ31</f>
        <v>0</v>
      </c>
      <c r="AJ30" s="3477">
        <f>入力2【名簿】!AK31</f>
        <v>0</v>
      </c>
      <c r="AK30" s="3478"/>
      <c r="AL30" s="3478"/>
      <c r="AM30" s="3478"/>
      <c r="AN30" s="3478"/>
      <c r="AO30" s="3479"/>
      <c r="AP30" s="3480">
        <f>入力2【名簿】!AO31</f>
        <v>0</v>
      </c>
      <c r="AQ30" s="3481"/>
      <c r="AR30" s="3481"/>
      <c r="AS30" s="3481"/>
      <c r="AT30" s="3482"/>
      <c r="AU30" s="113"/>
    </row>
    <row r="31" spans="2:47" ht="15" customHeight="1" x14ac:dyDescent="0.15">
      <c r="B31" s="3513"/>
      <c r="C31" s="3514"/>
      <c r="D31" s="3515"/>
      <c r="E31" s="3516"/>
      <c r="F31" s="3517"/>
      <c r="G31" s="3518"/>
      <c r="H31" s="3486"/>
      <c r="I31" s="3487"/>
      <c r="J31" s="3497"/>
      <c r="K31" s="3498"/>
      <c r="L31" s="3486"/>
      <c r="M31" s="3519"/>
      <c r="N31" s="3497"/>
      <c r="O31" s="3497"/>
      <c r="P31" s="3498"/>
      <c r="Q31" s="3486"/>
      <c r="R31" s="3487"/>
      <c r="S31" s="3497"/>
      <c r="T31" s="3497"/>
      <c r="U31" s="3498"/>
      <c r="V31" s="3486"/>
      <c r="W31" s="3487"/>
      <c r="X31" s="3497"/>
      <c r="Y31" s="3497"/>
      <c r="Z31" s="3498"/>
      <c r="AA31" s="3486"/>
      <c r="AB31" s="3487"/>
      <c r="AC31" s="3497"/>
      <c r="AD31" s="3497"/>
      <c r="AE31" s="3498"/>
      <c r="AF31" s="3486"/>
      <c r="AG31" s="3487"/>
      <c r="AH31" s="3497"/>
      <c r="AI31" s="3497"/>
      <c r="AJ31" s="3494">
        <f>入力2【名簿】!AK32</f>
        <v>0</v>
      </c>
      <c r="AK31" s="3495"/>
      <c r="AL31" s="3495"/>
      <c r="AM31" s="3495"/>
      <c r="AN31" s="3495"/>
      <c r="AO31" s="3496"/>
      <c r="AP31" s="3491"/>
      <c r="AQ31" s="3492"/>
      <c r="AR31" s="3492"/>
      <c r="AS31" s="3492"/>
      <c r="AT31" s="3493"/>
      <c r="AU31" s="113"/>
    </row>
    <row r="32" spans="2:47" ht="15" customHeight="1" x14ac:dyDescent="0.15">
      <c r="B32" s="3499">
        <v>10</v>
      </c>
      <c r="C32" s="3501">
        <f>入力2【名簿】!D33</f>
        <v>0</v>
      </c>
      <c r="D32" s="3502"/>
      <c r="E32" s="3505">
        <f>入力2【名簿】!E33</f>
        <v>0</v>
      </c>
      <c r="F32" s="3507">
        <f>入力2【名簿】!G33</f>
        <v>0</v>
      </c>
      <c r="G32" s="3509">
        <f>入力2【名簿】!H33</f>
        <v>0</v>
      </c>
      <c r="H32" s="3473">
        <f>入力2【名簿】!I33</f>
        <v>0</v>
      </c>
      <c r="I32" s="3474"/>
      <c r="J32" s="3469">
        <f>入力2【名簿】!K33</f>
        <v>0</v>
      </c>
      <c r="K32" s="3471">
        <f>入力2【名簿】!L33</f>
        <v>0</v>
      </c>
      <c r="L32" s="3473">
        <f>入力2【名簿】!M33</f>
        <v>0</v>
      </c>
      <c r="M32" s="3511"/>
      <c r="N32" s="3469">
        <f>入力2【名簿】!O33</f>
        <v>0</v>
      </c>
      <c r="O32" s="3469">
        <f>入力2【名簿】!P33</f>
        <v>0</v>
      </c>
      <c r="P32" s="3471">
        <f>入力2【名簿】!Q33</f>
        <v>0</v>
      </c>
      <c r="Q32" s="3473">
        <f>入力2【名簿】!R33</f>
        <v>0</v>
      </c>
      <c r="R32" s="3474"/>
      <c r="S32" s="3469">
        <f>入力2【名簿】!T33</f>
        <v>0</v>
      </c>
      <c r="T32" s="3469">
        <f>入力2【名簿】!U33</f>
        <v>0</v>
      </c>
      <c r="U32" s="3471">
        <f>入力2【名簿】!V33</f>
        <v>0</v>
      </c>
      <c r="V32" s="3473">
        <f>入力2【名簿】!W33</f>
        <v>0</v>
      </c>
      <c r="W32" s="3474"/>
      <c r="X32" s="3469">
        <f>入力2【名簿】!Y33</f>
        <v>0</v>
      </c>
      <c r="Y32" s="3469">
        <f>入力2【名簿】!Z33</f>
        <v>0</v>
      </c>
      <c r="Z32" s="3471">
        <f>入力2【名簿】!AA33</f>
        <v>0</v>
      </c>
      <c r="AA32" s="3473">
        <f>入力2【名簿】!AB33</f>
        <v>0</v>
      </c>
      <c r="AB32" s="3474"/>
      <c r="AC32" s="3469">
        <f>入力2【名簿】!AD33</f>
        <v>0</v>
      </c>
      <c r="AD32" s="3469">
        <f>入力2【名簿】!AE33</f>
        <v>0</v>
      </c>
      <c r="AE32" s="3471">
        <f>入力2【名簿】!AF33</f>
        <v>0</v>
      </c>
      <c r="AF32" s="3473">
        <f>入力2【名簿】!AG33</f>
        <v>0</v>
      </c>
      <c r="AG32" s="3474"/>
      <c r="AH32" s="3469">
        <f>入力2【名簿】!AI33</f>
        <v>0</v>
      </c>
      <c r="AI32" s="3469">
        <f>入力2【名簿】!AJ33</f>
        <v>0</v>
      </c>
      <c r="AJ32" s="3477">
        <f>入力2【名簿】!AK33</f>
        <v>0</v>
      </c>
      <c r="AK32" s="3478"/>
      <c r="AL32" s="3478"/>
      <c r="AM32" s="3478"/>
      <c r="AN32" s="3478"/>
      <c r="AO32" s="3479"/>
      <c r="AP32" s="3480">
        <f>入力2【名簿】!AO33</f>
        <v>0</v>
      </c>
      <c r="AQ32" s="3481"/>
      <c r="AR32" s="3481"/>
      <c r="AS32" s="3481"/>
      <c r="AT32" s="3482"/>
      <c r="AU32" s="113"/>
    </row>
    <row r="33" spans="2:47" ht="15" customHeight="1" x14ac:dyDescent="0.15">
      <c r="B33" s="3513"/>
      <c r="C33" s="3514"/>
      <c r="D33" s="3515"/>
      <c r="E33" s="3516"/>
      <c r="F33" s="3517"/>
      <c r="G33" s="3518"/>
      <c r="H33" s="3486"/>
      <c r="I33" s="3487"/>
      <c r="J33" s="3497"/>
      <c r="K33" s="3498"/>
      <c r="L33" s="3486"/>
      <c r="M33" s="3519"/>
      <c r="N33" s="3497"/>
      <c r="O33" s="3497"/>
      <c r="P33" s="3498"/>
      <c r="Q33" s="3486"/>
      <c r="R33" s="3487"/>
      <c r="S33" s="3497"/>
      <c r="T33" s="3497"/>
      <c r="U33" s="3498"/>
      <c r="V33" s="3486"/>
      <c r="W33" s="3487"/>
      <c r="X33" s="3497"/>
      <c r="Y33" s="3497"/>
      <c r="Z33" s="3498"/>
      <c r="AA33" s="3486"/>
      <c r="AB33" s="3487"/>
      <c r="AC33" s="3497"/>
      <c r="AD33" s="3497"/>
      <c r="AE33" s="3498"/>
      <c r="AF33" s="3486"/>
      <c r="AG33" s="3487"/>
      <c r="AH33" s="3497"/>
      <c r="AI33" s="3497"/>
      <c r="AJ33" s="3494">
        <f>入力2【名簿】!AK34</f>
        <v>0</v>
      </c>
      <c r="AK33" s="3495"/>
      <c r="AL33" s="3495"/>
      <c r="AM33" s="3495"/>
      <c r="AN33" s="3495"/>
      <c r="AO33" s="3496"/>
      <c r="AP33" s="3491"/>
      <c r="AQ33" s="3492"/>
      <c r="AR33" s="3492"/>
      <c r="AS33" s="3492"/>
      <c r="AT33" s="3493"/>
      <c r="AU33" s="113"/>
    </row>
    <row r="34" spans="2:47" ht="15" customHeight="1" x14ac:dyDescent="0.15">
      <c r="B34" s="3499">
        <v>11</v>
      </c>
      <c r="C34" s="3501">
        <f>入力2【名簿】!D35</f>
        <v>0</v>
      </c>
      <c r="D34" s="3502"/>
      <c r="E34" s="3505">
        <f>入力2【名簿】!E35</f>
        <v>0</v>
      </c>
      <c r="F34" s="3507">
        <f>入力2【名簿】!G35</f>
        <v>0</v>
      </c>
      <c r="G34" s="3509">
        <f>入力2【名簿】!H35</f>
        <v>0</v>
      </c>
      <c r="H34" s="3473">
        <f>入力2【名簿】!I35</f>
        <v>0</v>
      </c>
      <c r="I34" s="3474"/>
      <c r="J34" s="3469">
        <f>入力2【名簿】!K35</f>
        <v>0</v>
      </c>
      <c r="K34" s="3471">
        <f>入力2【名簿】!L35</f>
        <v>0</v>
      </c>
      <c r="L34" s="3473">
        <f>入力2【名簿】!M35</f>
        <v>0</v>
      </c>
      <c r="M34" s="3511"/>
      <c r="N34" s="3469">
        <f>入力2【名簿】!O35</f>
        <v>0</v>
      </c>
      <c r="O34" s="3469">
        <f>入力2【名簿】!P35</f>
        <v>0</v>
      </c>
      <c r="P34" s="3471">
        <f>入力2【名簿】!Q35</f>
        <v>0</v>
      </c>
      <c r="Q34" s="3473">
        <f>入力2【名簿】!R35</f>
        <v>0</v>
      </c>
      <c r="R34" s="3474"/>
      <c r="S34" s="3469">
        <f>入力2【名簿】!T35</f>
        <v>0</v>
      </c>
      <c r="T34" s="3469">
        <f>入力2【名簿】!U35</f>
        <v>0</v>
      </c>
      <c r="U34" s="3471">
        <f>入力2【名簿】!V35</f>
        <v>0</v>
      </c>
      <c r="V34" s="3473">
        <f>入力2【名簿】!W35</f>
        <v>0</v>
      </c>
      <c r="W34" s="3474"/>
      <c r="X34" s="3469">
        <f>入力2【名簿】!Y35</f>
        <v>0</v>
      </c>
      <c r="Y34" s="3469">
        <f>入力2【名簿】!Z35</f>
        <v>0</v>
      </c>
      <c r="Z34" s="3471">
        <f>入力2【名簿】!AA35</f>
        <v>0</v>
      </c>
      <c r="AA34" s="3473">
        <f>入力2【名簿】!AB35</f>
        <v>0</v>
      </c>
      <c r="AB34" s="3474"/>
      <c r="AC34" s="3469">
        <f>入力2【名簿】!AD35</f>
        <v>0</v>
      </c>
      <c r="AD34" s="3469">
        <f>入力2【名簿】!AE35</f>
        <v>0</v>
      </c>
      <c r="AE34" s="3471">
        <f>入力2【名簿】!AF35</f>
        <v>0</v>
      </c>
      <c r="AF34" s="3473">
        <f>入力2【名簿】!AG35</f>
        <v>0</v>
      </c>
      <c r="AG34" s="3474"/>
      <c r="AH34" s="3469">
        <f>入力2【名簿】!AI35</f>
        <v>0</v>
      </c>
      <c r="AI34" s="3469">
        <f>入力2【名簿】!AJ35</f>
        <v>0</v>
      </c>
      <c r="AJ34" s="3477">
        <f>入力2【名簿】!AK35</f>
        <v>0</v>
      </c>
      <c r="AK34" s="3478"/>
      <c r="AL34" s="3478"/>
      <c r="AM34" s="3478"/>
      <c r="AN34" s="3478"/>
      <c r="AO34" s="3479"/>
      <c r="AP34" s="3480">
        <f>入力2【名簿】!AO35</f>
        <v>0</v>
      </c>
      <c r="AQ34" s="3481"/>
      <c r="AR34" s="3481"/>
      <c r="AS34" s="3481"/>
      <c r="AT34" s="3482"/>
      <c r="AU34" s="113"/>
    </row>
    <row r="35" spans="2:47" ht="15" customHeight="1" x14ac:dyDescent="0.15">
      <c r="B35" s="3513"/>
      <c r="C35" s="3514"/>
      <c r="D35" s="3515"/>
      <c r="E35" s="3516"/>
      <c r="F35" s="3517"/>
      <c r="G35" s="3518"/>
      <c r="H35" s="3486"/>
      <c r="I35" s="3487"/>
      <c r="J35" s="3497"/>
      <c r="K35" s="3498"/>
      <c r="L35" s="3486"/>
      <c r="M35" s="3519"/>
      <c r="N35" s="3497"/>
      <c r="O35" s="3497"/>
      <c r="P35" s="3498"/>
      <c r="Q35" s="3486"/>
      <c r="R35" s="3487"/>
      <c r="S35" s="3497"/>
      <c r="T35" s="3497"/>
      <c r="U35" s="3498"/>
      <c r="V35" s="3486"/>
      <c r="W35" s="3487"/>
      <c r="X35" s="3497"/>
      <c r="Y35" s="3497"/>
      <c r="Z35" s="3498"/>
      <c r="AA35" s="3486"/>
      <c r="AB35" s="3487"/>
      <c r="AC35" s="3497"/>
      <c r="AD35" s="3497"/>
      <c r="AE35" s="3498"/>
      <c r="AF35" s="3486"/>
      <c r="AG35" s="3487"/>
      <c r="AH35" s="3497"/>
      <c r="AI35" s="3497"/>
      <c r="AJ35" s="3494">
        <f>入力2【名簿】!AK36</f>
        <v>0</v>
      </c>
      <c r="AK35" s="3495"/>
      <c r="AL35" s="3495"/>
      <c r="AM35" s="3495"/>
      <c r="AN35" s="3495"/>
      <c r="AO35" s="3496"/>
      <c r="AP35" s="3491"/>
      <c r="AQ35" s="3492"/>
      <c r="AR35" s="3492"/>
      <c r="AS35" s="3492"/>
      <c r="AT35" s="3493"/>
      <c r="AU35" s="113"/>
    </row>
    <row r="36" spans="2:47" ht="15" customHeight="1" x14ac:dyDescent="0.15">
      <c r="B36" s="3499">
        <v>12</v>
      </c>
      <c r="C36" s="3501">
        <f>入力2【名簿】!D37</f>
        <v>0</v>
      </c>
      <c r="D36" s="3502"/>
      <c r="E36" s="3505">
        <f>入力2【名簿】!E37</f>
        <v>0</v>
      </c>
      <c r="F36" s="3507">
        <f>入力2【名簿】!G37</f>
        <v>0</v>
      </c>
      <c r="G36" s="3509">
        <f>入力2【名簿】!H37</f>
        <v>0</v>
      </c>
      <c r="H36" s="3473">
        <f>入力2【名簿】!I37</f>
        <v>0</v>
      </c>
      <c r="I36" s="3474"/>
      <c r="J36" s="3469">
        <f>入力2【名簿】!K37</f>
        <v>0</v>
      </c>
      <c r="K36" s="3471">
        <f>入力2【名簿】!L37</f>
        <v>0</v>
      </c>
      <c r="L36" s="3473">
        <f>入力2【名簿】!M37</f>
        <v>0</v>
      </c>
      <c r="M36" s="3511"/>
      <c r="N36" s="3469">
        <f>入力2【名簿】!O37</f>
        <v>0</v>
      </c>
      <c r="O36" s="3469">
        <f>入力2【名簿】!P37</f>
        <v>0</v>
      </c>
      <c r="P36" s="3471">
        <f>入力2【名簿】!Q37</f>
        <v>0</v>
      </c>
      <c r="Q36" s="3473">
        <f>入力2【名簿】!R37</f>
        <v>0</v>
      </c>
      <c r="R36" s="3474"/>
      <c r="S36" s="3469">
        <f>入力2【名簿】!T37</f>
        <v>0</v>
      </c>
      <c r="T36" s="3469">
        <f>入力2【名簿】!U37</f>
        <v>0</v>
      </c>
      <c r="U36" s="3471">
        <f>入力2【名簿】!V37</f>
        <v>0</v>
      </c>
      <c r="V36" s="3473">
        <f>入力2【名簿】!W37</f>
        <v>0</v>
      </c>
      <c r="W36" s="3474"/>
      <c r="X36" s="3469">
        <f>入力2【名簿】!Y37</f>
        <v>0</v>
      </c>
      <c r="Y36" s="3469">
        <f>入力2【名簿】!Z37</f>
        <v>0</v>
      </c>
      <c r="Z36" s="3471">
        <f>入力2【名簿】!AA37</f>
        <v>0</v>
      </c>
      <c r="AA36" s="3473">
        <f>入力2【名簿】!AB37</f>
        <v>0</v>
      </c>
      <c r="AB36" s="3474"/>
      <c r="AC36" s="3469">
        <f>入力2【名簿】!AD37</f>
        <v>0</v>
      </c>
      <c r="AD36" s="3469">
        <f>入力2【名簿】!AE37</f>
        <v>0</v>
      </c>
      <c r="AE36" s="3471">
        <f>入力2【名簿】!AF37</f>
        <v>0</v>
      </c>
      <c r="AF36" s="3473">
        <f>入力2【名簿】!AG37</f>
        <v>0</v>
      </c>
      <c r="AG36" s="3474"/>
      <c r="AH36" s="3469">
        <f>入力2【名簿】!AI37</f>
        <v>0</v>
      </c>
      <c r="AI36" s="3469">
        <f>入力2【名簿】!AJ37</f>
        <v>0</v>
      </c>
      <c r="AJ36" s="3477">
        <f>入力2【名簿】!AK37</f>
        <v>0</v>
      </c>
      <c r="AK36" s="3478"/>
      <c r="AL36" s="3478"/>
      <c r="AM36" s="3478"/>
      <c r="AN36" s="3478"/>
      <c r="AO36" s="3479"/>
      <c r="AP36" s="3480">
        <f>入力2【名簿】!AO37</f>
        <v>0</v>
      </c>
      <c r="AQ36" s="3481"/>
      <c r="AR36" s="3481"/>
      <c r="AS36" s="3481"/>
      <c r="AT36" s="3482"/>
      <c r="AU36" s="113"/>
    </row>
    <row r="37" spans="2:47" ht="15" customHeight="1" x14ac:dyDescent="0.15">
      <c r="B37" s="3513"/>
      <c r="C37" s="3514"/>
      <c r="D37" s="3515"/>
      <c r="E37" s="3516"/>
      <c r="F37" s="3517"/>
      <c r="G37" s="3518"/>
      <c r="H37" s="3486"/>
      <c r="I37" s="3487"/>
      <c r="J37" s="3497"/>
      <c r="K37" s="3498"/>
      <c r="L37" s="3486"/>
      <c r="M37" s="3519"/>
      <c r="N37" s="3497"/>
      <c r="O37" s="3497"/>
      <c r="P37" s="3498"/>
      <c r="Q37" s="3486"/>
      <c r="R37" s="3487"/>
      <c r="S37" s="3497"/>
      <c r="T37" s="3497"/>
      <c r="U37" s="3498"/>
      <c r="V37" s="3486"/>
      <c r="W37" s="3487"/>
      <c r="X37" s="3497"/>
      <c r="Y37" s="3497"/>
      <c r="Z37" s="3498"/>
      <c r="AA37" s="3486"/>
      <c r="AB37" s="3487"/>
      <c r="AC37" s="3497"/>
      <c r="AD37" s="3497"/>
      <c r="AE37" s="3498"/>
      <c r="AF37" s="3486"/>
      <c r="AG37" s="3487"/>
      <c r="AH37" s="3497"/>
      <c r="AI37" s="3497"/>
      <c r="AJ37" s="3494">
        <f>入力2【名簿】!AK38</f>
        <v>0</v>
      </c>
      <c r="AK37" s="3495"/>
      <c r="AL37" s="3495"/>
      <c r="AM37" s="3495"/>
      <c r="AN37" s="3495"/>
      <c r="AO37" s="3496"/>
      <c r="AP37" s="3491"/>
      <c r="AQ37" s="3492"/>
      <c r="AR37" s="3492"/>
      <c r="AS37" s="3492"/>
      <c r="AT37" s="3493"/>
      <c r="AU37" s="113"/>
    </row>
    <row r="38" spans="2:47" ht="15" customHeight="1" x14ac:dyDescent="0.15">
      <c r="B38" s="3499">
        <v>13</v>
      </c>
      <c r="C38" s="3501">
        <f>入力2【名簿】!D39</f>
        <v>0</v>
      </c>
      <c r="D38" s="3502"/>
      <c r="E38" s="3505">
        <f>入力2【名簿】!E39</f>
        <v>0</v>
      </c>
      <c r="F38" s="3507">
        <f>入力2【名簿】!G39</f>
        <v>0</v>
      </c>
      <c r="G38" s="3509">
        <f>入力2【名簿】!H39</f>
        <v>0</v>
      </c>
      <c r="H38" s="3473">
        <f>入力2【名簿】!I39</f>
        <v>0</v>
      </c>
      <c r="I38" s="3474"/>
      <c r="J38" s="3469">
        <f>入力2【名簿】!K39</f>
        <v>0</v>
      </c>
      <c r="K38" s="3471">
        <f>入力2【名簿】!L39</f>
        <v>0</v>
      </c>
      <c r="L38" s="3473">
        <f>入力2【名簿】!M39</f>
        <v>0</v>
      </c>
      <c r="M38" s="3511"/>
      <c r="N38" s="3469">
        <f>入力2【名簿】!O39</f>
        <v>0</v>
      </c>
      <c r="O38" s="3469">
        <f>入力2【名簿】!P39</f>
        <v>0</v>
      </c>
      <c r="P38" s="3471">
        <f>入力2【名簿】!Q39</f>
        <v>0</v>
      </c>
      <c r="Q38" s="3473">
        <f>入力2【名簿】!R39</f>
        <v>0</v>
      </c>
      <c r="R38" s="3474"/>
      <c r="S38" s="3469">
        <f>入力2【名簿】!T39</f>
        <v>0</v>
      </c>
      <c r="T38" s="3469">
        <f>入力2【名簿】!U39</f>
        <v>0</v>
      </c>
      <c r="U38" s="3471">
        <f>入力2【名簿】!V39</f>
        <v>0</v>
      </c>
      <c r="V38" s="3473">
        <f>入力2【名簿】!W39</f>
        <v>0</v>
      </c>
      <c r="W38" s="3474"/>
      <c r="X38" s="3469">
        <f>入力2【名簿】!Y39</f>
        <v>0</v>
      </c>
      <c r="Y38" s="3469">
        <f>入力2【名簿】!Z39</f>
        <v>0</v>
      </c>
      <c r="Z38" s="3471">
        <f>入力2【名簿】!AA39</f>
        <v>0</v>
      </c>
      <c r="AA38" s="3473">
        <f>入力2【名簿】!AB39</f>
        <v>0</v>
      </c>
      <c r="AB38" s="3474"/>
      <c r="AC38" s="3469">
        <f>入力2【名簿】!AD39</f>
        <v>0</v>
      </c>
      <c r="AD38" s="3469">
        <f>入力2【名簿】!AE39</f>
        <v>0</v>
      </c>
      <c r="AE38" s="3471">
        <f>入力2【名簿】!AF39</f>
        <v>0</v>
      </c>
      <c r="AF38" s="3473">
        <f>入力2【名簿】!AG39</f>
        <v>0</v>
      </c>
      <c r="AG38" s="3474"/>
      <c r="AH38" s="3469">
        <f>入力2【名簿】!AI39</f>
        <v>0</v>
      </c>
      <c r="AI38" s="3469">
        <f>入力2【名簿】!AJ39</f>
        <v>0</v>
      </c>
      <c r="AJ38" s="3477">
        <f>入力2【名簿】!AK39</f>
        <v>0</v>
      </c>
      <c r="AK38" s="3478"/>
      <c r="AL38" s="3478"/>
      <c r="AM38" s="3478"/>
      <c r="AN38" s="3478"/>
      <c r="AO38" s="3479"/>
      <c r="AP38" s="3480">
        <f>入力2【名簿】!AO39</f>
        <v>0</v>
      </c>
      <c r="AQ38" s="3481"/>
      <c r="AR38" s="3481"/>
      <c r="AS38" s="3481"/>
      <c r="AT38" s="3482"/>
      <c r="AU38" s="113"/>
    </row>
    <row r="39" spans="2:47" ht="15" customHeight="1" x14ac:dyDescent="0.15">
      <c r="B39" s="3513"/>
      <c r="C39" s="3514"/>
      <c r="D39" s="3515"/>
      <c r="E39" s="3516"/>
      <c r="F39" s="3517"/>
      <c r="G39" s="3518"/>
      <c r="H39" s="3486"/>
      <c r="I39" s="3487"/>
      <c r="J39" s="3497"/>
      <c r="K39" s="3498"/>
      <c r="L39" s="3486"/>
      <c r="M39" s="3519"/>
      <c r="N39" s="3497"/>
      <c r="O39" s="3497"/>
      <c r="P39" s="3498"/>
      <c r="Q39" s="3486"/>
      <c r="R39" s="3487"/>
      <c r="S39" s="3497"/>
      <c r="T39" s="3497"/>
      <c r="U39" s="3498"/>
      <c r="V39" s="3486"/>
      <c r="W39" s="3487"/>
      <c r="X39" s="3497"/>
      <c r="Y39" s="3497"/>
      <c r="Z39" s="3498"/>
      <c r="AA39" s="3486"/>
      <c r="AB39" s="3487"/>
      <c r="AC39" s="3497"/>
      <c r="AD39" s="3497"/>
      <c r="AE39" s="3498"/>
      <c r="AF39" s="3486"/>
      <c r="AG39" s="3487"/>
      <c r="AH39" s="3497"/>
      <c r="AI39" s="3497"/>
      <c r="AJ39" s="3494">
        <f>入力2【名簿】!AK40</f>
        <v>0</v>
      </c>
      <c r="AK39" s="3495"/>
      <c r="AL39" s="3495"/>
      <c r="AM39" s="3495"/>
      <c r="AN39" s="3495"/>
      <c r="AO39" s="3496"/>
      <c r="AP39" s="3491"/>
      <c r="AQ39" s="3492"/>
      <c r="AR39" s="3492"/>
      <c r="AS39" s="3492"/>
      <c r="AT39" s="3493"/>
      <c r="AU39" s="113"/>
    </row>
    <row r="40" spans="2:47" ht="15" customHeight="1" x14ac:dyDescent="0.15">
      <c r="B40" s="3499">
        <v>14</v>
      </c>
      <c r="C40" s="3501">
        <f>入力2【名簿】!D41</f>
        <v>0</v>
      </c>
      <c r="D40" s="3502"/>
      <c r="E40" s="3505">
        <f>入力2【名簿】!E41</f>
        <v>0</v>
      </c>
      <c r="F40" s="3507">
        <f>入力2【名簿】!G41</f>
        <v>0</v>
      </c>
      <c r="G40" s="3509">
        <f>入力2【名簿】!H41</f>
        <v>0</v>
      </c>
      <c r="H40" s="3473">
        <f>入力2【名簿】!I41</f>
        <v>0</v>
      </c>
      <c r="I40" s="3474"/>
      <c r="J40" s="3469">
        <f>入力2【名簿】!K41</f>
        <v>0</v>
      </c>
      <c r="K40" s="3471">
        <f>入力2【名簿】!L41</f>
        <v>0</v>
      </c>
      <c r="L40" s="3473">
        <f>入力2【名簿】!M41</f>
        <v>0</v>
      </c>
      <c r="M40" s="3511"/>
      <c r="N40" s="3469">
        <f>入力2【名簿】!O41</f>
        <v>0</v>
      </c>
      <c r="O40" s="3469">
        <f>入力2【名簿】!P41</f>
        <v>0</v>
      </c>
      <c r="P40" s="3471">
        <f>入力2【名簿】!Q41</f>
        <v>0</v>
      </c>
      <c r="Q40" s="3473">
        <f>入力2【名簿】!R41</f>
        <v>0</v>
      </c>
      <c r="R40" s="3474"/>
      <c r="S40" s="3469">
        <f>入力2【名簿】!T41</f>
        <v>0</v>
      </c>
      <c r="T40" s="3469">
        <f>入力2【名簿】!U41</f>
        <v>0</v>
      </c>
      <c r="U40" s="3471">
        <f>入力2【名簿】!V41</f>
        <v>0</v>
      </c>
      <c r="V40" s="3473">
        <f>入力2【名簿】!W41</f>
        <v>0</v>
      </c>
      <c r="W40" s="3474"/>
      <c r="X40" s="3469">
        <f>入力2【名簿】!Y41</f>
        <v>0</v>
      </c>
      <c r="Y40" s="3469">
        <f>入力2【名簿】!Z41</f>
        <v>0</v>
      </c>
      <c r="Z40" s="3471">
        <f>入力2【名簿】!AA41</f>
        <v>0</v>
      </c>
      <c r="AA40" s="3473">
        <f>入力2【名簿】!AB41</f>
        <v>0</v>
      </c>
      <c r="AB40" s="3474"/>
      <c r="AC40" s="3469">
        <f>入力2【名簿】!AD41</f>
        <v>0</v>
      </c>
      <c r="AD40" s="3469">
        <f>入力2【名簿】!AE41</f>
        <v>0</v>
      </c>
      <c r="AE40" s="3471">
        <f>入力2【名簿】!AF41</f>
        <v>0</v>
      </c>
      <c r="AF40" s="3473">
        <f>入力2【名簿】!AG41</f>
        <v>0</v>
      </c>
      <c r="AG40" s="3474"/>
      <c r="AH40" s="3469">
        <f>入力2【名簿】!AI41</f>
        <v>0</v>
      </c>
      <c r="AI40" s="3469">
        <f>入力2【名簿】!AJ41</f>
        <v>0</v>
      </c>
      <c r="AJ40" s="3477">
        <f>入力2【名簿】!AK41</f>
        <v>0</v>
      </c>
      <c r="AK40" s="3478"/>
      <c r="AL40" s="3478"/>
      <c r="AM40" s="3478"/>
      <c r="AN40" s="3478"/>
      <c r="AO40" s="3479"/>
      <c r="AP40" s="3480">
        <f>入力2【名簿】!AO41</f>
        <v>0</v>
      </c>
      <c r="AQ40" s="3481"/>
      <c r="AR40" s="3481"/>
      <c r="AS40" s="3481"/>
      <c r="AT40" s="3482"/>
      <c r="AU40" s="113"/>
    </row>
    <row r="41" spans="2:47" ht="15" customHeight="1" x14ac:dyDescent="0.15">
      <c r="B41" s="3513"/>
      <c r="C41" s="3514"/>
      <c r="D41" s="3515"/>
      <c r="E41" s="3516"/>
      <c r="F41" s="3517"/>
      <c r="G41" s="3518"/>
      <c r="H41" s="3486"/>
      <c r="I41" s="3487"/>
      <c r="J41" s="3497"/>
      <c r="K41" s="3498"/>
      <c r="L41" s="3486"/>
      <c r="M41" s="3519"/>
      <c r="N41" s="3497"/>
      <c r="O41" s="3497"/>
      <c r="P41" s="3498"/>
      <c r="Q41" s="3486"/>
      <c r="R41" s="3487"/>
      <c r="S41" s="3497"/>
      <c r="T41" s="3497"/>
      <c r="U41" s="3498"/>
      <c r="V41" s="3486"/>
      <c r="W41" s="3487"/>
      <c r="X41" s="3497"/>
      <c r="Y41" s="3497"/>
      <c r="Z41" s="3498"/>
      <c r="AA41" s="3486"/>
      <c r="AB41" s="3487"/>
      <c r="AC41" s="3497"/>
      <c r="AD41" s="3497"/>
      <c r="AE41" s="3498"/>
      <c r="AF41" s="3486"/>
      <c r="AG41" s="3487"/>
      <c r="AH41" s="3497"/>
      <c r="AI41" s="3497"/>
      <c r="AJ41" s="3494">
        <f>入力2【名簿】!AK42</f>
        <v>0</v>
      </c>
      <c r="AK41" s="3495"/>
      <c r="AL41" s="3495"/>
      <c r="AM41" s="3495"/>
      <c r="AN41" s="3495"/>
      <c r="AO41" s="3496"/>
      <c r="AP41" s="3491"/>
      <c r="AQ41" s="3492"/>
      <c r="AR41" s="3492"/>
      <c r="AS41" s="3492"/>
      <c r="AT41" s="3493"/>
      <c r="AU41" s="113"/>
    </row>
    <row r="42" spans="2:47" ht="15" customHeight="1" x14ac:dyDescent="0.15">
      <c r="B42" s="3499">
        <v>15</v>
      </c>
      <c r="C42" s="3501">
        <f>入力2【名簿】!D43</f>
        <v>0</v>
      </c>
      <c r="D42" s="3502"/>
      <c r="E42" s="3505">
        <f>入力2【名簿】!E43</f>
        <v>0</v>
      </c>
      <c r="F42" s="3507">
        <f>入力2【名簿】!G43</f>
        <v>0</v>
      </c>
      <c r="G42" s="3509">
        <f>入力2【名簿】!H43</f>
        <v>0</v>
      </c>
      <c r="H42" s="3473">
        <f>入力2【名簿】!I43</f>
        <v>0</v>
      </c>
      <c r="I42" s="3474"/>
      <c r="J42" s="3469">
        <f>入力2【名簿】!K43</f>
        <v>0</v>
      </c>
      <c r="K42" s="3471">
        <f>入力2【名簿】!L43</f>
        <v>0</v>
      </c>
      <c r="L42" s="3473">
        <f>入力2【名簿】!M43</f>
        <v>0</v>
      </c>
      <c r="M42" s="3511"/>
      <c r="N42" s="3469">
        <f>入力2【名簿】!O43</f>
        <v>0</v>
      </c>
      <c r="O42" s="3469">
        <f>入力2【名簿】!P43</f>
        <v>0</v>
      </c>
      <c r="P42" s="3471">
        <f>入力2【名簿】!Q43</f>
        <v>0</v>
      </c>
      <c r="Q42" s="3473">
        <f>入力2【名簿】!R43</f>
        <v>0</v>
      </c>
      <c r="R42" s="3474"/>
      <c r="S42" s="3469">
        <f>入力2【名簿】!T43</f>
        <v>0</v>
      </c>
      <c r="T42" s="3469">
        <f>入力2【名簿】!U43</f>
        <v>0</v>
      </c>
      <c r="U42" s="3471">
        <f>入力2【名簿】!V43</f>
        <v>0</v>
      </c>
      <c r="V42" s="3473">
        <f>入力2【名簿】!W43</f>
        <v>0</v>
      </c>
      <c r="W42" s="3474"/>
      <c r="X42" s="3469">
        <f>入力2【名簿】!Y43</f>
        <v>0</v>
      </c>
      <c r="Y42" s="3469">
        <f>入力2【名簿】!Z43</f>
        <v>0</v>
      </c>
      <c r="Z42" s="3471">
        <f>入力2【名簿】!AA43</f>
        <v>0</v>
      </c>
      <c r="AA42" s="3473">
        <f>入力2【名簿】!AB43</f>
        <v>0</v>
      </c>
      <c r="AB42" s="3474"/>
      <c r="AC42" s="3469">
        <f>入力2【名簿】!AD43</f>
        <v>0</v>
      </c>
      <c r="AD42" s="3469">
        <f>入力2【名簿】!AE43</f>
        <v>0</v>
      </c>
      <c r="AE42" s="3471">
        <f>入力2【名簿】!AF43</f>
        <v>0</v>
      </c>
      <c r="AF42" s="3473">
        <f>入力2【名簿】!AG43</f>
        <v>0</v>
      </c>
      <c r="AG42" s="3474"/>
      <c r="AH42" s="3469">
        <f>入力2【名簿】!AI43</f>
        <v>0</v>
      </c>
      <c r="AI42" s="3469">
        <f>入力2【名簿】!AJ43</f>
        <v>0</v>
      </c>
      <c r="AJ42" s="3477">
        <f>入力2【名簿】!AK43</f>
        <v>0</v>
      </c>
      <c r="AK42" s="3478"/>
      <c r="AL42" s="3478"/>
      <c r="AM42" s="3478"/>
      <c r="AN42" s="3478"/>
      <c r="AO42" s="3479"/>
      <c r="AP42" s="3480">
        <f>入力2【名簿】!AO43</f>
        <v>0</v>
      </c>
      <c r="AQ42" s="3481"/>
      <c r="AR42" s="3481"/>
      <c r="AS42" s="3481"/>
      <c r="AT42" s="3482"/>
      <c r="AU42" s="113"/>
    </row>
    <row r="43" spans="2:47" ht="15" customHeight="1" thickBot="1" x14ac:dyDescent="0.2">
      <c r="B43" s="3500"/>
      <c r="C43" s="3503"/>
      <c r="D43" s="3504"/>
      <c r="E43" s="3506"/>
      <c r="F43" s="3508"/>
      <c r="G43" s="3510"/>
      <c r="H43" s="3475"/>
      <c r="I43" s="3476"/>
      <c r="J43" s="3470"/>
      <c r="K43" s="3472"/>
      <c r="L43" s="3475"/>
      <c r="M43" s="3512"/>
      <c r="N43" s="3470"/>
      <c r="O43" s="3470"/>
      <c r="P43" s="3472"/>
      <c r="Q43" s="3475"/>
      <c r="R43" s="3476"/>
      <c r="S43" s="3470"/>
      <c r="T43" s="3470"/>
      <c r="U43" s="3472"/>
      <c r="V43" s="3475"/>
      <c r="W43" s="3476"/>
      <c r="X43" s="3470"/>
      <c r="Y43" s="3470"/>
      <c r="Z43" s="3472"/>
      <c r="AA43" s="3475"/>
      <c r="AB43" s="3476"/>
      <c r="AC43" s="3470"/>
      <c r="AD43" s="3470"/>
      <c r="AE43" s="3472"/>
      <c r="AF43" s="3475"/>
      <c r="AG43" s="3476"/>
      <c r="AH43" s="3470"/>
      <c r="AI43" s="3470"/>
      <c r="AJ43" s="3488">
        <f>入力2【名簿】!AK44</f>
        <v>0</v>
      </c>
      <c r="AK43" s="3489"/>
      <c r="AL43" s="3489"/>
      <c r="AM43" s="3489"/>
      <c r="AN43" s="3489"/>
      <c r="AO43" s="3490"/>
      <c r="AP43" s="3483"/>
      <c r="AQ43" s="3484"/>
      <c r="AR43" s="3484"/>
      <c r="AS43" s="3484"/>
      <c r="AT43" s="3485"/>
      <c r="AU43" s="113"/>
    </row>
    <row r="44" spans="2:47" ht="46.5" customHeight="1" x14ac:dyDescent="0.15">
      <c r="B44" s="984"/>
      <c r="C44" s="985"/>
      <c r="D44" s="985"/>
      <c r="E44" s="986"/>
      <c r="F44" s="987"/>
      <c r="G44" s="987"/>
      <c r="H44" s="988"/>
      <c r="I44" s="988"/>
      <c r="J44" s="989"/>
      <c r="K44" s="989"/>
      <c r="L44" s="988"/>
      <c r="M44" s="988"/>
      <c r="N44" s="989"/>
      <c r="O44" s="989"/>
      <c r="P44" s="989"/>
      <c r="Q44" s="988"/>
      <c r="R44" s="988"/>
      <c r="S44" s="989"/>
      <c r="T44" s="989"/>
      <c r="U44" s="989"/>
      <c r="V44" s="988"/>
      <c r="W44" s="988"/>
      <c r="X44" s="989"/>
      <c r="Y44" s="989"/>
      <c r="Z44" s="989"/>
      <c r="AA44" s="988"/>
      <c r="AB44" s="988"/>
      <c r="AC44" s="989"/>
      <c r="AD44" s="989"/>
      <c r="AE44" s="989"/>
      <c r="AF44" s="988"/>
      <c r="AG44" s="988"/>
      <c r="AH44" s="989"/>
      <c r="AI44" s="989"/>
      <c r="AJ44" s="990"/>
      <c r="AK44" s="990"/>
      <c r="AL44" s="990"/>
      <c r="AM44" s="990"/>
      <c r="AN44" s="990"/>
      <c r="AO44" s="990"/>
      <c r="AP44" s="991"/>
      <c r="AQ44" s="991"/>
      <c r="AR44" s="991"/>
      <c r="AS44" s="991"/>
      <c r="AT44" s="991"/>
      <c r="AU44" s="113"/>
    </row>
    <row r="45" spans="2:47" ht="26.25" customHeight="1" x14ac:dyDescent="0.15">
      <c r="C45" s="3611" t="s">
        <v>245</v>
      </c>
      <c r="D45" s="3611"/>
      <c r="E45" s="3611"/>
      <c r="F45" s="3611"/>
      <c r="G45" s="3611"/>
      <c r="H45" s="3611"/>
      <c r="I45" s="3611"/>
      <c r="J45" s="3611"/>
      <c r="K45" s="3611"/>
      <c r="L45" s="3611"/>
      <c r="M45" s="3611"/>
      <c r="N45" s="3611"/>
      <c r="O45" s="3611"/>
      <c r="P45" s="3611"/>
      <c r="Q45" s="3611"/>
      <c r="R45" s="3611"/>
      <c r="S45" s="3611"/>
      <c r="T45" s="3611"/>
      <c r="U45" s="3611"/>
      <c r="V45" s="3611"/>
      <c r="W45" s="3611"/>
      <c r="X45" s="3611"/>
      <c r="Y45" s="3611"/>
      <c r="Z45" s="3611"/>
      <c r="AA45" s="914"/>
      <c r="AB45" s="914"/>
      <c r="AC45" s="914"/>
      <c r="AD45" s="914"/>
      <c r="AE45" s="914"/>
      <c r="AF45" s="914"/>
      <c r="AG45" s="914"/>
      <c r="AH45" s="914"/>
      <c r="AI45" s="914"/>
      <c r="AJ45" s="914"/>
      <c r="AK45" s="914"/>
      <c r="AL45" s="914"/>
      <c r="AM45" s="914"/>
      <c r="AN45" s="914"/>
      <c r="AP45" s="472"/>
      <c r="AQ45" s="3590" t="s">
        <v>172</v>
      </c>
      <c r="AR45" s="3590"/>
      <c r="AS45" s="3590">
        <v>2</v>
      </c>
      <c r="AT45" s="3590"/>
    </row>
    <row r="46" spans="2:47" ht="3.75" customHeight="1" thickBot="1" x14ac:dyDescent="0.2">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P46" s="472"/>
      <c r="AQ46" s="769"/>
      <c r="AR46" s="769"/>
      <c r="AS46" s="769"/>
      <c r="AT46" s="769"/>
    </row>
    <row r="47" spans="2:47" ht="15" customHeight="1" x14ac:dyDescent="0.15">
      <c r="B47" s="3548" t="s">
        <v>171</v>
      </c>
      <c r="C47" s="3549"/>
      <c r="D47" s="3552" t="str">
        <f>$D$4</f>
        <v xml:space="preserve"> </v>
      </c>
      <c r="E47" s="3552"/>
      <c r="F47" s="3552"/>
      <c r="G47" s="3552"/>
      <c r="H47" s="3552"/>
      <c r="I47" s="3552"/>
      <c r="J47" s="3552"/>
      <c r="K47" s="3552"/>
      <c r="L47" s="3552"/>
      <c r="M47" s="3552"/>
      <c r="N47" s="3552"/>
      <c r="O47" s="3552"/>
      <c r="P47" s="3552"/>
      <c r="Q47" s="3552"/>
      <c r="R47" s="3552"/>
      <c r="S47" s="3552"/>
      <c r="T47" s="3552"/>
      <c r="U47" s="3552"/>
      <c r="V47" s="3552"/>
      <c r="W47" s="3552"/>
      <c r="X47" s="3552"/>
      <c r="Y47" s="3552"/>
      <c r="Z47" s="3553"/>
      <c r="AA47" s="475"/>
      <c r="AB47" s="476"/>
      <c r="AC47" s="470"/>
      <c r="AD47" s="470"/>
      <c r="AE47" s="470"/>
      <c r="AF47" s="48"/>
      <c r="AG47" s="48"/>
      <c r="AJ47" s="48"/>
      <c r="AK47" s="48"/>
    </row>
    <row r="48" spans="2:47" ht="22.5" customHeight="1" x14ac:dyDescent="0.15">
      <c r="B48" s="3550"/>
      <c r="C48" s="3551"/>
      <c r="D48" s="3554"/>
      <c r="E48" s="3554"/>
      <c r="F48" s="3554"/>
      <c r="G48" s="3554"/>
      <c r="H48" s="3554"/>
      <c r="I48" s="3554"/>
      <c r="J48" s="3554"/>
      <c r="K48" s="3554"/>
      <c r="L48" s="3554"/>
      <c r="M48" s="3554"/>
      <c r="N48" s="3554"/>
      <c r="O48" s="3554"/>
      <c r="P48" s="3554"/>
      <c r="Q48" s="3554"/>
      <c r="R48" s="3554"/>
      <c r="S48" s="3554"/>
      <c r="T48" s="3554"/>
      <c r="U48" s="3554"/>
      <c r="V48" s="3554"/>
      <c r="W48" s="3554"/>
      <c r="X48" s="3554"/>
      <c r="Y48" s="3554"/>
      <c r="Z48" s="3555"/>
      <c r="AA48" s="475"/>
      <c r="AB48" s="477"/>
      <c r="AC48" s="470"/>
      <c r="AD48" s="470"/>
      <c r="AE48" s="470"/>
      <c r="AF48" s="470"/>
      <c r="AG48" s="48"/>
      <c r="AJ48" s="48"/>
      <c r="AK48" s="48"/>
    </row>
    <row r="49" spans="2:50" ht="24.75" customHeight="1" thickBot="1" x14ac:dyDescent="0.2">
      <c r="B49" s="3556" t="s">
        <v>170</v>
      </c>
      <c r="C49" s="3557"/>
      <c r="D49" s="3558">
        <f>$D$6</f>
        <v>0</v>
      </c>
      <c r="E49" s="3558"/>
      <c r="F49" s="486" t="s">
        <v>59</v>
      </c>
      <c r="G49" s="3558">
        <f>$G$6</f>
        <v>0</v>
      </c>
      <c r="H49" s="3558"/>
      <c r="I49" s="487" t="s">
        <v>60</v>
      </c>
      <c r="J49" s="3558">
        <f>$J$6</f>
        <v>0</v>
      </c>
      <c r="K49" s="3558"/>
      <c r="L49" s="487" t="s">
        <v>61</v>
      </c>
      <c r="M49" s="488" t="s">
        <v>95</v>
      </c>
      <c r="N49" s="487" t="str">
        <f>$N$6</f>
        <v/>
      </c>
      <c r="O49" s="487" t="s">
        <v>103</v>
      </c>
      <c r="P49" s="3559" t="s">
        <v>109</v>
      </c>
      <c r="Q49" s="3559"/>
      <c r="R49" s="3560" t="str">
        <f>$R$6</f>
        <v/>
      </c>
      <c r="S49" s="3560"/>
      <c r="T49" s="487" t="s">
        <v>60</v>
      </c>
      <c r="U49" s="3561" t="str">
        <f>$U$6</f>
        <v/>
      </c>
      <c r="V49" s="3561"/>
      <c r="W49" s="487" t="s">
        <v>61</v>
      </c>
      <c r="X49" s="488" t="s">
        <v>95</v>
      </c>
      <c r="Y49" s="489" t="str">
        <f>$Y$6</f>
        <v/>
      </c>
      <c r="Z49" s="490" t="s">
        <v>103</v>
      </c>
      <c r="AA49" s="480"/>
      <c r="AB49" s="48"/>
      <c r="AF49" s="48"/>
      <c r="AG49" s="48"/>
      <c r="AJ49" s="48"/>
      <c r="AK49" s="48"/>
    </row>
    <row r="50" spans="2:50" ht="13.5" customHeight="1" thickBot="1" x14ac:dyDescent="0.2">
      <c r="B50" s="481"/>
      <c r="C50" s="481"/>
      <c r="D50" s="482"/>
      <c r="E50" s="482"/>
      <c r="F50" s="482"/>
      <c r="G50" s="482"/>
      <c r="H50" s="482"/>
      <c r="I50" s="482"/>
      <c r="J50" s="482"/>
      <c r="K50" s="482"/>
      <c r="L50" s="482"/>
      <c r="M50" s="482"/>
      <c r="N50" s="482"/>
      <c r="O50" s="482"/>
      <c r="P50" s="482"/>
      <c r="Q50" s="482"/>
      <c r="R50" s="482"/>
      <c r="S50" s="482"/>
      <c r="T50" s="482"/>
      <c r="U50" s="482"/>
      <c r="V50" s="482"/>
      <c r="W50" s="482"/>
      <c r="X50" s="483"/>
      <c r="Y50" s="483"/>
      <c r="Z50" s="483"/>
      <c r="AA50" s="484"/>
      <c r="AB50" s="48"/>
      <c r="AF50" s="48"/>
      <c r="AG50" s="48"/>
      <c r="AJ50" s="48"/>
      <c r="AK50" s="48"/>
    </row>
    <row r="51" spans="2:50" ht="15" customHeight="1" x14ac:dyDescent="0.15">
      <c r="B51" s="3562" t="s">
        <v>247</v>
      </c>
      <c r="C51" s="3565" t="s">
        <v>164</v>
      </c>
      <c r="D51" s="2174"/>
      <c r="E51" s="2177" t="s">
        <v>301</v>
      </c>
      <c r="F51" s="2333" t="s">
        <v>163</v>
      </c>
      <c r="G51" s="2334"/>
      <c r="H51" s="3568" t="s">
        <v>162</v>
      </c>
      <c r="I51" s="3569"/>
      <c r="J51" s="3569"/>
      <c r="K51" s="3570"/>
      <c r="L51" s="3568" t="s">
        <v>161</v>
      </c>
      <c r="M51" s="3569"/>
      <c r="N51" s="3569"/>
      <c r="O51" s="3569"/>
      <c r="P51" s="3570"/>
      <c r="Q51" s="3568" t="s">
        <v>160</v>
      </c>
      <c r="R51" s="3569"/>
      <c r="S51" s="3569"/>
      <c r="T51" s="3569"/>
      <c r="U51" s="3570"/>
      <c r="V51" s="3568" t="s">
        <v>213</v>
      </c>
      <c r="W51" s="3569"/>
      <c r="X51" s="3569"/>
      <c r="Y51" s="3569"/>
      <c r="Z51" s="3570"/>
      <c r="AA51" s="3568" t="s">
        <v>214</v>
      </c>
      <c r="AB51" s="3569"/>
      <c r="AC51" s="3569"/>
      <c r="AD51" s="3569"/>
      <c r="AE51" s="3570"/>
      <c r="AF51" s="3568" t="s">
        <v>215</v>
      </c>
      <c r="AG51" s="3569"/>
      <c r="AH51" s="3569"/>
      <c r="AI51" s="3569"/>
      <c r="AJ51" s="3605" t="s">
        <v>391</v>
      </c>
      <c r="AK51" s="3606"/>
      <c r="AL51" s="3606"/>
      <c r="AM51" s="3606"/>
      <c r="AN51" s="3606"/>
      <c r="AO51" s="3607"/>
      <c r="AP51" s="3605" t="s">
        <v>159</v>
      </c>
      <c r="AQ51" s="3606"/>
      <c r="AR51" s="3606"/>
      <c r="AS51" s="3606"/>
      <c r="AT51" s="3607"/>
      <c r="AU51" s="117"/>
      <c r="AW51" s="474"/>
      <c r="AX51" s="474"/>
    </row>
    <row r="52" spans="2:50" ht="26.25" customHeight="1" x14ac:dyDescent="0.15">
      <c r="B52" s="3563"/>
      <c r="C52" s="3566"/>
      <c r="D52" s="2175"/>
      <c r="E52" s="2178"/>
      <c r="F52" s="2335"/>
      <c r="G52" s="2187"/>
      <c r="H52" s="3571" t="str">
        <f>$H$9</f>
        <v/>
      </c>
      <c r="I52" s="3572"/>
      <c r="J52" s="3572"/>
      <c r="K52" s="3573"/>
      <c r="L52" s="3574" t="str">
        <f>$L$9</f>
        <v/>
      </c>
      <c r="M52" s="3575"/>
      <c r="N52" s="3575"/>
      <c r="O52" s="3575"/>
      <c r="P52" s="3576"/>
      <c r="Q52" s="3574" t="str">
        <f>$Q$9</f>
        <v/>
      </c>
      <c r="R52" s="3575"/>
      <c r="S52" s="3575"/>
      <c r="T52" s="3575"/>
      <c r="U52" s="3576"/>
      <c r="V52" s="3574" t="str">
        <f>$V$9</f>
        <v/>
      </c>
      <c r="W52" s="3575"/>
      <c r="X52" s="3575"/>
      <c r="Y52" s="3575"/>
      <c r="Z52" s="3576"/>
      <c r="AA52" s="3574" t="str">
        <f>$AA$9</f>
        <v/>
      </c>
      <c r="AB52" s="3575"/>
      <c r="AC52" s="3575"/>
      <c r="AD52" s="3575"/>
      <c r="AE52" s="3576"/>
      <c r="AF52" s="3574" t="str">
        <f>$AF$9</f>
        <v/>
      </c>
      <c r="AG52" s="3575"/>
      <c r="AH52" s="3575"/>
      <c r="AI52" s="3575"/>
      <c r="AJ52" s="3594" t="s">
        <v>394</v>
      </c>
      <c r="AK52" s="3595"/>
      <c r="AL52" s="3595"/>
      <c r="AM52" s="3595"/>
      <c r="AN52" s="3595"/>
      <c r="AO52" s="3596"/>
      <c r="AP52" s="3591" t="s">
        <v>395</v>
      </c>
      <c r="AQ52" s="3592"/>
      <c r="AR52" s="3592"/>
      <c r="AS52" s="3592"/>
      <c r="AT52" s="3593"/>
      <c r="AU52" s="116"/>
    </row>
    <row r="53" spans="2:50" ht="16.5" customHeight="1" x14ac:dyDescent="0.15">
      <c r="B53" s="3563"/>
      <c r="C53" s="3566"/>
      <c r="D53" s="2175"/>
      <c r="E53" s="2178"/>
      <c r="F53" s="3577" t="s">
        <v>77</v>
      </c>
      <c r="G53" s="3579" t="s">
        <v>78</v>
      </c>
      <c r="H53" s="2189" t="s">
        <v>173</v>
      </c>
      <c r="I53" s="3581"/>
      <c r="J53" s="3583" t="s">
        <v>158</v>
      </c>
      <c r="K53" s="3584"/>
      <c r="L53" s="2189" t="s">
        <v>173</v>
      </c>
      <c r="M53" s="3581"/>
      <c r="N53" s="3583" t="s">
        <v>157</v>
      </c>
      <c r="O53" s="3586"/>
      <c r="P53" s="3584"/>
      <c r="Q53" s="2189" t="s">
        <v>173</v>
      </c>
      <c r="R53" s="3581"/>
      <c r="S53" s="3583" t="s">
        <v>157</v>
      </c>
      <c r="T53" s="3586"/>
      <c r="U53" s="3584"/>
      <c r="V53" s="2189" t="s">
        <v>173</v>
      </c>
      <c r="W53" s="3581"/>
      <c r="X53" s="3583" t="s">
        <v>157</v>
      </c>
      <c r="Y53" s="3586"/>
      <c r="Z53" s="3584"/>
      <c r="AA53" s="2189" t="s">
        <v>173</v>
      </c>
      <c r="AB53" s="3581"/>
      <c r="AC53" s="3583" t="s">
        <v>157</v>
      </c>
      <c r="AD53" s="3586"/>
      <c r="AE53" s="3584"/>
      <c r="AF53" s="2189" t="s">
        <v>173</v>
      </c>
      <c r="AG53" s="3581"/>
      <c r="AH53" s="3583" t="s">
        <v>157</v>
      </c>
      <c r="AI53" s="3586"/>
      <c r="AJ53" s="3594"/>
      <c r="AK53" s="3595"/>
      <c r="AL53" s="3595"/>
      <c r="AM53" s="3595"/>
      <c r="AN53" s="3595"/>
      <c r="AO53" s="3596"/>
      <c r="AP53" s="3594"/>
      <c r="AQ53" s="3595"/>
      <c r="AR53" s="3595"/>
      <c r="AS53" s="3595"/>
      <c r="AT53" s="3596"/>
      <c r="AU53" s="115"/>
    </row>
    <row r="54" spans="2:50" ht="19.5" customHeight="1" thickBot="1" x14ac:dyDescent="0.2">
      <c r="B54" s="3564"/>
      <c r="C54" s="3567"/>
      <c r="D54" s="2176"/>
      <c r="E54" s="2179"/>
      <c r="F54" s="3578"/>
      <c r="G54" s="3580"/>
      <c r="H54" s="2193"/>
      <c r="I54" s="3582"/>
      <c r="J54" s="496" t="s">
        <v>150</v>
      </c>
      <c r="K54" s="495" t="s">
        <v>243</v>
      </c>
      <c r="L54" s="2193"/>
      <c r="M54" s="3585"/>
      <c r="N54" s="496" t="s">
        <v>151</v>
      </c>
      <c r="O54" s="496" t="s">
        <v>150</v>
      </c>
      <c r="P54" s="495" t="s">
        <v>243</v>
      </c>
      <c r="Q54" s="2193"/>
      <c r="R54" s="3582"/>
      <c r="S54" s="496" t="s">
        <v>151</v>
      </c>
      <c r="T54" s="496" t="s">
        <v>150</v>
      </c>
      <c r="U54" s="495" t="s">
        <v>243</v>
      </c>
      <c r="V54" s="2193"/>
      <c r="W54" s="3582"/>
      <c r="X54" s="496" t="s">
        <v>151</v>
      </c>
      <c r="Y54" s="496" t="s">
        <v>150</v>
      </c>
      <c r="Z54" s="495" t="s">
        <v>243</v>
      </c>
      <c r="AA54" s="2193"/>
      <c r="AB54" s="3582"/>
      <c r="AC54" s="496" t="s">
        <v>151</v>
      </c>
      <c r="AD54" s="496" t="s">
        <v>150</v>
      </c>
      <c r="AE54" s="495" t="s">
        <v>243</v>
      </c>
      <c r="AF54" s="2193"/>
      <c r="AG54" s="3582"/>
      <c r="AH54" s="496" t="s">
        <v>151</v>
      </c>
      <c r="AI54" s="496" t="s">
        <v>150</v>
      </c>
      <c r="AJ54" s="3597"/>
      <c r="AK54" s="3598"/>
      <c r="AL54" s="3598"/>
      <c r="AM54" s="3598"/>
      <c r="AN54" s="3598"/>
      <c r="AO54" s="3599"/>
      <c r="AP54" s="3597"/>
      <c r="AQ54" s="3598"/>
      <c r="AR54" s="3598"/>
      <c r="AS54" s="3598"/>
      <c r="AT54" s="3599"/>
      <c r="AU54" s="114"/>
    </row>
    <row r="55" spans="2:50" ht="15" customHeight="1" x14ac:dyDescent="0.15">
      <c r="B55" s="3532" t="s">
        <v>156</v>
      </c>
      <c r="C55" s="3534" t="s">
        <v>155</v>
      </c>
      <c r="D55" s="3535"/>
      <c r="E55" s="3538" t="s">
        <v>154</v>
      </c>
      <c r="F55" s="3540" t="s">
        <v>97</v>
      </c>
      <c r="G55" s="3542"/>
      <c r="H55" s="3524" t="s">
        <v>152</v>
      </c>
      <c r="I55" s="3525"/>
      <c r="J55" s="3520" t="s">
        <v>97</v>
      </c>
      <c r="K55" s="3522" t="s">
        <v>97</v>
      </c>
      <c r="L55" s="3524" t="s">
        <v>152</v>
      </c>
      <c r="M55" s="3544"/>
      <c r="N55" s="3520" t="s">
        <v>97</v>
      </c>
      <c r="O55" s="3520" t="s">
        <v>97</v>
      </c>
      <c r="P55" s="3522" t="s">
        <v>97</v>
      </c>
      <c r="Q55" s="2323" t="s">
        <v>369</v>
      </c>
      <c r="R55" s="3528"/>
      <c r="S55" s="3520" t="s">
        <v>97</v>
      </c>
      <c r="T55" s="3530"/>
      <c r="U55" s="3546"/>
      <c r="V55" s="3524"/>
      <c r="W55" s="3525"/>
      <c r="X55" s="3520"/>
      <c r="Y55" s="3520"/>
      <c r="Z55" s="3522"/>
      <c r="AA55" s="3524"/>
      <c r="AB55" s="3525"/>
      <c r="AC55" s="3520"/>
      <c r="AD55" s="3520"/>
      <c r="AE55" s="3522"/>
      <c r="AF55" s="2323"/>
      <c r="AG55" s="3528"/>
      <c r="AH55" s="3520"/>
      <c r="AI55" s="3530"/>
      <c r="AJ55" s="2261" t="s">
        <v>386</v>
      </c>
      <c r="AK55" s="2262"/>
      <c r="AL55" s="2262"/>
      <c r="AM55" s="2262"/>
      <c r="AN55" s="2262"/>
      <c r="AO55" s="2263"/>
      <c r="AP55" s="2255" t="s">
        <v>302</v>
      </c>
      <c r="AQ55" s="2256"/>
      <c r="AR55" s="2256"/>
      <c r="AS55" s="2256"/>
      <c r="AT55" s="2257"/>
      <c r="AU55" s="113"/>
    </row>
    <row r="56" spans="2:50" ht="15" customHeight="1" x14ac:dyDescent="0.15">
      <c r="B56" s="3533"/>
      <c r="C56" s="3536"/>
      <c r="D56" s="3537"/>
      <c r="E56" s="3539"/>
      <c r="F56" s="3541"/>
      <c r="G56" s="3543"/>
      <c r="H56" s="3526"/>
      <c r="I56" s="3527"/>
      <c r="J56" s="3521"/>
      <c r="K56" s="3523"/>
      <c r="L56" s="3526"/>
      <c r="M56" s="3545"/>
      <c r="N56" s="3521"/>
      <c r="O56" s="3521"/>
      <c r="P56" s="3523"/>
      <c r="Q56" s="2325"/>
      <c r="R56" s="3529"/>
      <c r="S56" s="3521"/>
      <c r="T56" s="3531"/>
      <c r="U56" s="3547"/>
      <c r="V56" s="3526"/>
      <c r="W56" s="3527"/>
      <c r="X56" s="3521"/>
      <c r="Y56" s="3521"/>
      <c r="Z56" s="3523"/>
      <c r="AA56" s="3526"/>
      <c r="AB56" s="3527"/>
      <c r="AC56" s="3521"/>
      <c r="AD56" s="3521"/>
      <c r="AE56" s="3523"/>
      <c r="AF56" s="2325"/>
      <c r="AG56" s="3529"/>
      <c r="AH56" s="3521"/>
      <c r="AI56" s="3531"/>
      <c r="AJ56" s="2264" t="s">
        <v>387</v>
      </c>
      <c r="AK56" s="2265"/>
      <c r="AL56" s="2265"/>
      <c r="AM56" s="2265"/>
      <c r="AN56" s="2265"/>
      <c r="AO56" s="2266"/>
      <c r="AP56" s="2258"/>
      <c r="AQ56" s="2259"/>
      <c r="AR56" s="2259"/>
      <c r="AS56" s="2259"/>
      <c r="AT56" s="2260"/>
      <c r="AU56" s="113"/>
    </row>
    <row r="57" spans="2:50" ht="15" customHeight="1" x14ac:dyDescent="0.15">
      <c r="B57" s="3499">
        <v>16</v>
      </c>
      <c r="C57" s="3501">
        <f>入力2【名簿】!D45</f>
        <v>0</v>
      </c>
      <c r="D57" s="3502"/>
      <c r="E57" s="3505">
        <f>入力2【名簿】!E45</f>
        <v>0</v>
      </c>
      <c r="F57" s="3507">
        <f>入力2【名簿】!G45</f>
        <v>0</v>
      </c>
      <c r="G57" s="3509">
        <f>入力2【名簿】!H45</f>
        <v>0</v>
      </c>
      <c r="H57" s="3473">
        <f>入力2【名簿】!I45</f>
        <v>0</v>
      </c>
      <c r="I57" s="3474"/>
      <c r="J57" s="3469">
        <f>入力2【名簿】!K45</f>
        <v>0</v>
      </c>
      <c r="K57" s="3471">
        <f>入力2【名簿】!L45</f>
        <v>0</v>
      </c>
      <c r="L57" s="3473">
        <f>入力2【名簿】!M45</f>
        <v>0</v>
      </c>
      <c r="M57" s="3511"/>
      <c r="N57" s="3469">
        <f>入力2【名簿】!O45</f>
        <v>0</v>
      </c>
      <c r="O57" s="3469">
        <f>入力2【名簿】!P45</f>
        <v>0</v>
      </c>
      <c r="P57" s="3471">
        <f>入力2【名簿】!Q45</f>
        <v>0</v>
      </c>
      <c r="Q57" s="3473">
        <f>入力2【名簿】!R45</f>
        <v>0</v>
      </c>
      <c r="R57" s="3474"/>
      <c r="S57" s="3469">
        <f>入力2【名簿】!T45</f>
        <v>0</v>
      </c>
      <c r="T57" s="3469">
        <f>入力2【名簿】!U45</f>
        <v>0</v>
      </c>
      <c r="U57" s="3471">
        <f>入力2【名簿】!V45</f>
        <v>0</v>
      </c>
      <c r="V57" s="3473">
        <f>入力2【名簿】!W45</f>
        <v>0</v>
      </c>
      <c r="W57" s="3474"/>
      <c r="X57" s="3469">
        <f>入力2【名簿】!Y45</f>
        <v>0</v>
      </c>
      <c r="Y57" s="3469">
        <f>入力2【名簿】!Z45</f>
        <v>0</v>
      </c>
      <c r="Z57" s="3471">
        <f>入力2【名簿】!AA45</f>
        <v>0</v>
      </c>
      <c r="AA57" s="3473">
        <f>入力2【名簿】!AB45</f>
        <v>0</v>
      </c>
      <c r="AB57" s="3474"/>
      <c r="AC57" s="3469">
        <f>入力2【名簿】!AD45</f>
        <v>0</v>
      </c>
      <c r="AD57" s="3469">
        <f>入力2【名簿】!AE45</f>
        <v>0</v>
      </c>
      <c r="AE57" s="3471">
        <f>入力2【名簿】!AF45</f>
        <v>0</v>
      </c>
      <c r="AF57" s="3473">
        <f>入力2【名簿】!AG45</f>
        <v>0</v>
      </c>
      <c r="AG57" s="3474"/>
      <c r="AH57" s="3469">
        <f>入力2【名簿】!AI45</f>
        <v>0</v>
      </c>
      <c r="AI57" s="3469">
        <f>入力2【名簿】!AJ45</f>
        <v>0</v>
      </c>
      <c r="AJ57" s="3477">
        <f>入力2【名簿】!AK45</f>
        <v>0</v>
      </c>
      <c r="AK57" s="3478"/>
      <c r="AL57" s="3478"/>
      <c r="AM57" s="3478"/>
      <c r="AN57" s="3478"/>
      <c r="AO57" s="3479"/>
      <c r="AP57" s="3480">
        <f>入力2【名簿】!AO45</f>
        <v>0</v>
      </c>
      <c r="AQ57" s="3481"/>
      <c r="AR57" s="3481"/>
      <c r="AS57" s="3481"/>
      <c r="AT57" s="3482"/>
      <c r="AU57" s="113"/>
    </row>
    <row r="58" spans="2:50" ht="15" customHeight="1" x14ac:dyDescent="0.15">
      <c r="B58" s="3513"/>
      <c r="C58" s="3514"/>
      <c r="D58" s="3515"/>
      <c r="E58" s="3516"/>
      <c r="F58" s="3517"/>
      <c r="G58" s="3518"/>
      <c r="H58" s="3486"/>
      <c r="I58" s="3487"/>
      <c r="J58" s="3497"/>
      <c r="K58" s="3498"/>
      <c r="L58" s="3486"/>
      <c r="M58" s="3519"/>
      <c r="N58" s="3497"/>
      <c r="O58" s="3497"/>
      <c r="P58" s="3498"/>
      <c r="Q58" s="3486"/>
      <c r="R58" s="3487"/>
      <c r="S58" s="3497"/>
      <c r="T58" s="3497"/>
      <c r="U58" s="3498"/>
      <c r="V58" s="3486"/>
      <c r="W58" s="3487"/>
      <c r="X58" s="3497"/>
      <c r="Y58" s="3497"/>
      <c r="Z58" s="3498"/>
      <c r="AA58" s="3486"/>
      <c r="AB58" s="3487"/>
      <c r="AC58" s="3497"/>
      <c r="AD58" s="3497"/>
      <c r="AE58" s="3498"/>
      <c r="AF58" s="3486"/>
      <c r="AG58" s="3487"/>
      <c r="AH58" s="3497"/>
      <c r="AI58" s="3497"/>
      <c r="AJ58" s="3494">
        <f>入力2【名簿】!AK46</f>
        <v>0</v>
      </c>
      <c r="AK58" s="3495"/>
      <c r="AL58" s="3495"/>
      <c r="AM58" s="3495"/>
      <c r="AN58" s="3495"/>
      <c r="AO58" s="3496"/>
      <c r="AP58" s="3491"/>
      <c r="AQ58" s="3492"/>
      <c r="AR58" s="3492"/>
      <c r="AS58" s="3492"/>
      <c r="AT58" s="3493"/>
      <c r="AU58" s="113"/>
    </row>
    <row r="59" spans="2:50" ht="15" customHeight="1" x14ac:dyDescent="0.15">
      <c r="B59" s="3499">
        <v>17</v>
      </c>
      <c r="C59" s="3501">
        <f>入力2【名簿】!D47</f>
        <v>0</v>
      </c>
      <c r="D59" s="3502"/>
      <c r="E59" s="3505">
        <f>入力2【名簿】!E47</f>
        <v>0</v>
      </c>
      <c r="F59" s="3507">
        <f>入力2【名簿】!G47</f>
        <v>0</v>
      </c>
      <c r="G59" s="3509">
        <f>入力2【名簿】!H47</f>
        <v>0</v>
      </c>
      <c r="H59" s="3473">
        <f>入力2【名簿】!I47</f>
        <v>0</v>
      </c>
      <c r="I59" s="3474"/>
      <c r="J59" s="3469">
        <f>入力2【名簿】!K47</f>
        <v>0</v>
      </c>
      <c r="K59" s="3471">
        <f>入力2【名簿】!L47</f>
        <v>0</v>
      </c>
      <c r="L59" s="3473">
        <f>入力2【名簿】!M47</f>
        <v>0</v>
      </c>
      <c r="M59" s="3511"/>
      <c r="N59" s="3469">
        <f>入力2【名簿】!O47</f>
        <v>0</v>
      </c>
      <c r="O59" s="3469">
        <f>入力2【名簿】!P47</f>
        <v>0</v>
      </c>
      <c r="P59" s="3471">
        <f>入力2【名簿】!Q47</f>
        <v>0</v>
      </c>
      <c r="Q59" s="3473">
        <f>入力2【名簿】!R47</f>
        <v>0</v>
      </c>
      <c r="R59" s="3474"/>
      <c r="S59" s="3469">
        <f>入力2【名簿】!T47</f>
        <v>0</v>
      </c>
      <c r="T59" s="3469">
        <f>入力2【名簿】!U47</f>
        <v>0</v>
      </c>
      <c r="U59" s="3471">
        <f>入力2【名簿】!V47</f>
        <v>0</v>
      </c>
      <c r="V59" s="3473">
        <f>入力2【名簿】!W47</f>
        <v>0</v>
      </c>
      <c r="W59" s="3474"/>
      <c r="X59" s="3469">
        <f>入力2【名簿】!Y47</f>
        <v>0</v>
      </c>
      <c r="Y59" s="3469">
        <f>入力2【名簿】!Z47</f>
        <v>0</v>
      </c>
      <c r="Z59" s="3471">
        <f>入力2【名簿】!AA47</f>
        <v>0</v>
      </c>
      <c r="AA59" s="3473">
        <f>入力2【名簿】!AB47</f>
        <v>0</v>
      </c>
      <c r="AB59" s="3474"/>
      <c r="AC59" s="3469">
        <f>入力2【名簿】!AD47</f>
        <v>0</v>
      </c>
      <c r="AD59" s="3469">
        <f>入力2【名簿】!AE47</f>
        <v>0</v>
      </c>
      <c r="AE59" s="3471">
        <f>入力2【名簿】!AF47</f>
        <v>0</v>
      </c>
      <c r="AF59" s="3473">
        <f>入力2【名簿】!AG47</f>
        <v>0</v>
      </c>
      <c r="AG59" s="3474"/>
      <c r="AH59" s="3469">
        <f>入力2【名簿】!AI47</f>
        <v>0</v>
      </c>
      <c r="AI59" s="3469">
        <f>入力2【名簿】!AJ47</f>
        <v>0</v>
      </c>
      <c r="AJ59" s="3477">
        <f>入力2【名簿】!AK47</f>
        <v>0</v>
      </c>
      <c r="AK59" s="3478"/>
      <c r="AL59" s="3478"/>
      <c r="AM59" s="3478"/>
      <c r="AN59" s="3478"/>
      <c r="AO59" s="3479"/>
      <c r="AP59" s="3480">
        <f>入力2【名簿】!AO47</f>
        <v>0</v>
      </c>
      <c r="AQ59" s="3481"/>
      <c r="AR59" s="3481"/>
      <c r="AS59" s="3481"/>
      <c r="AT59" s="3482"/>
      <c r="AU59" s="113"/>
    </row>
    <row r="60" spans="2:50" ht="15" customHeight="1" x14ac:dyDescent="0.15">
      <c r="B60" s="3513"/>
      <c r="C60" s="3514"/>
      <c r="D60" s="3515"/>
      <c r="E60" s="3516"/>
      <c r="F60" s="3517"/>
      <c r="G60" s="3518"/>
      <c r="H60" s="3486"/>
      <c r="I60" s="3487"/>
      <c r="J60" s="3497"/>
      <c r="K60" s="3498"/>
      <c r="L60" s="3486"/>
      <c r="M60" s="3519"/>
      <c r="N60" s="3497"/>
      <c r="O60" s="3497"/>
      <c r="P60" s="3498"/>
      <c r="Q60" s="3486"/>
      <c r="R60" s="3487"/>
      <c r="S60" s="3497"/>
      <c r="T60" s="3497"/>
      <c r="U60" s="3498"/>
      <c r="V60" s="3486"/>
      <c r="W60" s="3487"/>
      <c r="X60" s="3497"/>
      <c r="Y60" s="3497"/>
      <c r="Z60" s="3498"/>
      <c r="AA60" s="3486"/>
      <c r="AB60" s="3487"/>
      <c r="AC60" s="3497"/>
      <c r="AD60" s="3497"/>
      <c r="AE60" s="3498"/>
      <c r="AF60" s="3486"/>
      <c r="AG60" s="3487"/>
      <c r="AH60" s="3497"/>
      <c r="AI60" s="3497"/>
      <c r="AJ60" s="3494">
        <f>入力2【名簿】!AK48</f>
        <v>0</v>
      </c>
      <c r="AK60" s="3495"/>
      <c r="AL60" s="3495"/>
      <c r="AM60" s="3495"/>
      <c r="AN60" s="3495"/>
      <c r="AO60" s="3496"/>
      <c r="AP60" s="3491"/>
      <c r="AQ60" s="3492"/>
      <c r="AR60" s="3492"/>
      <c r="AS60" s="3492"/>
      <c r="AT60" s="3493"/>
      <c r="AU60" s="113"/>
    </row>
    <row r="61" spans="2:50" ht="15" customHeight="1" x14ac:dyDescent="0.15">
      <c r="B61" s="3499">
        <v>18</v>
      </c>
      <c r="C61" s="3501">
        <f>入力2【名簿】!D49</f>
        <v>0</v>
      </c>
      <c r="D61" s="3502"/>
      <c r="E61" s="3505">
        <f>入力2【名簿】!E49</f>
        <v>0</v>
      </c>
      <c r="F61" s="3507">
        <f>入力2【名簿】!G49</f>
        <v>0</v>
      </c>
      <c r="G61" s="3509">
        <f>入力2【名簿】!H49</f>
        <v>0</v>
      </c>
      <c r="H61" s="3473">
        <f>入力2【名簿】!I49</f>
        <v>0</v>
      </c>
      <c r="I61" s="3474"/>
      <c r="J61" s="3469">
        <f>入力2【名簿】!K49</f>
        <v>0</v>
      </c>
      <c r="K61" s="3471">
        <f>入力2【名簿】!L49</f>
        <v>0</v>
      </c>
      <c r="L61" s="3473">
        <f>入力2【名簿】!M49</f>
        <v>0</v>
      </c>
      <c r="M61" s="3511"/>
      <c r="N61" s="3469">
        <f>入力2【名簿】!O49</f>
        <v>0</v>
      </c>
      <c r="O61" s="3469">
        <f>入力2【名簿】!P49</f>
        <v>0</v>
      </c>
      <c r="P61" s="3471">
        <f>入力2【名簿】!Q49</f>
        <v>0</v>
      </c>
      <c r="Q61" s="3473">
        <f>入力2【名簿】!R49</f>
        <v>0</v>
      </c>
      <c r="R61" s="3474"/>
      <c r="S61" s="3469">
        <f>入力2【名簿】!T49</f>
        <v>0</v>
      </c>
      <c r="T61" s="3469">
        <f>入力2【名簿】!U49</f>
        <v>0</v>
      </c>
      <c r="U61" s="3471">
        <f>入力2【名簿】!V49</f>
        <v>0</v>
      </c>
      <c r="V61" s="3473">
        <f>入力2【名簿】!W49</f>
        <v>0</v>
      </c>
      <c r="W61" s="3474"/>
      <c r="X61" s="3469">
        <f>入力2【名簿】!Y49</f>
        <v>0</v>
      </c>
      <c r="Y61" s="3469">
        <f>入力2【名簿】!Z49</f>
        <v>0</v>
      </c>
      <c r="Z61" s="3471">
        <f>入力2【名簿】!AA49</f>
        <v>0</v>
      </c>
      <c r="AA61" s="3473">
        <f>入力2【名簿】!AB49</f>
        <v>0</v>
      </c>
      <c r="AB61" s="3474"/>
      <c r="AC61" s="3469">
        <f>入力2【名簿】!AD49</f>
        <v>0</v>
      </c>
      <c r="AD61" s="3469">
        <f>入力2【名簿】!AE49</f>
        <v>0</v>
      </c>
      <c r="AE61" s="3471">
        <f>入力2【名簿】!AF49</f>
        <v>0</v>
      </c>
      <c r="AF61" s="3473">
        <f>入力2【名簿】!AG49</f>
        <v>0</v>
      </c>
      <c r="AG61" s="3474"/>
      <c r="AH61" s="3469">
        <f>入力2【名簿】!AI49</f>
        <v>0</v>
      </c>
      <c r="AI61" s="3469">
        <f>入力2【名簿】!AJ49</f>
        <v>0</v>
      </c>
      <c r="AJ61" s="3477">
        <f>入力2【名簿】!AK49</f>
        <v>0</v>
      </c>
      <c r="AK61" s="3478"/>
      <c r="AL61" s="3478"/>
      <c r="AM61" s="3478"/>
      <c r="AN61" s="3478"/>
      <c r="AO61" s="3479"/>
      <c r="AP61" s="3480">
        <f>入力2【名簿】!AO49</f>
        <v>0</v>
      </c>
      <c r="AQ61" s="3481"/>
      <c r="AR61" s="3481"/>
      <c r="AS61" s="3481"/>
      <c r="AT61" s="3482"/>
      <c r="AU61" s="113"/>
    </row>
    <row r="62" spans="2:50" ht="15" customHeight="1" x14ac:dyDescent="0.15">
      <c r="B62" s="3513"/>
      <c r="C62" s="3514"/>
      <c r="D62" s="3515"/>
      <c r="E62" s="3516"/>
      <c r="F62" s="3517"/>
      <c r="G62" s="3518"/>
      <c r="H62" s="3486"/>
      <c r="I62" s="3487"/>
      <c r="J62" s="3497"/>
      <c r="K62" s="3498"/>
      <c r="L62" s="3486"/>
      <c r="M62" s="3519"/>
      <c r="N62" s="3497"/>
      <c r="O62" s="3497"/>
      <c r="P62" s="3498"/>
      <c r="Q62" s="3486"/>
      <c r="R62" s="3487"/>
      <c r="S62" s="3497"/>
      <c r="T62" s="3497"/>
      <c r="U62" s="3498"/>
      <c r="V62" s="3486"/>
      <c r="W62" s="3487"/>
      <c r="X62" s="3497"/>
      <c r="Y62" s="3497"/>
      <c r="Z62" s="3498"/>
      <c r="AA62" s="3486"/>
      <c r="AB62" s="3487"/>
      <c r="AC62" s="3497"/>
      <c r="AD62" s="3497"/>
      <c r="AE62" s="3498"/>
      <c r="AF62" s="3486"/>
      <c r="AG62" s="3487"/>
      <c r="AH62" s="3497"/>
      <c r="AI62" s="3497"/>
      <c r="AJ62" s="3494">
        <f>入力2【名簿】!AK50</f>
        <v>0</v>
      </c>
      <c r="AK62" s="3495"/>
      <c r="AL62" s="3495"/>
      <c r="AM62" s="3495"/>
      <c r="AN62" s="3495"/>
      <c r="AO62" s="3496"/>
      <c r="AP62" s="3491"/>
      <c r="AQ62" s="3492"/>
      <c r="AR62" s="3492"/>
      <c r="AS62" s="3492"/>
      <c r="AT62" s="3493"/>
      <c r="AU62" s="113"/>
    </row>
    <row r="63" spans="2:50" ht="15" customHeight="1" x14ac:dyDescent="0.15">
      <c r="B63" s="3499">
        <v>19</v>
      </c>
      <c r="C63" s="3501">
        <f>入力2【名簿】!D51</f>
        <v>0</v>
      </c>
      <c r="D63" s="3502"/>
      <c r="E63" s="3505">
        <f>入力2【名簿】!E51</f>
        <v>0</v>
      </c>
      <c r="F63" s="3507">
        <f>入力2【名簿】!G51</f>
        <v>0</v>
      </c>
      <c r="G63" s="3509">
        <f>入力2【名簿】!H51</f>
        <v>0</v>
      </c>
      <c r="H63" s="3473">
        <f>入力2【名簿】!I51</f>
        <v>0</v>
      </c>
      <c r="I63" s="3474"/>
      <c r="J63" s="3469">
        <f>入力2【名簿】!K51</f>
        <v>0</v>
      </c>
      <c r="K63" s="3471">
        <f>入力2【名簿】!L51</f>
        <v>0</v>
      </c>
      <c r="L63" s="3473">
        <f>入力2【名簿】!M51</f>
        <v>0</v>
      </c>
      <c r="M63" s="3511"/>
      <c r="N63" s="3469">
        <f>入力2【名簿】!O51</f>
        <v>0</v>
      </c>
      <c r="O63" s="3469">
        <f>入力2【名簿】!P51</f>
        <v>0</v>
      </c>
      <c r="P63" s="3471">
        <f>入力2【名簿】!Q51</f>
        <v>0</v>
      </c>
      <c r="Q63" s="3473">
        <f>入力2【名簿】!R51</f>
        <v>0</v>
      </c>
      <c r="R63" s="3474"/>
      <c r="S63" s="3469">
        <f>入力2【名簿】!T51</f>
        <v>0</v>
      </c>
      <c r="T63" s="3469">
        <f>入力2【名簿】!U51</f>
        <v>0</v>
      </c>
      <c r="U63" s="3471">
        <f>入力2【名簿】!V51</f>
        <v>0</v>
      </c>
      <c r="V63" s="3473">
        <f>入力2【名簿】!W51</f>
        <v>0</v>
      </c>
      <c r="W63" s="3474"/>
      <c r="X63" s="3469">
        <f>入力2【名簿】!Y51</f>
        <v>0</v>
      </c>
      <c r="Y63" s="3469">
        <f>入力2【名簿】!Z51</f>
        <v>0</v>
      </c>
      <c r="Z63" s="3471">
        <f>入力2【名簿】!AA51</f>
        <v>0</v>
      </c>
      <c r="AA63" s="3473">
        <f>入力2【名簿】!AB51</f>
        <v>0</v>
      </c>
      <c r="AB63" s="3474"/>
      <c r="AC63" s="3469">
        <f>入力2【名簿】!AD51</f>
        <v>0</v>
      </c>
      <c r="AD63" s="3469">
        <f>入力2【名簿】!AE51</f>
        <v>0</v>
      </c>
      <c r="AE63" s="3471">
        <f>入力2【名簿】!AF51</f>
        <v>0</v>
      </c>
      <c r="AF63" s="3473">
        <f>入力2【名簿】!AG51</f>
        <v>0</v>
      </c>
      <c r="AG63" s="3474"/>
      <c r="AH63" s="3469">
        <f>入力2【名簿】!AI51</f>
        <v>0</v>
      </c>
      <c r="AI63" s="3469">
        <f>入力2【名簿】!AJ51</f>
        <v>0</v>
      </c>
      <c r="AJ63" s="3477">
        <f>入力2【名簿】!AK51</f>
        <v>0</v>
      </c>
      <c r="AK63" s="3478"/>
      <c r="AL63" s="3478"/>
      <c r="AM63" s="3478"/>
      <c r="AN63" s="3478"/>
      <c r="AO63" s="3479"/>
      <c r="AP63" s="3480">
        <f>入力2【名簿】!AO51</f>
        <v>0</v>
      </c>
      <c r="AQ63" s="3481"/>
      <c r="AR63" s="3481"/>
      <c r="AS63" s="3481"/>
      <c r="AT63" s="3482"/>
      <c r="AU63" s="113"/>
    </row>
    <row r="64" spans="2:50" ht="15" customHeight="1" x14ac:dyDescent="0.15">
      <c r="B64" s="3513"/>
      <c r="C64" s="3514"/>
      <c r="D64" s="3515"/>
      <c r="E64" s="3516"/>
      <c r="F64" s="3517"/>
      <c r="G64" s="3518"/>
      <c r="H64" s="3486"/>
      <c r="I64" s="3487"/>
      <c r="J64" s="3497"/>
      <c r="K64" s="3498"/>
      <c r="L64" s="3486"/>
      <c r="M64" s="3519"/>
      <c r="N64" s="3497"/>
      <c r="O64" s="3497"/>
      <c r="P64" s="3498"/>
      <c r="Q64" s="3486"/>
      <c r="R64" s="3487"/>
      <c r="S64" s="3497"/>
      <c r="T64" s="3497"/>
      <c r="U64" s="3498"/>
      <c r="V64" s="3486"/>
      <c r="W64" s="3487"/>
      <c r="X64" s="3497"/>
      <c r="Y64" s="3497"/>
      <c r="Z64" s="3498"/>
      <c r="AA64" s="3486"/>
      <c r="AB64" s="3487"/>
      <c r="AC64" s="3497"/>
      <c r="AD64" s="3497"/>
      <c r="AE64" s="3498"/>
      <c r="AF64" s="3486"/>
      <c r="AG64" s="3487"/>
      <c r="AH64" s="3497"/>
      <c r="AI64" s="3497"/>
      <c r="AJ64" s="3494">
        <f>入力2【名簿】!AK52</f>
        <v>0</v>
      </c>
      <c r="AK64" s="3495"/>
      <c r="AL64" s="3495"/>
      <c r="AM64" s="3495"/>
      <c r="AN64" s="3495"/>
      <c r="AO64" s="3496"/>
      <c r="AP64" s="3491"/>
      <c r="AQ64" s="3492"/>
      <c r="AR64" s="3492"/>
      <c r="AS64" s="3492"/>
      <c r="AT64" s="3493"/>
      <c r="AU64" s="113"/>
    </row>
    <row r="65" spans="2:47" ht="15" customHeight="1" x14ac:dyDescent="0.15">
      <c r="B65" s="3499">
        <v>20</v>
      </c>
      <c r="C65" s="3501">
        <f>入力2【名簿】!D53</f>
        <v>0</v>
      </c>
      <c r="D65" s="3502"/>
      <c r="E65" s="3505">
        <f>入力2【名簿】!E53</f>
        <v>0</v>
      </c>
      <c r="F65" s="3507">
        <f>入力2【名簿】!G53</f>
        <v>0</v>
      </c>
      <c r="G65" s="3509">
        <f>入力2【名簿】!H53</f>
        <v>0</v>
      </c>
      <c r="H65" s="3473">
        <f>入力2【名簿】!I53</f>
        <v>0</v>
      </c>
      <c r="I65" s="3474"/>
      <c r="J65" s="3469">
        <f>入力2【名簿】!K53</f>
        <v>0</v>
      </c>
      <c r="K65" s="3471">
        <f>入力2【名簿】!L53</f>
        <v>0</v>
      </c>
      <c r="L65" s="3473">
        <f>入力2【名簿】!M53</f>
        <v>0</v>
      </c>
      <c r="M65" s="3511"/>
      <c r="N65" s="3469">
        <f>入力2【名簿】!O53</f>
        <v>0</v>
      </c>
      <c r="O65" s="3469">
        <f>入力2【名簿】!P53</f>
        <v>0</v>
      </c>
      <c r="P65" s="3471">
        <f>入力2【名簿】!Q53</f>
        <v>0</v>
      </c>
      <c r="Q65" s="3473">
        <f>入力2【名簿】!R53</f>
        <v>0</v>
      </c>
      <c r="R65" s="3474"/>
      <c r="S65" s="3469">
        <f>入力2【名簿】!T53</f>
        <v>0</v>
      </c>
      <c r="T65" s="3469">
        <f>入力2【名簿】!U53</f>
        <v>0</v>
      </c>
      <c r="U65" s="3471">
        <f>入力2【名簿】!V53</f>
        <v>0</v>
      </c>
      <c r="V65" s="3473">
        <f>入力2【名簿】!W53</f>
        <v>0</v>
      </c>
      <c r="W65" s="3474"/>
      <c r="X65" s="3469">
        <f>入力2【名簿】!Y53</f>
        <v>0</v>
      </c>
      <c r="Y65" s="3469">
        <f>入力2【名簿】!Z53</f>
        <v>0</v>
      </c>
      <c r="Z65" s="3471">
        <f>入力2【名簿】!AA53</f>
        <v>0</v>
      </c>
      <c r="AA65" s="3473">
        <f>入力2【名簿】!AB53</f>
        <v>0</v>
      </c>
      <c r="AB65" s="3474"/>
      <c r="AC65" s="3469">
        <f>入力2【名簿】!AD53</f>
        <v>0</v>
      </c>
      <c r="AD65" s="3469">
        <f>入力2【名簿】!AE53</f>
        <v>0</v>
      </c>
      <c r="AE65" s="3471">
        <f>入力2【名簿】!AF53</f>
        <v>0</v>
      </c>
      <c r="AF65" s="3473">
        <f>入力2【名簿】!AG53</f>
        <v>0</v>
      </c>
      <c r="AG65" s="3474"/>
      <c r="AH65" s="3469">
        <f>入力2【名簿】!AI53</f>
        <v>0</v>
      </c>
      <c r="AI65" s="3469">
        <f>入力2【名簿】!AJ53</f>
        <v>0</v>
      </c>
      <c r="AJ65" s="3477">
        <f>入力2【名簿】!AK53</f>
        <v>0</v>
      </c>
      <c r="AK65" s="3478"/>
      <c r="AL65" s="3478"/>
      <c r="AM65" s="3478"/>
      <c r="AN65" s="3478"/>
      <c r="AO65" s="3479"/>
      <c r="AP65" s="3480">
        <f>入力2【名簿】!AO53</f>
        <v>0</v>
      </c>
      <c r="AQ65" s="3481"/>
      <c r="AR65" s="3481"/>
      <c r="AS65" s="3481"/>
      <c r="AT65" s="3482"/>
      <c r="AU65" s="113"/>
    </row>
    <row r="66" spans="2:47" ht="15" customHeight="1" x14ac:dyDescent="0.15">
      <c r="B66" s="3513"/>
      <c r="C66" s="3514"/>
      <c r="D66" s="3515"/>
      <c r="E66" s="3516"/>
      <c r="F66" s="3517"/>
      <c r="G66" s="3518"/>
      <c r="H66" s="3486"/>
      <c r="I66" s="3487"/>
      <c r="J66" s="3497"/>
      <c r="K66" s="3498"/>
      <c r="L66" s="3486"/>
      <c r="M66" s="3519"/>
      <c r="N66" s="3497"/>
      <c r="O66" s="3497"/>
      <c r="P66" s="3498"/>
      <c r="Q66" s="3486"/>
      <c r="R66" s="3487"/>
      <c r="S66" s="3497"/>
      <c r="T66" s="3497"/>
      <c r="U66" s="3498"/>
      <c r="V66" s="3486"/>
      <c r="W66" s="3487"/>
      <c r="X66" s="3497"/>
      <c r="Y66" s="3497"/>
      <c r="Z66" s="3498"/>
      <c r="AA66" s="3486"/>
      <c r="AB66" s="3487"/>
      <c r="AC66" s="3497"/>
      <c r="AD66" s="3497"/>
      <c r="AE66" s="3498"/>
      <c r="AF66" s="3486"/>
      <c r="AG66" s="3487"/>
      <c r="AH66" s="3497"/>
      <c r="AI66" s="3497"/>
      <c r="AJ66" s="3494">
        <f>入力2【名簿】!AK54</f>
        <v>0</v>
      </c>
      <c r="AK66" s="3495"/>
      <c r="AL66" s="3495"/>
      <c r="AM66" s="3495"/>
      <c r="AN66" s="3495"/>
      <c r="AO66" s="3496"/>
      <c r="AP66" s="3491"/>
      <c r="AQ66" s="3492"/>
      <c r="AR66" s="3492"/>
      <c r="AS66" s="3492"/>
      <c r="AT66" s="3493"/>
      <c r="AU66" s="113"/>
    </row>
    <row r="67" spans="2:47" ht="15" customHeight="1" x14ac:dyDescent="0.15">
      <c r="B67" s="3499">
        <v>21</v>
      </c>
      <c r="C67" s="3501">
        <f>入力2【名簿】!D55</f>
        <v>0</v>
      </c>
      <c r="D67" s="3502"/>
      <c r="E67" s="3505">
        <f>入力2【名簿】!E55</f>
        <v>0</v>
      </c>
      <c r="F67" s="3507">
        <f>入力2【名簿】!G55</f>
        <v>0</v>
      </c>
      <c r="G67" s="3509">
        <f>入力2【名簿】!H55</f>
        <v>0</v>
      </c>
      <c r="H67" s="3473">
        <f>入力2【名簿】!I55</f>
        <v>0</v>
      </c>
      <c r="I67" s="3474"/>
      <c r="J67" s="3469">
        <f>入力2【名簿】!K55</f>
        <v>0</v>
      </c>
      <c r="K67" s="3471">
        <f>入力2【名簿】!L55</f>
        <v>0</v>
      </c>
      <c r="L67" s="3473">
        <f>入力2【名簿】!M55</f>
        <v>0</v>
      </c>
      <c r="M67" s="3511"/>
      <c r="N67" s="3469">
        <f>入力2【名簿】!O55</f>
        <v>0</v>
      </c>
      <c r="O67" s="3469">
        <f>入力2【名簿】!P55</f>
        <v>0</v>
      </c>
      <c r="P67" s="3471">
        <f>入力2【名簿】!Q55</f>
        <v>0</v>
      </c>
      <c r="Q67" s="3473">
        <f>入力2【名簿】!R55</f>
        <v>0</v>
      </c>
      <c r="R67" s="3474"/>
      <c r="S67" s="3469">
        <f>入力2【名簿】!T55</f>
        <v>0</v>
      </c>
      <c r="T67" s="3469">
        <f>入力2【名簿】!U55</f>
        <v>0</v>
      </c>
      <c r="U67" s="3471">
        <f>入力2【名簿】!V55</f>
        <v>0</v>
      </c>
      <c r="V67" s="3473">
        <f>入力2【名簿】!W55</f>
        <v>0</v>
      </c>
      <c r="W67" s="3474"/>
      <c r="X67" s="3469">
        <f>入力2【名簿】!Y55</f>
        <v>0</v>
      </c>
      <c r="Y67" s="3469">
        <f>入力2【名簿】!Z55</f>
        <v>0</v>
      </c>
      <c r="Z67" s="3471">
        <f>入力2【名簿】!AA55</f>
        <v>0</v>
      </c>
      <c r="AA67" s="3473">
        <f>入力2【名簿】!AB55</f>
        <v>0</v>
      </c>
      <c r="AB67" s="3474"/>
      <c r="AC67" s="3469">
        <f>入力2【名簿】!AD55</f>
        <v>0</v>
      </c>
      <c r="AD67" s="3469">
        <f>入力2【名簿】!AE55</f>
        <v>0</v>
      </c>
      <c r="AE67" s="3471">
        <f>入力2【名簿】!AF55</f>
        <v>0</v>
      </c>
      <c r="AF67" s="3473">
        <f>入力2【名簿】!AG55</f>
        <v>0</v>
      </c>
      <c r="AG67" s="3474"/>
      <c r="AH67" s="3469">
        <f>入力2【名簿】!AI55</f>
        <v>0</v>
      </c>
      <c r="AI67" s="3469">
        <f>入力2【名簿】!AJ55</f>
        <v>0</v>
      </c>
      <c r="AJ67" s="3477">
        <f>入力2【名簿】!AK55</f>
        <v>0</v>
      </c>
      <c r="AK67" s="3478"/>
      <c r="AL67" s="3478"/>
      <c r="AM67" s="3478"/>
      <c r="AN67" s="3478"/>
      <c r="AO67" s="3479"/>
      <c r="AP67" s="3480">
        <f>入力2【名簿】!AO55</f>
        <v>0</v>
      </c>
      <c r="AQ67" s="3481"/>
      <c r="AR67" s="3481"/>
      <c r="AS67" s="3481"/>
      <c r="AT67" s="3482"/>
      <c r="AU67" s="113"/>
    </row>
    <row r="68" spans="2:47" ht="15" customHeight="1" x14ac:dyDescent="0.15">
      <c r="B68" s="3513"/>
      <c r="C68" s="3514"/>
      <c r="D68" s="3515"/>
      <c r="E68" s="3516"/>
      <c r="F68" s="3517"/>
      <c r="G68" s="3518"/>
      <c r="H68" s="3486"/>
      <c r="I68" s="3487"/>
      <c r="J68" s="3497"/>
      <c r="K68" s="3498"/>
      <c r="L68" s="3486"/>
      <c r="M68" s="3519"/>
      <c r="N68" s="3497"/>
      <c r="O68" s="3497"/>
      <c r="P68" s="3498"/>
      <c r="Q68" s="3486"/>
      <c r="R68" s="3487"/>
      <c r="S68" s="3497"/>
      <c r="T68" s="3497"/>
      <c r="U68" s="3498"/>
      <c r="V68" s="3486"/>
      <c r="W68" s="3487"/>
      <c r="X68" s="3497"/>
      <c r="Y68" s="3497"/>
      <c r="Z68" s="3498"/>
      <c r="AA68" s="3486"/>
      <c r="AB68" s="3487"/>
      <c r="AC68" s="3497"/>
      <c r="AD68" s="3497"/>
      <c r="AE68" s="3498"/>
      <c r="AF68" s="3486"/>
      <c r="AG68" s="3487"/>
      <c r="AH68" s="3497"/>
      <c r="AI68" s="3497"/>
      <c r="AJ68" s="3494">
        <f>入力2【名簿】!AK56</f>
        <v>0</v>
      </c>
      <c r="AK68" s="3495"/>
      <c r="AL68" s="3495"/>
      <c r="AM68" s="3495"/>
      <c r="AN68" s="3495"/>
      <c r="AO68" s="3496"/>
      <c r="AP68" s="3491"/>
      <c r="AQ68" s="3492"/>
      <c r="AR68" s="3492"/>
      <c r="AS68" s="3492"/>
      <c r="AT68" s="3493"/>
      <c r="AU68" s="113"/>
    </row>
    <row r="69" spans="2:47" ht="15" customHeight="1" x14ac:dyDescent="0.15">
      <c r="B69" s="3499">
        <v>22</v>
      </c>
      <c r="C69" s="3501">
        <f>入力2【名簿】!D57</f>
        <v>0</v>
      </c>
      <c r="D69" s="3502"/>
      <c r="E69" s="3505">
        <f>入力2【名簿】!E57</f>
        <v>0</v>
      </c>
      <c r="F69" s="3507">
        <f>入力2【名簿】!G57</f>
        <v>0</v>
      </c>
      <c r="G69" s="3509">
        <f>入力2【名簿】!H57</f>
        <v>0</v>
      </c>
      <c r="H69" s="3473">
        <f>入力2【名簿】!I57</f>
        <v>0</v>
      </c>
      <c r="I69" s="3474"/>
      <c r="J69" s="3469">
        <f>入力2【名簿】!K57</f>
        <v>0</v>
      </c>
      <c r="K69" s="3471">
        <f>入力2【名簿】!L57</f>
        <v>0</v>
      </c>
      <c r="L69" s="3473">
        <f>入力2【名簿】!M57</f>
        <v>0</v>
      </c>
      <c r="M69" s="3511"/>
      <c r="N69" s="3469">
        <f>入力2【名簿】!O57</f>
        <v>0</v>
      </c>
      <c r="O69" s="3469">
        <f>入力2【名簿】!P57</f>
        <v>0</v>
      </c>
      <c r="P69" s="3471">
        <f>入力2【名簿】!Q57</f>
        <v>0</v>
      </c>
      <c r="Q69" s="3473">
        <f>入力2【名簿】!R57</f>
        <v>0</v>
      </c>
      <c r="R69" s="3474"/>
      <c r="S69" s="3469">
        <f>入力2【名簿】!T57</f>
        <v>0</v>
      </c>
      <c r="T69" s="3469">
        <f>入力2【名簿】!U57</f>
        <v>0</v>
      </c>
      <c r="U69" s="3471">
        <f>入力2【名簿】!V57</f>
        <v>0</v>
      </c>
      <c r="V69" s="3473">
        <f>入力2【名簿】!W57</f>
        <v>0</v>
      </c>
      <c r="W69" s="3474"/>
      <c r="X69" s="3469">
        <f>入力2【名簿】!Y57</f>
        <v>0</v>
      </c>
      <c r="Y69" s="3469">
        <f>入力2【名簿】!Z57</f>
        <v>0</v>
      </c>
      <c r="Z69" s="3471">
        <f>入力2【名簿】!AA57</f>
        <v>0</v>
      </c>
      <c r="AA69" s="3473">
        <f>入力2【名簿】!AB57</f>
        <v>0</v>
      </c>
      <c r="AB69" s="3474"/>
      <c r="AC69" s="3469">
        <f>入力2【名簿】!AD57</f>
        <v>0</v>
      </c>
      <c r="AD69" s="3469">
        <f>入力2【名簿】!AE57</f>
        <v>0</v>
      </c>
      <c r="AE69" s="3471">
        <f>入力2【名簿】!AF57</f>
        <v>0</v>
      </c>
      <c r="AF69" s="3473">
        <f>入力2【名簿】!AG57</f>
        <v>0</v>
      </c>
      <c r="AG69" s="3474"/>
      <c r="AH69" s="3469">
        <f>入力2【名簿】!AI57</f>
        <v>0</v>
      </c>
      <c r="AI69" s="3469">
        <f>入力2【名簿】!AJ57</f>
        <v>0</v>
      </c>
      <c r="AJ69" s="3477">
        <f>入力2【名簿】!AK57</f>
        <v>0</v>
      </c>
      <c r="AK69" s="3478"/>
      <c r="AL69" s="3478"/>
      <c r="AM69" s="3478"/>
      <c r="AN69" s="3478"/>
      <c r="AO69" s="3479"/>
      <c r="AP69" s="3480">
        <f>入力2【名簿】!AO57</f>
        <v>0</v>
      </c>
      <c r="AQ69" s="3481"/>
      <c r="AR69" s="3481"/>
      <c r="AS69" s="3481"/>
      <c r="AT69" s="3482"/>
      <c r="AU69" s="113"/>
    </row>
    <row r="70" spans="2:47" ht="15" customHeight="1" x14ac:dyDescent="0.15">
      <c r="B70" s="3513"/>
      <c r="C70" s="3514"/>
      <c r="D70" s="3515"/>
      <c r="E70" s="3516"/>
      <c r="F70" s="3517"/>
      <c r="G70" s="3518"/>
      <c r="H70" s="3486"/>
      <c r="I70" s="3487"/>
      <c r="J70" s="3497"/>
      <c r="K70" s="3498"/>
      <c r="L70" s="3486"/>
      <c r="M70" s="3519"/>
      <c r="N70" s="3497"/>
      <c r="O70" s="3497"/>
      <c r="P70" s="3498"/>
      <c r="Q70" s="3486"/>
      <c r="R70" s="3487"/>
      <c r="S70" s="3497"/>
      <c r="T70" s="3497"/>
      <c r="U70" s="3498"/>
      <c r="V70" s="3486"/>
      <c r="W70" s="3487"/>
      <c r="X70" s="3497"/>
      <c r="Y70" s="3497"/>
      <c r="Z70" s="3498"/>
      <c r="AA70" s="3486"/>
      <c r="AB70" s="3487"/>
      <c r="AC70" s="3497"/>
      <c r="AD70" s="3497"/>
      <c r="AE70" s="3498"/>
      <c r="AF70" s="3486"/>
      <c r="AG70" s="3487"/>
      <c r="AH70" s="3497"/>
      <c r="AI70" s="3497"/>
      <c r="AJ70" s="3494">
        <f>入力2【名簿】!AK58</f>
        <v>0</v>
      </c>
      <c r="AK70" s="3495"/>
      <c r="AL70" s="3495"/>
      <c r="AM70" s="3495"/>
      <c r="AN70" s="3495"/>
      <c r="AO70" s="3496"/>
      <c r="AP70" s="3491"/>
      <c r="AQ70" s="3492"/>
      <c r="AR70" s="3492"/>
      <c r="AS70" s="3492"/>
      <c r="AT70" s="3493"/>
      <c r="AU70" s="113"/>
    </row>
    <row r="71" spans="2:47" ht="15" customHeight="1" x14ac:dyDescent="0.15">
      <c r="B71" s="3499">
        <v>23</v>
      </c>
      <c r="C71" s="3501">
        <f>入力2【名簿】!D59</f>
        <v>0</v>
      </c>
      <c r="D71" s="3502"/>
      <c r="E71" s="3505">
        <f>入力2【名簿】!E59</f>
        <v>0</v>
      </c>
      <c r="F71" s="3507">
        <f>入力2【名簿】!G59</f>
        <v>0</v>
      </c>
      <c r="G71" s="3509">
        <f>入力2【名簿】!H59</f>
        <v>0</v>
      </c>
      <c r="H71" s="3473">
        <f>入力2【名簿】!I59</f>
        <v>0</v>
      </c>
      <c r="I71" s="3474"/>
      <c r="J71" s="3469">
        <f>入力2【名簿】!K59</f>
        <v>0</v>
      </c>
      <c r="K71" s="3471">
        <f>入力2【名簿】!L59</f>
        <v>0</v>
      </c>
      <c r="L71" s="3473">
        <f>入力2【名簿】!M59</f>
        <v>0</v>
      </c>
      <c r="M71" s="3511"/>
      <c r="N71" s="3469">
        <f>入力2【名簿】!O59</f>
        <v>0</v>
      </c>
      <c r="O71" s="3469">
        <f>入力2【名簿】!P59</f>
        <v>0</v>
      </c>
      <c r="P71" s="3471">
        <f>入力2【名簿】!Q59</f>
        <v>0</v>
      </c>
      <c r="Q71" s="3473">
        <f>入力2【名簿】!R59</f>
        <v>0</v>
      </c>
      <c r="R71" s="3474"/>
      <c r="S71" s="3469">
        <f>入力2【名簿】!T59</f>
        <v>0</v>
      </c>
      <c r="T71" s="3469">
        <f>入力2【名簿】!U59</f>
        <v>0</v>
      </c>
      <c r="U71" s="3471">
        <f>入力2【名簿】!V59</f>
        <v>0</v>
      </c>
      <c r="V71" s="3473">
        <f>入力2【名簿】!W59</f>
        <v>0</v>
      </c>
      <c r="W71" s="3474"/>
      <c r="X71" s="3469">
        <f>入力2【名簿】!Y59</f>
        <v>0</v>
      </c>
      <c r="Y71" s="3469">
        <f>入力2【名簿】!Z59</f>
        <v>0</v>
      </c>
      <c r="Z71" s="3471">
        <f>入力2【名簿】!AA59</f>
        <v>0</v>
      </c>
      <c r="AA71" s="3473">
        <f>入力2【名簿】!AB59</f>
        <v>0</v>
      </c>
      <c r="AB71" s="3474"/>
      <c r="AC71" s="3469">
        <f>入力2【名簿】!AD59</f>
        <v>0</v>
      </c>
      <c r="AD71" s="3469">
        <f>入力2【名簿】!AE59</f>
        <v>0</v>
      </c>
      <c r="AE71" s="3471">
        <f>入力2【名簿】!AF59</f>
        <v>0</v>
      </c>
      <c r="AF71" s="3473">
        <f>入力2【名簿】!AG59</f>
        <v>0</v>
      </c>
      <c r="AG71" s="3474"/>
      <c r="AH71" s="3469">
        <f>入力2【名簿】!AI59</f>
        <v>0</v>
      </c>
      <c r="AI71" s="3469">
        <f>入力2【名簿】!AJ59</f>
        <v>0</v>
      </c>
      <c r="AJ71" s="3477">
        <f>入力2【名簿】!AK59</f>
        <v>0</v>
      </c>
      <c r="AK71" s="3478"/>
      <c r="AL71" s="3478"/>
      <c r="AM71" s="3478"/>
      <c r="AN71" s="3478"/>
      <c r="AO71" s="3479"/>
      <c r="AP71" s="3480">
        <f>入力2【名簿】!AO59</f>
        <v>0</v>
      </c>
      <c r="AQ71" s="3481"/>
      <c r="AR71" s="3481"/>
      <c r="AS71" s="3481"/>
      <c r="AT71" s="3482"/>
      <c r="AU71" s="113"/>
    </row>
    <row r="72" spans="2:47" ht="15" customHeight="1" x14ac:dyDescent="0.15">
      <c r="B72" s="3513"/>
      <c r="C72" s="3514"/>
      <c r="D72" s="3515"/>
      <c r="E72" s="3516"/>
      <c r="F72" s="3517"/>
      <c r="G72" s="3518"/>
      <c r="H72" s="3486"/>
      <c r="I72" s="3487"/>
      <c r="J72" s="3497"/>
      <c r="K72" s="3498"/>
      <c r="L72" s="3486"/>
      <c r="M72" s="3519"/>
      <c r="N72" s="3497"/>
      <c r="O72" s="3497"/>
      <c r="P72" s="3498"/>
      <c r="Q72" s="3486"/>
      <c r="R72" s="3487"/>
      <c r="S72" s="3497"/>
      <c r="T72" s="3497"/>
      <c r="U72" s="3498"/>
      <c r="V72" s="3486"/>
      <c r="W72" s="3487"/>
      <c r="X72" s="3497"/>
      <c r="Y72" s="3497"/>
      <c r="Z72" s="3498"/>
      <c r="AA72" s="3486"/>
      <c r="AB72" s="3487"/>
      <c r="AC72" s="3497"/>
      <c r="AD72" s="3497"/>
      <c r="AE72" s="3498"/>
      <c r="AF72" s="3486"/>
      <c r="AG72" s="3487"/>
      <c r="AH72" s="3497"/>
      <c r="AI72" s="3497"/>
      <c r="AJ72" s="3494">
        <f>入力2【名簿】!AK60</f>
        <v>0</v>
      </c>
      <c r="AK72" s="3495"/>
      <c r="AL72" s="3495"/>
      <c r="AM72" s="3495"/>
      <c r="AN72" s="3495"/>
      <c r="AO72" s="3496"/>
      <c r="AP72" s="3491"/>
      <c r="AQ72" s="3492"/>
      <c r="AR72" s="3492"/>
      <c r="AS72" s="3492"/>
      <c r="AT72" s="3493"/>
      <c r="AU72" s="113"/>
    </row>
    <row r="73" spans="2:47" ht="15" customHeight="1" x14ac:dyDescent="0.15">
      <c r="B73" s="3499">
        <v>24</v>
      </c>
      <c r="C73" s="3501">
        <f>入力2【名簿】!D61</f>
        <v>0</v>
      </c>
      <c r="D73" s="3502"/>
      <c r="E73" s="3505">
        <f>入力2【名簿】!E61</f>
        <v>0</v>
      </c>
      <c r="F73" s="3507">
        <f>入力2【名簿】!G61</f>
        <v>0</v>
      </c>
      <c r="G73" s="3509">
        <f>入力2【名簿】!H61</f>
        <v>0</v>
      </c>
      <c r="H73" s="3473">
        <f>入力2【名簿】!I61</f>
        <v>0</v>
      </c>
      <c r="I73" s="3474"/>
      <c r="J73" s="3469">
        <f>入力2【名簿】!K61</f>
        <v>0</v>
      </c>
      <c r="K73" s="3471">
        <f>入力2【名簿】!L61</f>
        <v>0</v>
      </c>
      <c r="L73" s="3473">
        <f>入力2【名簿】!M61</f>
        <v>0</v>
      </c>
      <c r="M73" s="3511"/>
      <c r="N73" s="3469">
        <f>入力2【名簿】!O61</f>
        <v>0</v>
      </c>
      <c r="O73" s="3469">
        <f>入力2【名簿】!P61</f>
        <v>0</v>
      </c>
      <c r="P73" s="3471">
        <f>入力2【名簿】!Q61</f>
        <v>0</v>
      </c>
      <c r="Q73" s="3473">
        <f>入力2【名簿】!R61</f>
        <v>0</v>
      </c>
      <c r="R73" s="3474"/>
      <c r="S73" s="3469">
        <f>入力2【名簿】!T61</f>
        <v>0</v>
      </c>
      <c r="T73" s="3469">
        <f>入力2【名簿】!U61</f>
        <v>0</v>
      </c>
      <c r="U73" s="3471">
        <f>入力2【名簿】!V61</f>
        <v>0</v>
      </c>
      <c r="V73" s="3473">
        <f>入力2【名簿】!W61</f>
        <v>0</v>
      </c>
      <c r="W73" s="3474"/>
      <c r="X73" s="3469">
        <f>入力2【名簿】!Y61</f>
        <v>0</v>
      </c>
      <c r="Y73" s="3469">
        <f>入力2【名簿】!Z61</f>
        <v>0</v>
      </c>
      <c r="Z73" s="3471">
        <f>入力2【名簿】!AA61</f>
        <v>0</v>
      </c>
      <c r="AA73" s="3473">
        <f>入力2【名簿】!AB61</f>
        <v>0</v>
      </c>
      <c r="AB73" s="3474"/>
      <c r="AC73" s="3469">
        <f>入力2【名簿】!AD61</f>
        <v>0</v>
      </c>
      <c r="AD73" s="3469">
        <f>入力2【名簿】!AE61</f>
        <v>0</v>
      </c>
      <c r="AE73" s="3471">
        <f>入力2【名簿】!AF61</f>
        <v>0</v>
      </c>
      <c r="AF73" s="3473">
        <f>入力2【名簿】!AG61</f>
        <v>0</v>
      </c>
      <c r="AG73" s="3474"/>
      <c r="AH73" s="3469">
        <f>入力2【名簿】!AI61</f>
        <v>0</v>
      </c>
      <c r="AI73" s="3469">
        <f>入力2【名簿】!AJ61</f>
        <v>0</v>
      </c>
      <c r="AJ73" s="3477">
        <f>入力2【名簿】!AK61</f>
        <v>0</v>
      </c>
      <c r="AK73" s="3478"/>
      <c r="AL73" s="3478"/>
      <c r="AM73" s="3478"/>
      <c r="AN73" s="3478"/>
      <c r="AO73" s="3479"/>
      <c r="AP73" s="3480">
        <f>入力2【名簿】!AO61</f>
        <v>0</v>
      </c>
      <c r="AQ73" s="3481"/>
      <c r="AR73" s="3481"/>
      <c r="AS73" s="3481"/>
      <c r="AT73" s="3482"/>
      <c r="AU73" s="113"/>
    </row>
    <row r="74" spans="2:47" ht="15" customHeight="1" x14ac:dyDescent="0.15">
      <c r="B74" s="3513"/>
      <c r="C74" s="3514"/>
      <c r="D74" s="3515"/>
      <c r="E74" s="3516"/>
      <c r="F74" s="3517"/>
      <c r="G74" s="3518"/>
      <c r="H74" s="3486"/>
      <c r="I74" s="3487"/>
      <c r="J74" s="3497"/>
      <c r="K74" s="3498"/>
      <c r="L74" s="3486"/>
      <c r="M74" s="3519"/>
      <c r="N74" s="3497"/>
      <c r="O74" s="3497"/>
      <c r="P74" s="3498"/>
      <c r="Q74" s="3486"/>
      <c r="R74" s="3487"/>
      <c r="S74" s="3497"/>
      <c r="T74" s="3497"/>
      <c r="U74" s="3498"/>
      <c r="V74" s="3486"/>
      <c r="W74" s="3487"/>
      <c r="X74" s="3497"/>
      <c r="Y74" s="3497"/>
      <c r="Z74" s="3498"/>
      <c r="AA74" s="3486"/>
      <c r="AB74" s="3487"/>
      <c r="AC74" s="3497"/>
      <c r="AD74" s="3497"/>
      <c r="AE74" s="3498"/>
      <c r="AF74" s="3486"/>
      <c r="AG74" s="3487"/>
      <c r="AH74" s="3497"/>
      <c r="AI74" s="3497"/>
      <c r="AJ74" s="3494">
        <f>入力2【名簿】!AK62</f>
        <v>0</v>
      </c>
      <c r="AK74" s="3495"/>
      <c r="AL74" s="3495"/>
      <c r="AM74" s="3495"/>
      <c r="AN74" s="3495"/>
      <c r="AO74" s="3496"/>
      <c r="AP74" s="3491"/>
      <c r="AQ74" s="3492"/>
      <c r="AR74" s="3492"/>
      <c r="AS74" s="3492"/>
      <c r="AT74" s="3493"/>
      <c r="AU74" s="113"/>
    </row>
    <row r="75" spans="2:47" ht="15" customHeight="1" x14ac:dyDescent="0.15">
      <c r="B75" s="3499">
        <v>25</v>
      </c>
      <c r="C75" s="3501">
        <f>入力2【名簿】!D63</f>
        <v>0</v>
      </c>
      <c r="D75" s="3502"/>
      <c r="E75" s="3505">
        <f>入力2【名簿】!E63</f>
        <v>0</v>
      </c>
      <c r="F75" s="3507">
        <f>入力2【名簿】!G63</f>
        <v>0</v>
      </c>
      <c r="G75" s="3509">
        <f>入力2【名簿】!H63</f>
        <v>0</v>
      </c>
      <c r="H75" s="3473">
        <f>入力2【名簿】!I63</f>
        <v>0</v>
      </c>
      <c r="I75" s="3474"/>
      <c r="J75" s="3469">
        <f>入力2【名簿】!K63</f>
        <v>0</v>
      </c>
      <c r="K75" s="3471">
        <f>入力2【名簿】!L63</f>
        <v>0</v>
      </c>
      <c r="L75" s="3473">
        <f>入力2【名簿】!M63</f>
        <v>0</v>
      </c>
      <c r="M75" s="3511"/>
      <c r="N75" s="3469">
        <f>入力2【名簿】!O63</f>
        <v>0</v>
      </c>
      <c r="O75" s="3469">
        <f>入力2【名簿】!P63</f>
        <v>0</v>
      </c>
      <c r="P75" s="3471">
        <f>入力2【名簿】!Q63</f>
        <v>0</v>
      </c>
      <c r="Q75" s="3473">
        <f>入力2【名簿】!R63</f>
        <v>0</v>
      </c>
      <c r="R75" s="3474"/>
      <c r="S75" s="3469">
        <f>入力2【名簿】!T63</f>
        <v>0</v>
      </c>
      <c r="T75" s="3469">
        <f>入力2【名簿】!U63</f>
        <v>0</v>
      </c>
      <c r="U75" s="3471">
        <f>入力2【名簿】!V63</f>
        <v>0</v>
      </c>
      <c r="V75" s="3473">
        <f>入力2【名簿】!W63</f>
        <v>0</v>
      </c>
      <c r="W75" s="3474"/>
      <c r="X75" s="3469">
        <f>入力2【名簿】!Y63</f>
        <v>0</v>
      </c>
      <c r="Y75" s="3469">
        <f>入力2【名簿】!Z63</f>
        <v>0</v>
      </c>
      <c r="Z75" s="3471">
        <f>入力2【名簿】!AA63</f>
        <v>0</v>
      </c>
      <c r="AA75" s="3473">
        <f>入力2【名簿】!AB63</f>
        <v>0</v>
      </c>
      <c r="AB75" s="3474"/>
      <c r="AC75" s="3469">
        <f>入力2【名簿】!AD63</f>
        <v>0</v>
      </c>
      <c r="AD75" s="3469">
        <f>入力2【名簿】!AE63</f>
        <v>0</v>
      </c>
      <c r="AE75" s="3471">
        <f>入力2【名簿】!AF63</f>
        <v>0</v>
      </c>
      <c r="AF75" s="3473">
        <f>入力2【名簿】!AG63</f>
        <v>0</v>
      </c>
      <c r="AG75" s="3474"/>
      <c r="AH75" s="3469">
        <f>入力2【名簿】!AI63</f>
        <v>0</v>
      </c>
      <c r="AI75" s="3469">
        <f>入力2【名簿】!AJ63</f>
        <v>0</v>
      </c>
      <c r="AJ75" s="3477">
        <f>入力2【名簿】!AK63</f>
        <v>0</v>
      </c>
      <c r="AK75" s="3478"/>
      <c r="AL75" s="3478"/>
      <c r="AM75" s="3478"/>
      <c r="AN75" s="3478"/>
      <c r="AO75" s="3479"/>
      <c r="AP75" s="3480">
        <f>入力2【名簿】!AO63</f>
        <v>0</v>
      </c>
      <c r="AQ75" s="3481"/>
      <c r="AR75" s="3481"/>
      <c r="AS75" s="3481"/>
      <c r="AT75" s="3482"/>
      <c r="AU75" s="113"/>
    </row>
    <row r="76" spans="2:47" ht="15" customHeight="1" x14ac:dyDescent="0.15">
      <c r="B76" s="3513"/>
      <c r="C76" s="3514"/>
      <c r="D76" s="3515"/>
      <c r="E76" s="3516"/>
      <c r="F76" s="3517"/>
      <c r="G76" s="3518"/>
      <c r="H76" s="3486"/>
      <c r="I76" s="3487"/>
      <c r="J76" s="3497"/>
      <c r="K76" s="3498"/>
      <c r="L76" s="3486"/>
      <c r="M76" s="3519"/>
      <c r="N76" s="3497"/>
      <c r="O76" s="3497"/>
      <c r="P76" s="3498"/>
      <c r="Q76" s="3486"/>
      <c r="R76" s="3487"/>
      <c r="S76" s="3497"/>
      <c r="T76" s="3497"/>
      <c r="U76" s="3498"/>
      <c r="V76" s="3486"/>
      <c r="W76" s="3487"/>
      <c r="X76" s="3497"/>
      <c r="Y76" s="3497"/>
      <c r="Z76" s="3498"/>
      <c r="AA76" s="3486"/>
      <c r="AB76" s="3487"/>
      <c r="AC76" s="3497"/>
      <c r="AD76" s="3497"/>
      <c r="AE76" s="3498"/>
      <c r="AF76" s="3486"/>
      <c r="AG76" s="3487"/>
      <c r="AH76" s="3497"/>
      <c r="AI76" s="3497"/>
      <c r="AJ76" s="3494">
        <f>入力2【名簿】!AK64</f>
        <v>0</v>
      </c>
      <c r="AK76" s="3495"/>
      <c r="AL76" s="3495"/>
      <c r="AM76" s="3495"/>
      <c r="AN76" s="3495"/>
      <c r="AO76" s="3496"/>
      <c r="AP76" s="3491"/>
      <c r="AQ76" s="3492"/>
      <c r="AR76" s="3492"/>
      <c r="AS76" s="3492"/>
      <c r="AT76" s="3493"/>
      <c r="AU76" s="113"/>
    </row>
    <row r="77" spans="2:47" ht="15" customHeight="1" x14ac:dyDescent="0.15">
      <c r="B77" s="3499">
        <v>26</v>
      </c>
      <c r="C77" s="3501">
        <f>入力2【名簿】!D65</f>
        <v>0</v>
      </c>
      <c r="D77" s="3502"/>
      <c r="E77" s="3505">
        <f>入力2【名簿】!E65</f>
        <v>0</v>
      </c>
      <c r="F77" s="3507">
        <f>入力2【名簿】!G65</f>
        <v>0</v>
      </c>
      <c r="G77" s="3509">
        <f>入力2【名簿】!H65</f>
        <v>0</v>
      </c>
      <c r="H77" s="3473">
        <f>入力2【名簿】!I65</f>
        <v>0</v>
      </c>
      <c r="I77" s="3474"/>
      <c r="J77" s="3469">
        <f>入力2【名簿】!K65</f>
        <v>0</v>
      </c>
      <c r="K77" s="3471">
        <f>入力2【名簿】!L65</f>
        <v>0</v>
      </c>
      <c r="L77" s="3473">
        <f>入力2【名簿】!M65</f>
        <v>0</v>
      </c>
      <c r="M77" s="3511"/>
      <c r="N77" s="3469">
        <f>入力2【名簿】!O65</f>
        <v>0</v>
      </c>
      <c r="O77" s="3469">
        <f>入力2【名簿】!P65</f>
        <v>0</v>
      </c>
      <c r="P77" s="3471">
        <f>入力2【名簿】!Q65</f>
        <v>0</v>
      </c>
      <c r="Q77" s="3473">
        <f>入力2【名簿】!R65</f>
        <v>0</v>
      </c>
      <c r="R77" s="3474"/>
      <c r="S77" s="3469">
        <f>入力2【名簿】!T65</f>
        <v>0</v>
      </c>
      <c r="T77" s="3469">
        <f>入力2【名簿】!U65</f>
        <v>0</v>
      </c>
      <c r="U77" s="3471">
        <f>入力2【名簿】!V65</f>
        <v>0</v>
      </c>
      <c r="V77" s="3473">
        <f>入力2【名簿】!W65</f>
        <v>0</v>
      </c>
      <c r="W77" s="3474"/>
      <c r="X77" s="3469">
        <f>入力2【名簿】!Y65</f>
        <v>0</v>
      </c>
      <c r="Y77" s="3469">
        <f>入力2【名簿】!Z65</f>
        <v>0</v>
      </c>
      <c r="Z77" s="3471">
        <f>入力2【名簿】!AA65</f>
        <v>0</v>
      </c>
      <c r="AA77" s="3473">
        <f>入力2【名簿】!AB65</f>
        <v>0</v>
      </c>
      <c r="AB77" s="3474"/>
      <c r="AC77" s="3469">
        <f>入力2【名簿】!AD65</f>
        <v>0</v>
      </c>
      <c r="AD77" s="3469">
        <f>入力2【名簿】!AE65</f>
        <v>0</v>
      </c>
      <c r="AE77" s="3471">
        <f>入力2【名簿】!AF65</f>
        <v>0</v>
      </c>
      <c r="AF77" s="3473">
        <f>入力2【名簿】!AG65</f>
        <v>0</v>
      </c>
      <c r="AG77" s="3474"/>
      <c r="AH77" s="3469">
        <f>入力2【名簿】!AI65</f>
        <v>0</v>
      </c>
      <c r="AI77" s="3469">
        <f>入力2【名簿】!AJ65</f>
        <v>0</v>
      </c>
      <c r="AJ77" s="3477">
        <f>入力2【名簿】!AK65</f>
        <v>0</v>
      </c>
      <c r="AK77" s="3478"/>
      <c r="AL77" s="3478"/>
      <c r="AM77" s="3478"/>
      <c r="AN77" s="3478"/>
      <c r="AO77" s="3479"/>
      <c r="AP77" s="3480">
        <f>入力2【名簿】!AO65</f>
        <v>0</v>
      </c>
      <c r="AQ77" s="3481"/>
      <c r="AR77" s="3481"/>
      <c r="AS77" s="3481"/>
      <c r="AT77" s="3482"/>
      <c r="AU77" s="113"/>
    </row>
    <row r="78" spans="2:47" ht="15" customHeight="1" x14ac:dyDescent="0.15">
      <c r="B78" s="3513"/>
      <c r="C78" s="3514"/>
      <c r="D78" s="3515"/>
      <c r="E78" s="3516"/>
      <c r="F78" s="3517"/>
      <c r="G78" s="3518"/>
      <c r="H78" s="3486"/>
      <c r="I78" s="3487"/>
      <c r="J78" s="3497"/>
      <c r="K78" s="3498"/>
      <c r="L78" s="3486"/>
      <c r="M78" s="3519"/>
      <c r="N78" s="3497"/>
      <c r="O78" s="3497"/>
      <c r="P78" s="3498"/>
      <c r="Q78" s="3486"/>
      <c r="R78" s="3487"/>
      <c r="S78" s="3497"/>
      <c r="T78" s="3497"/>
      <c r="U78" s="3498"/>
      <c r="V78" s="3486"/>
      <c r="W78" s="3487"/>
      <c r="X78" s="3497"/>
      <c r="Y78" s="3497"/>
      <c r="Z78" s="3498"/>
      <c r="AA78" s="3486"/>
      <c r="AB78" s="3487"/>
      <c r="AC78" s="3497"/>
      <c r="AD78" s="3497"/>
      <c r="AE78" s="3498"/>
      <c r="AF78" s="3486"/>
      <c r="AG78" s="3487"/>
      <c r="AH78" s="3497"/>
      <c r="AI78" s="3497"/>
      <c r="AJ78" s="3494">
        <f>入力2【名簿】!AK66</f>
        <v>0</v>
      </c>
      <c r="AK78" s="3495"/>
      <c r="AL78" s="3495"/>
      <c r="AM78" s="3495"/>
      <c r="AN78" s="3495"/>
      <c r="AO78" s="3496"/>
      <c r="AP78" s="3491"/>
      <c r="AQ78" s="3492"/>
      <c r="AR78" s="3492"/>
      <c r="AS78" s="3492"/>
      <c r="AT78" s="3493"/>
      <c r="AU78" s="113"/>
    </row>
    <row r="79" spans="2:47" ht="15" customHeight="1" x14ac:dyDescent="0.15">
      <c r="B79" s="3499">
        <v>27</v>
      </c>
      <c r="C79" s="3501">
        <f>入力2【名簿】!D67</f>
        <v>0</v>
      </c>
      <c r="D79" s="3502"/>
      <c r="E79" s="3505">
        <f>入力2【名簿】!E67</f>
        <v>0</v>
      </c>
      <c r="F79" s="3507">
        <f>入力2【名簿】!G67</f>
        <v>0</v>
      </c>
      <c r="G79" s="3509">
        <f>入力2【名簿】!H67</f>
        <v>0</v>
      </c>
      <c r="H79" s="3473">
        <f>入力2【名簿】!I67</f>
        <v>0</v>
      </c>
      <c r="I79" s="3474"/>
      <c r="J79" s="3469">
        <f>入力2【名簿】!K67</f>
        <v>0</v>
      </c>
      <c r="K79" s="3471">
        <f>入力2【名簿】!L67</f>
        <v>0</v>
      </c>
      <c r="L79" s="3473">
        <f>入力2【名簿】!M67</f>
        <v>0</v>
      </c>
      <c r="M79" s="3511"/>
      <c r="N79" s="3469">
        <f>入力2【名簿】!O67</f>
        <v>0</v>
      </c>
      <c r="O79" s="3469">
        <f>入力2【名簿】!P67</f>
        <v>0</v>
      </c>
      <c r="P79" s="3471">
        <f>入力2【名簿】!Q67</f>
        <v>0</v>
      </c>
      <c r="Q79" s="3473">
        <f>入力2【名簿】!R67</f>
        <v>0</v>
      </c>
      <c r="R79" s="3474"/>
      <c r="S79" s="3469">
        <f>入力2【名簿】!T67</f>
        <v>0</v>
      </c>
      <c r="T79" s="3469">
        <f>入力2【名簿】!U67</f>
        <v>0</v>
      </c>
      <c r="U79" s="3471">
        <f>入力2【名簿】!V67</f>
        <v>0</v>
      </c>
      <c r="V79" s="3473">
        <f>入力2【名簿】!W67</f>
        <v>0</v>
      </c>
      <c r="W79" s="3474"/>
      <c r="X79" s="3469">
        <f>入力2【名簿】!Y67</f>
        <v>0</v>
      </c>
      <c r="Y79" s="3469">
        <f>入力2【名簿】!Z67</f>
        <v>0</v>
      </c>
      <c r="Z79" s="3471">
        <f>入力2【名簿】!AA67</f>
        <v>0</v>
      </c>
      <c r="AA79" s="3473">
        <f>入力2【名簿】!AB67</f>
        <v>0</v>
      </c>
      <c r="AB79" s="3474"/>
      <c r="AC79" s="3469">
        <f>入力2【名簿】!AD67</f>
        <v>0</v>
      </c>
      <c r="AD79" s="3469">
        <f>入力2【名簿】!AE67</f>
        <v>0</v>
      </c>
      <c r="AE79" s="3471">
        <f>入力2【名簿】!AF67</f>
        <v>0</v>
      </c>
      <c r="AF79" s="3473">
        <f>入力2【名簿】!AG67</f>
        <v>0</v>
      </c>
      <c r="AG79" s="3474"/>
      <c r="AH79" s="3469">
        <f>入力2【名簿】!AI67</f>
        <v>0</v>
      </c>
      <c r="AI79" s="3469">
        <f>入力2【名簿】!AJ67</f>
        <v>0</v>
      </c>
      <c r="AJ79" s="3477">
        <f>入力2【名簿】!AK67</f>
        <v>0</v>
      </c>
      <c r="AK79" s="3478"/>
      <c r="AL79" s="3478"/>
      <c r="AM79" s="3478"/>
      <c r="AN79" s="3478"/>
      <c r="AO79" s="3479"/>
      <c r="AP79" s="3480">
        <f>入力2【名簿】!AO67</f>
        <v>0</v>
      </c>
      <c r="AQ79" s="3481"/>
      <c r="AR79" s="3481"/>
      <c r="AS79" s="3481"/>
      <c r="AT79" s="3482"/>
      <c r="AU79" s="113"/>
    </row>
    <row r="80" spans="2:47" ht="15" customHeight="1" x14ac:dyDescent="0.15">
      <c r="B80" s="3513"/>
      <c r="C80" s="3514"/>
      <c r="D80" s="3515"/>
      <c r="E80" s="3516"/>
      <c r="F80" s="3517"/>
      <c r="G80" s="3518"/>
      <c r="H80" s="3486"/>
      <c r="I80" s="3487"/>
      <c r="J80" s="3497"/>
      <c r="K80" s="3498"/>
      <c r="L80" s="3486"/>
      <c r="M80" s="3519"/>
      <c r="N80" s="3497"/>
      <c r="O80" s="3497"/>
      <c r="P80" s="3498"/>
      <c r="Q80" s="3486"/>
      <c r="R80" s="3487"/>
      <c r="S80" s="3497"/>
      <c r="T80" s="3497"/>
      <c r="U80" s="3498"/>
      <c r="V80" s="3486"/>
      <c r="W80" s="3487"/>
      <c r="X80" s="3497"/>
      <c r="Y80" s="3497"/>
      <c r="Z80" s="3498"/>
      <c r="AA80" s="3486"/>
      <c r="AB80" s="3487"/>
      <c r="AC80" s="3497"/>
      <c r="AD80" s="3497"/>
      <c r="AE80" s="3498"/>
      <c r="AF80" s="3486"/>
      <c r="AG80" s="3487"/>
      <c r="AH80" s="3497"/>
      <c r="AI80" s="3497"/>
      <c r="AJ80" s="3494">
        <f>入力2【名簿】!AK68</f>
        <v>0</v>
      </c>
      <c r="AK80" s="3495"/>
      <c r="AL80" s="3495"/>
      <c r="AM80" s="3495"/>
      <c r="AN80" s="3495"/>
      <c r="AO80" s="3496"/>
      <c r="AP80" s="3491"/>
      <c r="AQ80" s="3492"/>
      <c r="AR80" s="3492"/>
      <c r="AS80" s="3492"/>
      <c r="AT80" s="3493"/>
      <c r="AU80" s="113"/>
    </row>
    <row r="81" spans="2:47" ht="15" customHeight="1" x14ac:dyDescent="0.15">
      <c r="B81" s="3499">
        <v>28</v>
      </c>
      <c r="C81" s="3501">
        <f>入力2【名簿】!D69</f>
        <v>0</v>
      </c>
      <c r="D81" s="3502"/>
      <c r="E81" s="3505">
        <f>入力2【名簿】!E69</f>
        <v>0</v>
      </c>
      <c r="F81" s="3507">
        <f>入力2【名簿】!G69</f>
        <v>0</v>
      </c>
      <c r="G81" s="3509">
        <f>入力2【名簿】!H69</f>
        <v>0</v>
      </c>
      <c r="H81" s="3473">
        <f>入力2【名簿】!I69</f>
        <v>0</v>
      </c>
      <c r="I81" s="3474"/>
      <c r="J81" s="3469">
        <f>入力2【名簿】!K69</f>
        <v>0</v>
      </c>
      <c r="K81" s="3471">
        <f>入力2【名簿】!L69</f>
        <v>0</v>
      </c>
      <c r="L81" s="3473">
        <f>入力2【名簿】!M69</f>
        <v>0</v>
      </c>
      <c r="M81" s="3511"/>
      <c r="N81" s="3469">
        <f>入力2【名簿】!O69</f>
        <v>0</v>
      </c>
      <c r="O81" s="3469">
        <f>入力2【名簿】!P69</f>
        <v>0</v>
      </c>
      <c r="P81" s="3471">
        <f>入力2【名簿】!Q69</f>
        <v>0</v>
      </c>
      <c r="Q81" s="3473">
        <f>入力2【名簿】!R69</f>
        <v>0</v>
      </c>
      <c r="R81" s="3474"/>
      <c r="S81" s="3469">
        <f>入力2【名簿】!T69</f>
        <v>0</v>
      </c>
      <c r="T81" s="3469">
        <f>入力2【名簿】!U69</f>
        <v>0</v>
      </c>
      <c r="U81" s="3471">
        <f>入力2【名簿】!V69</f>
        <v>0</v>
      </c>
      <c r="V81" s="3473">
        <f>入力2【名簿】!W69</f>
        <v>0</v>
      </c>
      <c r="W81" s="3474"/>
      <c r="X81" s="3469">
        <f>入力2【名簿】!Y69</f>
        <v>0</v>
      </c>
      <c r="Y81" s="3469">
        <f>入力2【名簿】!Z69</f>
        <v>0</v>
      </c>
      <c r="Z81" s="3471">
        <f>入力2【名簿】!AA69</f>
        <v>0</v>
      </c>
      <c r="AA81" s="3473">
        <f>入力2【名簿】!AB69</f>
        <v>0</v>
      </c>
      <c r="AB81" s="3474"/>
      <c r="AC81" s="3469">
        <f>入力2【名簿】!AD69</f>
        <v>0</v>
      </c>
      <c r="AD81" s="3469">
        <f>入力2【名簿】!AE69</f>
        <v>0</v>
      </c>
      <c r="AE81" s="3471">
        <f>入力2【名簿】!AF69</f>
        <v>0</v>
      </c>
      <c r="AF81" s="3473">
        <f>入力2【名簿】!AG69</f>
        <v>0</v>
      </c>
      <c r="AG81" s="3474"/>
      <c r="AH81" s="3469">
        <f>入力2【名簿】!AI69</f>
        <v>0</v>
      </c>
      <c r="AI81" s="3469">
        <f>入力2【名簿】!AJ69</f>
        <v>0</v>
      </c>
      <c r="AJ81" s="3477">
        <f>入力2【名簿】!AK69</f>
        <v>0</v>
      </c>
      <c r="AK81" s="3478"/>
      <c r="AL81" s="3478"/>
      <c r="AM81" s="3478"/>
      <c r="AN81" s="3478"/>
      <c r="AO81" s="3479"/>
      <c r="AP81" s="3480">
        <f>入力2【名簿】!AO69</f>
        <v>0</v>
      </c>
      <c r="AQ81" s="3481"/>
      <c r="AR81" s="3481"/>
      <c r="AS81" s="3481"/>
      <c r="AT81" s="3482"/>
      <c r="AU81" s="113"/>
    </row>
    <row r="82" spans="2:47" ht="15" customHeight="1" x14ac:dyDescent="0.15">
      <c r="B82" s="3513"/>
      <c r="C82" s="3514"/>
      <c r="D82" s="3515"/>
      <c r="E82" s="3516"/>
      <c r="F82" s="3517"/>
      <c r="G82" s="3518"/>
      <c r="H82" s="3486"/>
      <c r="I82" s="3487"/>
      <c r="J82" s="3497"/>
      <c r="K82" s="3498"/>
      <c r="L82" s="3486"/>
      <c r="M82" s="3519"/>
      <c r="N82" s="3497"/>
      <c r="O82" s="3497"/>
      <c r="P82" s="3498"/>
      <c r="Q82" s="3486"/>
      <c r="R82" s="3487"/>
      <c r="S82" s="3497"/>
      <c r="T82" s="3497"/>
      <c r="U82" s="3498"/>
      <c r="V82" s="3486"/>
      <c r="W82" s="3487"/>
      <c r="X82" s="3497"/>
      <c r="Y82" s="3497"/>
      <c r="Z82" s="3498"/>
      <c r="AA82" s="3486"/>
      <c r="AB82" s="3487"/>
      <c r="AC82" s="3497"/>
      <c r="AD82" s="3497"/>
      <c r="AE82" s="3498"/>
      <c r="AF82" s="3486"/>
      <c r="AG82" s="3487"/>
      <c r="AH82" s="3497"/>
      <c r="AI82" s="3497"/>
      <c r="AJ82" s="3494">
        <f>入力2【名簿】!AK70</f>
        <v>0</v>
      </c>
      <c r="AK82" s="3495"/>
      <c r="AL82" s="3495"/>
      <c r="AM82" s="3495"/>
      <c r="AN82" s="3495"/>
      <c r="AO82" s="3496"/>
      <c r="AP82" s="3491"/>
      <c r="AQ82" s="3492"/>
      <c r="AR82" s="3492"/>
      <c r="AS82" s="3492"/>
      <c r="AT82" s="3493"/>
      <c r="AU82" s="113"/>
    </row>
    <row r="83" spans="2:47" ht="15" customHeight="1" x14ac:dyDescent="0.15">
      <c r="B83" s="3499">
        <v>29</v>
      </c>
      <c r="C83" s="3501">
        <f>入力2【名簿】!D71</f>
        <v>0</v>
      </c>
      <c r="D83" s="3502"/>
      <c r="E83" s="3505">
        <f>入力2【名簿】!E71</f>
        <v>0</v>
      </c>
      <c r="F83" s="3507">
        <f>入力2【名簿】!G71</f>
        <v>0</v>
      </c>
      <c r="G83" s="3509">
        <f>入力2【名簿】!H71</f>
        <v>0</v>
      </c>
      <c r="H83" s="3473">
        <f>入力2【名簿】!I71</f>
        <v>0</v>
      </c>
      <c r="I83" s="3474"/>
      <c r="J83" s="3469">
        <f>入力2【名簿】!K71</f>
        <v>0</v>
      </c>
      <c r="K83" s="3471">
        <f>入力2【名簿】!L71</f>
        <v>0</v>
      </c>
      <c r="L83" s="3473">
        <f>入力2【名簿】!M71</f>
        <v>0</v>
      </c>
      <c r="M83" s="3511"/>
      <c r="N83" s="3469">
        <f>入力2【名簿】!O71</f>
        <v>0</v>
      </c>
      <c r="O83" s="3469">
        <f>入力2【名簿】!P71</f>
        <v>0</v>
      </c>
      <c r="P83" s="3471">
        <f>入力2【名簿】!Q71</f>
        <v>0</v>
      </c>
      <c r="Q83" s="3473">
        <f>入力2【名簿】!R71</f>
        <v>0</v>
      </c>
      <c r="R83" s="3474"/>
      <c r="S83" s="3469">
        <f>入力2【名簿】!T71</f>
        <v>0</v>
      </c>
      <c r="T83" s="3469">
        <f>入力2【名簿】!U71</f>
        <v>0</v>
      </c>
      <c r="U83" s="3471">
        <f>入力2【名簿】!V71</f>
        <v>0</v>
      </c>
      <c r="V83" s="3473">
        <f>入力2【名簿】!W71</f>
        <v>0</v>
      </c>
      <c r="W83" s="3474"/>
      <c r="X83" s="3469">
        <f>入力2【名簿】!Y71</f>
        <v>0</v>
      </c>
      <c r="Y83" s="3469">
        <f>入力2【名簿】!Z71</f>
        <v>0</v>
      </c>
      <c r="Z83" s="3471">
        <f>入力2【名簿】!AA71</f>
        <v>0</v>
      </c>
      <c r="AA83" s="3473">
        <f>入力2【名簿】!AB71</f>
        <v>0</v>
      </c>
      <c r="AB83" s="3474"/>
      <c r="AC83" s="3469">
        <f>入力2【名簿】!AD71</f>
        <v>0</v>
      </c>
      <c r="AD83" s="3469">
        <f>入力2【名簿】!AE71</f>
        <v>0</v>
      </c>
      <c r="AE83" s="3471">
        <f>入力2【名簿】!AF71</f>
        <v>0</v>
      </c>
      <c r="AF83" s="3473">
        <f>入力2【名簿】!AG71</f>
        <v>0</v>
      </c>
      <c r="AG83" s="3474"/>
      <c r="AH83" s="3469">
        <f>入力2【名簿】!AI71</f>
        <v>0</v>
      </c>
      <c r="AI83" s="3469">
        <f>入力2【名簿】!AJ71</f>
        <v>0</v>
      </c>
      <c r="AJ83" s="3477">
        <f>入力2【名簿】!AK71</f>
        <v>0</v>
      </c>
      <c r="AK83" s="3478"/>
      <c r="AL83" s="3478"/>
      <c r="AM83" s="3478"/>
      <c r="AN83" s="3478"/>
      <c r="AO83" s="3479"/>
      <c r="AP83" s="3480">
        <f>入力2【名簿】!AO71</f>
        <v>0</v>
      </c>
      <c r="AQ83" s="3481"/>
      <c r="AR83" s="3481"/>
      <c r="AS83" s="3481"/>
      <c r="AT83" s="3482"/>
      <c r="AU83" s="113"/>
    </row>
    <row r="84" spans="2:47" ht="15" customHeight="1" x14ac:dyDescent="0.15">
      <c r="B84" s="3513"/>
      <c r="C84" s="3514"/>
      <c r="D84" s="3515"/>
      <c r="E84" s="3516"/>
      <c r="F84" s="3517"/>
      <c r="G84" s="3518"/>
      <c r="H84" s="3486"/>
      <c r="I84" s="3487"/>
      <c r="J84" s="3497"/>
      <c r="K84" s="3498"/>
      <c r="L84" s="3486"/>
      <c r="M84" s="3519"/>
      <c r="N84" s="3497"/>
      <c r="O84" s="3497"/>
      <c r="P84" s="3498"/>
      <c r="Q84" s="3486"/>
      <c r="R84" s="3487"/>
      <c r="S84" s="3497"/>
      <c r="T84" s="3497"/>
      <c r="U84" s="3498"/>
      <c r="V84" s="3486"/>
      <c r="W84" s="3487"/>
      <c r="X84" s="3497"/>
      <c r="Y84" s="3497"/>
      <c r="Z84" s="3498"/>
      <c r="AA84" s="3486"/>
      <c r="AB84" s="3487"/>
      <c r="AC84" s="3497"/>
      <c r="AD84" s="3497"/>
      <c r="AE84" s="3498"/>
      <c r="AF84" s="3486"/>
      <c r="AG84" s="3487"/>
      <c r="AH84" s="3497"/>
      <c r="AI84" s="3497"/>
      <c r="AJ84" s="3494">
        <f>入力2【名簿】!AK72</f>
        <v>0</v>
      </c>
      <c r="AK84" s="3495"/>
      <c r="AL84" s="3495"/>
      <c r="AM84" s="3495"/>
      <c r="AN84" s="3495"/>
      <c r="AO84" s="3496"/>
      <c r="AP84" s="3491"/>
      <c r="AQ84" s="3492"/>
      <c r="AR84" s="3492"/>
      <c r="AS84" s="3492"/>
      <c r="AT84" s="3493"/>
      <c r="AU84" s="113"/>
    </row>
    <row r="85" spans="2:47" ht="15" customHeight="1" x14ac:dyDescent="0.15">
      <c r="B85" s="3499">
        <v>30</v>
      </c>
      <c r="C85" s="3501">
        <f>入力2【名簿】!D73</f>
        <v>0</v>
      </c>
      <c r="D85" s="3502"/>
      <c r="E85" s="3505">
        <f>入力2【名簿】!E73</f>
        <v>0</v>
      </c>
      <c r="F85" s="3507">
        <f>入力2【名簿】!G73</f>
        <v>0</v>
      </c>
      <c r="G85" s="3509">
        <f>入力2【名簿】!H73</f>
        <v>0</v>
      </c>
      <c r="H85" s="3473">
        <f>入力2【名簿】!I73</f>
        <v>0</v>
      </c>
      <c r="I85" s="3474"/>
      <c r="J85" s="3469">
        <f>入力2【名簿】!K73</f>
        <v>0</v>
      </c>
      <c r="K85" s="3471">
        <f>入力2【名簿】!L73</f>
        <v>0</v>
      </c>
      <c r="L85" s="3473">
        <f>入力2【名簿】!M73</f>
        <v>0</v>
      </c>
      <c r="M85" s="3511"/>
      <c r="N85" s="3469">
        <f>入力2【名簿】!O73</f>
        <v>0</v>
      </c>
      <c r="O85" s="3469">
        <f>入力2【名簿】!P73</f>
        <v>0</v>
      </c>
      <c r="P85" s="3471">
        <f>入力2【名簿】!Q73</f>
        <v>0</v>
      </c>
      <c r="Q85" s="3473">
        <f>入力2【名簿】!R73</f>
        <v>0</v>
      </c>
      <c r="R85" s="3474"/>
      <c r="S85" s="3469">
        <f>入力2【名簿】!T73</f>
        <v>0</v>
      </c>
      <c r="T85" s="3469">
        <f>入力2【名簿】!U73</f>
        <v>0</v>
      </c>
      <c r="U85" s="3471">
        <f>入力2【名簿】!V73</f>
        <v>0</v>
      </c>
      <c r="V85" s="3473">
        <f>入力2【名簿】!W73</f>
        <v>0</v>
      </c>
      <c r="W85" s="3474"/>
      <c r="X85" s="3469">
        <f>入力2【名簿】!Y73</f>
        <v>0</v>
      </c>
      <c r="Y85" s="3469">
        <f>入力2【名簿】!Z73</f>
        <v>0</v>
      </c>
      <c r="Z85" s="3471">
        <f>入力2【名簿】!AA73</f>
        <v>0</v>
      </c>
      <c r="AA85" s="3473">
        <f>入力2【名簿】!AB73</f>
        <v>0</v>
      </c>
      <c r="AB85" s="3474"/>
      <c r="AC85" s="3469">
        <f>入力2【名簿】!AD73</f>
        <v>0</v>
      </c>
      <c r="AD85" s="3469">
        <f>入力2【名簿】!AE73</f>
        <v>0</v>
      </c>
      <c r="AE85" s="3471">
        <f>入力2【名簿】!AF73</f>
        <v>0</v>
      </c>
      <c r="AF85" s="3473">
        <f>入力2【名簿】!AG73</f>
        <v>0</v>
      </c>
      <c r="AG85" s="3474"/>
      <c r="AH85" s="3469">
        <f>入力2【名簿】!AI73</f>
        <v>0</v>
      </c>
      <c r="AI85" s="3469">
        <f>入力2【名簿】!AJ73</f>
        <v>0</v>
      </c>
      <c r="AJ85" s="3477">
        <f>入力2【名簿】!AK73</f>
        <v>0</v>
      </c>
      <c r="AK85" s="3478"/>
      <c r="AL85" s="3478"/>
      <c r="AM85" s="3478"/>
      <c r="AN85" s="3478"/>
      <c r="AO85" s="3479"/>
      <c r="AP85" s="3480">
        <f>入力2【名簿】!AO73</f>
        <v>0</v>
      </c>
      <c r="AQ85" s="3481"/>
      <c r="AR85" s="3481"/>
      <c r="AS85" s="3481"/>
      <c r="AT85" s="3482"/>
      <c r="AU85" s="113"/>
    </row>
    <row r="86" spans="2:47" ht="15" customHeight="1" thickBot="1" x14ac:dyDescent="0.2">
      <c r="B86" s="3500"/>
      <c r="C86" s="3503"/>
      <c r="D86" s="3504"/>
      <c r="E86" s="3506"/>
      <c r="F86" s="3508"/>
      <c r="G86" s="3510"/>
      <c r="H86" s="3475"/>
      <c r="I86" s="3476"/>
      <c r="J86" s="3470"/>
      <c r="K86" s="3472"/>
      <c r="L86" s="3475"/>
      <c r="M86" s="3512"/>
      <c r="N86" s="3470"/>
      <c r="O86" s="3470"/>
      <c r="P86" s="3472"/>
      <c r="Q86" s="3475"/>
      <c r="R86" s="3476"/>
      <c r="S86" s="3470"/>
      <c r="T86" s="3470"/>
      <c r="U86" s="3472"/>
      <c r="V86" s="3475"/>
      <c r="W86" s="3476"/>
      <c r="X86" s="3470"/>
      <c r="Y86" s="3470"/>
      <c r="Z86" s="3472"/>
      <c r="AA86" s="3475"/>
      <c r="AB86" s="3476"/>
      <c r="AC86" s="3470"/>
      <c r="AD86" s="3470"/>
      <c r="AE86" s="3472"/>
      <c r="AF86" s="3475"/>
      <c r="AG86" s="3476"/>
      <c r="AH86" s="3470"/>
      <c r="AI86" s="3470"/>
      <c r="AJ86" s="3488">
        <f>入力2【名簿】!AK74</f>
        <v>0</v>
      </c>
      <c r="AK86" s="3489"/>
      <c r="AL86" s="3489"/>
      <c r="AM86" s="3489"/>
      <c r="AN86" s="3489"/>
      <c r="AO86" s="3490"/>
      <c r="AP86" s="3483"/>
      <c r="AQ86" s="3484"/>
      <c r="AR86" s="3484"/>
      <c r="AS86" s="3484"/>
      <c r="AT86" s="3485"/>
      <c r="AU86" s="113"/>
    </row>
    <row r="87" spans="2:47" ht="46.5" customHeight="1" x14ac:dyDescent="0.15">
      <c r="B87" s="497"/>
      <c r="C87" s="498"/>
      <c r="D87" s="498"/>
      <c r="E87" s="499"/>
      <c r="F87" s="500"/>
      <c r="G87" s="500"/>
      <c r="H87" s="501"/>
      <c r="I87" s="501"/>
      <c r="J87" s="502"/>
      <c r="K87" s="502"/>
      <c r="L87" s="501"/>
      <c r="M87" s="501"/>
      <c r="N87" s="502"/>
      <c r="O87" s="502"/>
      <c r="P87" s="502"/>
      <c r="Q87" s="501"/>
      <c r="R87" s="501"/>
      <c r="S87" s="502"/>
      <c r="T87" s="502"/>
      <c r="U87" s="502"/>
      <c r="V87" s="501"/>
      <c r="W87" s="501"/>
      <c r="X87" s="502"/>
      <c r="Y87" s="502"/>
      <c r="Z87" s="502"/>
      <c r="AA87" s="501"/>
      <c r="AB87" s="501"/>
      <c r="AC87" s="502"/>
      <c r="AD87" s="502"/>
      <c r="AE87" s="502"/>
      <c r="AF87" s="501"/>
      <c r="AG87" s="988"/>
      <c r="AH87" s="989"/>
      <c r="AI87" s="989"/>
      <c r="AJ87" s="990"/>
      <c r="AK87" s="990"/>
      <c r="AL87" s="990"/>
      <c r="AM87" s="990"/>
      <c r="AN87" s="990"/>
      <c r="AO87" s="990"/>
      <c r="AP87" s="991"/>
      <c r="AQ87" s="991"/>
      <c r="AR87" s="991"/>
      <c r="AS87" s="991"/>
      <c r="AT87" s="991"/>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topLeftCell="A8" zoomScale="90" zoomScaleNormal="100" zoomScaleSheetLayoutView="90" workbookViewId="0">
      <selection activeCell="P13" sqref="P13:AA19"/>
    </sheetView>
  </sheetViews>
  <sheetFormatPr defaultColWidth="2.5" defaultRowHeight="13.5" x14ac:dyDescent="0.1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x14ac:dyDescent="0.15">
      <c r="A1" s="368" t="s">
        <v>315</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row>
    <row r="2" spans="1:55" ht="11.25" customHeight="1" x14ac:dyDescent="0.15">
      <c r="A2" s="992"/>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row>
    <row r="3" spans="1:55" ht="7.5" customHeight="1" thickBot="1" x14ac:dyDescent="0.2">
      <c r="A3" s="993"/>
      <c r="B3" s="994"/>
      <c r="C3" s="994"/>
      <c r="D3" s="994"/>
      <c r="E3" s="994"/>
      <c r="F3" s="994"/>
      <c r="G3" s="994"/>
      <c r="H3" s="994"/>
      <c r="I3" s="994"/>
      <c r="J3" s="994"/>
      <c r="K3" s="994"/>
      <c r="L3" s="994"/>
      <c r="M3" s="994"/>
      <c r="N3" s="995"/>
      <c r="O3" s="994"/>
      <c r="P3" s="994"/>
      <c r="Q3" s="994"/>
      <c r="R3" s="994"/>
      <c r="S3" s="994"/>
      <c r="T3" s="994"/>
      <c r="U3" s="994"/>
      <c r="V3" s="994"/>
      <c r="W3" s="994"/>
      <c r="X3" s="994"/>
      <c r="Y3" s="994"/>
      <c r="Z3" s="994"/>
      <c r="AA3" s="994"/>
      <c r="AB3" s="995"/>
    </row>
    <row r="4" spans="1:55" s="363" customFormat="1" ht="19.5" customHeight="1" x14ac:dyDescent="0.15">
      <c r="A4" s="996"/>
      <c r="B4" s="3612" t="str">
        <f>入力1!B7</f>
        <v/>
      </c>
      <c r="C4" s="3613"/>
      <c r="D4" s="3613"/>
      <c r="E4" s="3613"/>
      <c r="F4" s="3613"/>
      <c r="G4" s="3613"/>
      <c r="H4" s="3613"/>
      <c r="I4" s="3613"/>
      <c r="J4" s="3613"/>
      <c r="K4" s="3613"/>
      <c r="L4" s="3613"/>
      <c r="M4" s="3614"/>
      <c r="N4" s="997"/>
      <c r="O4" s="998"/>
      <c r="P4" s="3612" t="str">
        <f>$B$4</f>
        <v/>
      </c>
      <c r="Q4" s="3613"/>
      <c r="R4" s="3613"/>
      <c r="S4" s="3613"/>
      <c r="T4" s="3613"/>
      <c r="U4" s="3613"/>
      <c r="V4" s="3613"/>
      <c r="W4" s="3613"/>
      <c r="X4" s="3613"/>
      <c r="Y4" s="3613"/>
      <c r="Z4" s="3613"/>
      <c r="AA4" s="3614"/>
      <c r="AB4" s="3624"/>
      <c r="AC4" s="367"/>
      <c r="AD4" s="366"/>
      <c r="AE4" s="366"/>
      <c r="AF4" s="366"/>
      <c r="AG4" s="366"/>
      <c r="AH4" s="366"/>
      <c r="AI4" s="366"/>
      <c r="AJ4" s="366"/>
      <c r="AK4" s="366"/>
      <c r="AL4" s="366"/>
      <c r="AM4" s="366"/>
      <c r="AN4" s="366"/>
      <c r="AO4" s="364"/>
      <c r="AP4" s="364"/>
      <c r="AQ4" s="367"/>
      <c r="AR4" s="366"/>
      <c r="AS4" s="366"/>
      <c r="AT4" s="366"/>
      <c r="AU4" s="366"/>
      <c r="AV4" s="366"/>
      <c r="AW4" s="366"/>
      <c r="AX4" s="366"/>
      <c r="AY4" s="366"/>
      <c r="AZ4" s="366"/>
      <c r="BA4" s="366"/>
      <c r="BB4" s="366"/>
      <c r="BC4" s="364"/>
    </row>
    <row r="5" spans="1:55" s="363" customFormat="1" ht="19.5" customHeight="1" x14ac:dyDescent="0.15">
      <c r="A5" s="996"/>
      <c r="B5" s="3615"/>
      <c r="C5" s="3616"/>
      <c r="D5" s="3616"/>
      <c r="E5" s="3616"/>
      <c r="F5" s="3616"/>
      <c r="G5" s="3616"/>
      <c r="H5" s="3616"/>
      <c r="I5" s="3616"/>
      <c r="J5" s="3616"/>
      <c r="K5" s="3616"/>
      <c r="L5" s="3616"/>
      <c r="M5" s="3617"/>
      <c r="N5" s="997"/>
      <c r="O5" s="996"/>
      <c r="P5" s="3615"/>
      <c r="Q5" s="3616"/>
      <c r="R5" s="3616"/>
      <c r="S5" s="3616"/>
      <c r="T5" s="3616"/>
      <c r="U5" s="3616"/>
      <c r="V5" s="3616"/>
      <c r="W5" s="3616"/>
      <c r="X5" s="3616"/>
      <c r="Y5" s="3616"/>
      <c r="Z5" s="3616"/>
      <c r="AA5" s="3617"/>
      <c r="AB5" s="3625"/>
      <c r="AC5" s="366"/>
      <c r="AD5" s="366"/>
      <c r="AE5" s="366"/>
      <c r="AF5" s="366"/>
      <c r="AG5" s="366"/>
      <c r="AH5" s="366"/>
      <c r="AI5" s="366"/>
      <c r="AJ5" s="366"/>
      <c r="AK5" s="366"/>
      <c r="AL5" s="366"/>
      <c r="AM5" s="366"/>
      <c r="AN5" s="366"/>
      <c r="AO5" s="364"/>
      <c r="AP5" s="364"/>
      <c r="AQ5" s="366"/>
      <c r="AR5" s="366"/>
      <c r="AS5" s="366"/>
      <c r="AT5" s="366"/>
      <c r="AU5" s="366"/>
      <c r="AV5" s="366"/>
      <c r="AW5" s="366"/>
      <c r="AX5" s="366"/>
      <c r="AY5" s="366"/>
      <c r="AZ5" s="366"/>
      <c r="BA5" s="366"/>
      <c r="BB5" s="366"/>
      <c r="BC5" s="364"/>
    </row>
    <row r="6" spans="1:55" s="363" customFormat="1" ht="19.5" customHeight="1" x14ac:dyDescent="0.15">
      <c r="A6" s="996"/>
      <c r="B6" s="3615"/>
      <c r="C6" s="3616"/>
      <c r="D6" s="3616"/>
      <c r="E6" s="3616"/>
      <c r="F6" s="3616"/>
      <c r="G6" s="3616"/>
      <c r="H6" s="3616"/>
      <c r="I6" s="3616"/>
      <c r="J6" s="3616"/>
      <c r="K6" s="3616"/>
      <c r="L6" s="3616"/>
      <c r="M6" s="3617"/>
      <c r="N6" s="997"/>
      <c r="O6" s="996"/>
      <c r="P6" s="3615"/>
      <c r="Q6" s="3616"/>
      <c r="R6" s="3616"/>
      <c r="S6" s="3616"/>
      <c r="T6" s="3616"/>
      <c r="U6" s="3616"/>
      <c r="V6" s="3616"/>
      <c r="W6" s="3616"/>
      <c r="X6" s="3616"/>
      <c r="Y6" s="3616"/>
      <c r="Z6" s="3616"/>
      <c r="AA6" s="3617"/>
      <c r="AB6" s="3625"/>
      <c r="AC6" s="366"/>
      <c r="AD6" s="366"/>
      <c r="AE6" s="366"/>
      <c r="AF6" s="366"/>
      <c r="AG6" s="366"/>
      <c r="AH6" s="366"/>
      <c r="AI6" s="366"/>
      <c r="AJ6" s="366"/>
      <c r="AK6" s="366"/>
      <c r="AL6" s="366"/>
      <c r="AM6" s="366"/>
      <c r="AN6" s="366"/>
      <c r="AO6" s="364"/>
      <c r="AP6" s="364"/>
      <c r="AQ6" s="366"/>
      <c r="AR6" s="366"/>
      <c r="AS6" s="366"/>
      <c r="AT6" s="366"/>
      <c r="AU6" s="366"/>
      <c r="AV6" s="366"/>
      <c r="AW6" s="366"/>
      <c r="AX6" s="366"/>
      <c r="AY6" s="366"/>
      <c r="AZ6" s="366"/>
      <c r="BA6" s="366"/>
      <c r="BB6" s="366"/>
      <c r="BC6" s="364"/>
    </row>
    <row r="7" spans="1:55" s="363" customFormat="1" ht="24" customHeight="1" x14ac:dyDescent="0.15">
      <c r="A7" s="996"/>
      <c r="B7" s="3618"/>
      <c r="C7" s="3619"/>
      <c r="D7" s="3619"/>
      <c r="E7" s="3619"/>
      <c r="F7" s="3619"/>
      <c r="G7" s="3619"/>
      <c r="H7" s="3619"/>
      <c r="I7" s="3619"/>
      <c r="J7" s="3619"/>
      <c r="K7" s="3619"/>
      <c r="L7" s="3619"/>
      <c r="M7" s="3620"/>
      <c r="N7" s="997"/>
      <c r="O7" s="996"/>
      <c r="P7" s="3618"/>
      <c r="Q7" s="3619"/>
      <c r="R7" s="3619"/>
      <c r="S7" s="3619"/>
      <c r="T7" s="3619"/>
      <c r="U7" s="3619"/>
      <c r="V7" s="3619"/>
      <c r="W7" s="3619"/>
      <c r="X7" s="3619"/>
      <c r="Y7" s="3619"/>
      <c r="Z7" s="3619"/>
      <c r="AA7" s="3620"/>
      <c r="AB7" s="999"/>
      <c r="AC7" s="365"/>
      <c r="AD7" s="365"/>
      <c r="AE7" s="365"/>
      <c r="AF7" s="365"/>
      <c r="AG7" s="365"/>
      <c r="AH7" s="365"/>
      <c r="AI7" s="365"/>
      <c r="AJ7" s="365"/>
      <c r="AK7" s="365"/>
      <c r="AL7" s="365"/>
      <c r="AM7" s="365"/>
      <c r="AN7" s="365"/>
      <c r="AO7" s="364"/>
      <c r="AP7" s="364"/>
      <c r="AQ7" s="365"/>
      <c r="AR7" s="365"/>
      <c r="AS7" s="365"/>
      <c r="AT7" s="365"/>
      <c r="AU7" s="365"/>
      <c r="AV7" s="365"/>
      <c r="AW7" s="365"/>
      <c r="AX7" s="365"/>
      <c r="AY7" s="365"/>
      <c r="AZ7" s="365"/>
      <c r="BA7" s="365"/>
      <c r="BB7" s="365"/>
      <c r="BC7" s="364"/>
    </row>
    <row r="8" spans="1:55" s="363" customFormat="1" ht="24" customHeight="1" x14ac:dyDescent="0.15">
      <c r="A8" s="996"/>
      <c r="B8" s="3618"/>
      <c r="C8" s="3619"/>
      <c r="D8" s="3619"/>
      <c r="E8" s="3619"/>
      <c r="F8" s="3619"/>
      <c r="G8" s="3619"/>
      <c r="H8" s="3619"/>
      <c r="I8" s="3619"/>
      <c r="J8" s="3619"/>
      <c r="K8" s="3619"/>
      <c r="L8" s="3619"/>
      <c r="M8" s="3620"/>
      <c r="N8" s="997"/>
      <c r="O8" s="996"/>
      <c r="P8" s="3618"/>
      <c r="Q8" s="3619"/>
      <c r="R8" s="3619"/>
      <c r="S8" s="3619"/>
      <c r="T8" s="3619"/>
      <c r="U8" s="3619"/>
      <c r="V8" s="3619"/>
      <c r="W8" s="3619"/>
      <c r="X8" s="3619"/>
      <c r="Y8" s="3619"/>
      <c r="Z8" s="3619"/>
      <c r="AA8" s="3620"/>
      <c r="AB8" s="997"/>
      <c r="AC8" s="365"/>
      <c r="AD8" s="365"/>
      <c r="AE8" s="365"/>
      <c r="AF8" s="365"/>
      <c r="AG8" s="365"/>
      <c r="AH8" s="365"/>
      <c r="AI8" s="365"/>
      <c r="AJ8" s="365"/>
      <c r="AK8" s="365"/>
      <c r="AL8" s="365"/>
      <c r="AM8" s="365"/>
      <c r="AN8" s="365"/>
      <c r="AO8" s="364"/>
      <c r="AP8" s="364"/>
      <c r="AQ8" s="365"/>
      <c r="AR8" s="365"/>
      <c r="AS8" s="365"/>
      <c r="AT8" s="365"/>
      <c r="AU8" s="365"/>
      <c r="AV8" s="365"/>
      <c r="AW8" s="365"/>
      <c r="AX8" s="365"/>
      <c r="AY8" s="365"/>
      <c r="AZ8" s="365"/>
      <c r="BA8" s="365"/>
      <c r="BB8" s="365"/>
      <c r="BC8" s="364"/>
    </row>
    <row r="9" spans="1:55" s="363" customFormat="1" ht="24" customHeight="1" x14ac:dyDescent="0.15">
      <c r="A9" s="996"/>
      <c r="B9" s="3618"/>
      <c r="C9" s="3619"/>
      <c r="D9" s="3619"/>
      <c r="E9" s="3619"/>
      <c r="F9" s="3619"/>
      <c r="G9" s="3619"/>
      <c r="H9" s="3619"/>
      <c r="I9" s="3619"/>
      <c r="J9" s="3619"/>
      <c r="K9" s="3619"/>
      <c r="L9" s="3619"/>
      <c r="M9" s="3620"/>
      <c r="N9" s="997"/>
      <c r="O9" s="996"/>
      <c r="P9" s="3618"/>
      <c r="Q9" s="3619"/>
      <c r="R9" s="3619"/>
      <c r="S9" s="3619"/>
      <c r="T9" s="3619"/>
      <c r="U9" s="3619"/>
      <c r="V9" s="3619"/>
      <c r="W9" s="3619"/>
      <c r="X9" s="3619"/>
      <c r="Y9" s="3619"/>
      <c r="Z9" s="3619"/>
      <c r="AA9" s="3620"/>
      <c r="AB9" s="997"/>
      <c r="AC9" s="365"/>
      <c r="AD9" s="365"/>
      <c r="AE9" s="365"/>
      <c r="AF9" s="365"/>
      <c r="AG9" s="365"/>
      <c r="AH9" s="365"/>
      <c r="AI9" s="365"/>
      <c r="AJ9" s="365"/>
      <c r="AK9" s="365"/>
      <c r="AL9" s="365"/>
      <c r="AM9" s="365"/>
      <c r="AN9" s="365"/>
      <c r="AO9" s="364"/>
      <c r="AP9" s="364"/>
      <c r="AQ9" s="365"/>
      <c r="AR9" s="365"/>
      <c r="AS9" s="365"/>
      <c r="AT9" s="365"/>
      <c r="AU9" s="365"/>
      <c r="AV9" s="365"/>
      <c r="AW9" s="365"/>
      <c r="AX9" s="365"/>
      <c r="AY9" s="365"/>
      <c r="AZ9" s="365"/>
      <c r="BA9" s="365"/>
      <c r="BB9" s="365"/>
      <c r="BC9" s="364"/>
    </row>
    <row r="10" spans="1:55" s="363" customFormat="1" ht="24" customHeight="1" thickBot="1" x14ac:dyDescent="0.2">
      <c r="A10" s="996"/>
      <c r="B10" s="3621"/>
      <c r="C10" s="3622"/>
      <c r="D10" s="3622"/>
      <c r="E10" s="3622"/>
      <c r="F10" s="3622"/>
      <c r="G10" s="3622"/>
      <c r="H10" s="3622"/>
      <c r="I10" s="3622"/>
      <c r="J10" s="3622"/>
      <c r="K10" s="3622"/>
      <c r="L10" s="3622"/>
      <c r="M10" s="3623"/>
      <c r="N10" s="997"/>
      <c r="O10" s="996"/>
      <c r="P10" s="3621"/>
      <c r="Q10" s="3622"/>
      <c r="R10" s="3622"/>
      <c r="S10" s="3622"/>
      <c r="T10" s="3622"/>
      <c r="U10" s="3622"/>
      <c r="V10" s="3622"/>
      <c r="W10" s="3622"/>
      <c r="X10" s="3622"/>
      <c r="Y10" s="3622"/>
      <c r="Z10" s="3622"/>
      <c r="AA10" s="3623"/>
      <c r="AB10" s="997"/>
      <c r="AC10" s="365"/>
      <c r="AD10" s="365"/>
      <c r="AE10" s="365"/>
      <c r="AF10" s="365"/>
      <c r="AG10" s="365"/>
      <c r="AH10" s="365"/>
      <c r="AI10" s="365"/>
      <c r="AJ10" s="365"/>
      <c r="AK10" s="365"/>
      <c r="AL10" s="365"/>
      <c r="AM10" s="365"/>
      <c r="AN10" s="365"/>
      <c r="AO10" s="364"/>
      <c r="AP10" s="364"/>
      <c r="AQ10" s="365"/>
      <c r="AR10" s="365"/>
      <c r="AS10" s="365"/>
      <c r="AT10" s="365"/>
      <c r="AU10" s="365"/>
      <c r="AV10" s="365"/>
      <c r="AW10" s="365"/>
      <c r="AX10" s="365"/>
      <c r="AY10" s="365"/>
      <c r="AZ10" s="365"/>
      <c r="BA10" s="365"/>
      <c r="BB10" s="365"/>
      <c r="BC10" s="364"/>
    </row>
    <row r="11" spans="1:55" s="363" customFormat="1" ht="6" customHeight="1" x14ac:dyDescent="0.15">
      <c r="A11" s="996"/>
      <c r="B11" s="1000"/>
      <c r="C11" s="1000"/>
      <c r="D11" s="1000"/>
      <c r="E11" s="1000"/>
      <c r="F11" s="1000"/>
      <c r="G11" s="1000"/>
      <c r="H11" s="1000"/>
      <c r="I11" s="1000"/>
      <c r="J11" s="1000"/>
      <c r="K11" s="1000"/>
      <c r="L11" s="1000"/>
      <c r="M11" s="1000"/>
      <c r="N11" s="997"/>
      <c r="O11" s="996"/>
      <c r="P11" s="1000"/>
      <c r="Q11" s="1000"/>
      <c r="R11" s="1000"/>
      <c r="S11" s="1000"/>
      <c r="T11" s="1000"/>
      <c r="U11" s="1000"/>
      <c r="V11" s="1000"/>
      <c r="W11" s="1000"/>
      <c r="X11" s="1000"/>
      <c r="Y11" s="1000"/>
      <c r="Z11" s="1000"/>
      <c r="AA11" s="1000"/>
      <c r="AB11" s="997"/>
      <c r="AC11" s="365"/>
      <c r="AD11" s="365"/>
      <c r="AE11" s="365"/>
      <c r="AF11" s="365"/>
      <c r="AG11" s="365"/>
      <c r="AH11" s="365"/>
      <c r="AI11" s="365"/>
      <c r="AJ11" s="365"/>
      <c r="AK11" s="365"/>
      <c r="AL11" s="365"/>
      <c r="AM11" s="365"/>
      <c r="AN11" s="365"/>
      <c r="AO11" s="364"/>
      <c r="AP11" s="364"/>
      <c r="AQ11" s="365"/>
      <c r="AR11" s="365"/>
      <c r="AS11" s="365"/>
      <c r="AT11" s="365"/>
      <c r="AU11" s="365"/>
      <c r="AV11" s="365"/>
      <c r="AW11" s="365"/>
      <c r="AX11" s="365"/>
      <c r="AY11" s="365"/>
      <c r="AZ11" s="365"/>
      <c r="BA11" s="365"/>
      <c r="BB11" s="365"/>
      <c r="BC11" s="364"/>
    </row>
    <row r="12" spans="1:55" s="363" customFormat="1" ht="6" customHeight="1" thickBot="1" x14ac:dyDescent="0.2">
      <c r="A12" s="1001"/>
      <c r="B12" s="1002"/>
      <c r="C12" s="1002"/>
      <c r="D12" s="1002"/>
      <c r="E12" s="1002"/>
      <c r="F12" s="1002"/>
      <c r="G12" s="1002"/>
      <c r="H12" s="1002"/>
      <c r="I12" s="1002"/>
      <c r="J12" s="1002"/>
      <c r="K12" s="1002"/>
      <c r="L12" s="1002"/>
      <c r="M12" s="1002"/>
      <c r="N12" s="1003"/>
      <c r="O12" s="1001"/>
      <c r="P12" s="1002"/>
      <c r="Q12" s="1002"/>
      <c r="R12" s="1002"/>
      <c r="S12" s="1002"/>
      <c r="T12" s="1002"/>
      <c r="U12" s="1002"/>
      <c r="V12" s="1002"/>
      <c r="W12" s="1002"/>
      <c r="X12" s="1002"/>
      <c r="Y12" s="1002"/>
      <c r="Z12" s="1002"/>
      <c r="AA12" s="1002"/>
      <c r="AB12" s="1003"/>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row>
    <row r="13" spans="1:55" s="363" customFormat="1" ht="19.5" customHeight="1" x14ac:dyDescent="0.15">
      <c r="A13" s="996"/>
      <c r="B13" s="3612" t="str">
        <f>$B$4</f>
        <v/>
      </c>
      <c r="C13" s="3613"/>
      <c r="D13" s="3613"/>
      <c r="E13" s="3613"/>
      <c r="F13" s="3613"/>
      <c r="G13" s="3613"/>
      <c r="H13" s="3613"/>
      <c r="I13" s="3613"/>
      <c r="J13" s="3613"/>
      <c r="K13" s="3613"/>
      <c r="L13" s="3613"/>
      <c r="M13" s="3614"/>
      <c r="N13" s="997"/>
      <c r="O13" s="996"/>
      <c r="P13" s="3612" t="str">
        <f>$B$4</f>
        <v/>
      </c>
      <c r="Q13" s="3613"/>
      <c r="R13" s="3613"/>
      <c r="S13" s="3613"/>
      <c r="T13" s="3613"/>
      <c r="U13" s="3613"/>
      <c r="V13" s="3613"/>
      <c r="W13" s="3613"/>
      <c r="X13" s="3613"/>
      <c r="Y13" s="3613"/>
      <c r="Z13" s="3613"/>
      <c r="AA13" s="3614"/>
      <c r="AB13" s="997"/>
      <c r="AC13" s="367"/>
      <c r="AD13" s="366"/>
      <c r="AE13" s="366"/>
      <c r="AF13" s="366"/>
      <c r="AG13" s="366"/>
      <c r="AH13" s="366"/>
      <c r="AI13" s="366"/>
      <c r="AJ13" s="366"/>
      <c r="AK13" s="366"/>
      <c r="AL13" s="366"/>
      <c r="AM13" s="366"/>
      <c r="AN13" s="366"/>
      <c r="AO13" s="364"/>
      <c r="AP13" s="364"/>
      <c r="AQ13" s="367"/>
      <c r="AR13" s="366"/>
      <c r="AS13" s="366"/>
      <c r="AT13" s="366"/>
      <c r="AU13" s="366"/>
      <c r="AV13" s="366"/>
      <c r="AW13" s="366"/>
      <c r="AX13" s="366"/>
      <c r="AY13" s="366"/>
      <c r="AZ13" s="366"/>
      <c r="BA13" s="366"/>
      <c r="BB13" s="366"/>
      <c r="BC13" s="364"/>
    </row>
    <row r="14" spans="1:55" s="363" customFormat="1" ht="19.5" customHeight="1" x14ac:dyDescent="0.15">
      <c r="A14" s="996"/>
      <c r="B14" s="3615"/>
      <c r="C14" s="3616"/>
      <c r="D14" s="3616"/>
      <c r="E14" s="3616"/>
      <c r="F14" s="3616"/>
      <c r="G14" s="3616"/>
      <c r="H14" s="3616"/>
      <c r="I14" s="3616"/>
      <c r="J14" s="3616"/>
      <c r="K14" s="3616"/>
      <c r="L14" s="3616"/>
      <c r="M14" s="3617"/>
      <c r="N14" s="997"/>
      <c r="O14" s="996"/>
      <c r="P14" s="3615"/>
      <c r="Q14" s="3616"/>
      <c r="R14" s="3616"/>
      <c r="S14" s="3616"/>
      <c r="T14" s="3616"/>
      <c r="U14" s="3616"/>
      <c r="V14" s="3616"/>
      <c r="W14" s="3616"/>
      <c r="X14" s="3616"/>
      <c r="Y14" s="3616"/>
      <c r="Z14" s="3616"/>
      <c r="AA14" s="3617"/>
      <c r="AB14" s="997"/>
      <c r="AC14" s="366"/>
      <c r="AD14" s="366"/>
      <c r="AE14" s="366"/>
      <c r="AF14" s="366"/>
      <c r="AG14" s="366"/>
      <c r="AH14" s="366"/>
      <c r="AI14" s="366"/>
      <c r="AJ14" s="366"/>
      <c r="AK14" s="366"/>
      <c r="AL14" s="366"/>
      <c r="AM14" s="366"/>
      <c r="AN14" s="366"/>
      <c r="AO14" s="364"/>
      <c r="AP14" s="364"/>
      <c r="AQ14" s="366"/>
      <c r="AR14" s="366"/>
      <c r="AS14" s="366"/>
      <c r="AT14" s="366"/>
      <c r="AU14" s="366"/>
      <c r="AV14" s="366"/>
      <c r="AW14" s="366"/>
      <c r="AX14" s="366"/>
      <c r="AY14" s="366"/>
      <c r="AZ14" s="366"/>
      <c r="BA14" s="366"/>
      <c r="BB14" s="366"/>
      <c r="BC14" s="364"/>
    </row>
    <row r="15" spans="1:55" s="363" customFormat="1" ht="19.5" customHeight="1" x14ac:dyDescent="0.15">
      <c r="A15" s="996"/>
      <c r="B15" s="3615"/>
      <c r="C15" s="3616"/>
      <c r="D15" s="3616"/>
      <c r="E15" s="3616"/>
      <c r="F15" s="3616"/>
      <c r="G15" s="3616"/>
      <c r="H15" s="3616"/>
      <c r="I15" s="3616"/>
      <c r="J15" s="3616"/>
      <c r="K15" s="3616"/>
      <c r="L15" s="3616"/>
      <c r="M15" s="3617"/>
      <c r="N15" s="997"/>
      <c r="O15" s="996"/>
      <c r="P15" s="3615"/>
      <c r="Q15" s="3616"/>
      <c r="R15" s="3616"/>
      <c r="S15" s="3616"/>
      <c r="T15" s="3616"/>
      <c r="U15" s="3616"/>
      <c r="V15" s="3616"/>
      <c r="W15" s="3616"/>
      <c r="X15" s="3616"/>
      <c r="Y15" s="3616"/>
      <c r="Z15" s="3616"/>
      <c r="AA15" s="3617"/>
      <c r="AB15" s="997"/>
      <c r="AC15" s="366"/>
      <c r="AD15" s="366"/>
      <c r="AE15" s="366"/>
      <c r="AF15" s="366"/>
      <c r="AG15" s="366"/>
      <c r="AH15" s="366"/>
      <c r="AI15" s="366"/>
      <c r="AJ15" s="366"/>
      <c r="AK15" s="366"/>
      <c r="AL15" s="366"/>
      <c r="AM15" s="366"/>
      <c r="AN15" s="366"/>
      <c r="AO15" s="364"/>
      <c r="AP15" s="364"/>
      <c r="AQ15" s="366"/>
      <c r="AR15" s="366"/>
      <c r="AS15" s="366"/>
      <c r="AT15" s="366"/>
      <c r="AU15" s="366"/>
      <c r="AV15" s="366"/>
      <c r="AW15" s="366"/>
      <c r="AX15" s="366"/>
      <c r="AY15" s="366"/>
      <c r="AZ15" s="366"/>
      <c r="BA15" s="366"/>
      <c r="BB15" s="366"/>
      <c r="BC15" s="364"/>
    </row>
    <row r="16" spans="1:55" s="363" customFormat="1" ht="24" customHeight="1" x14ac:dyDescent="0.15">
      <c r="A16" s="996"/>
      <c r="B16" s="3615"/>
      <c r="C16" s="3616"/>
      <c r="D16" s="3616"/>
      <c r="E16" s="3616"/>
      <c r="F16" s="3616"/>
      <c r="G16" s="3616"/>
      <c r="H16" s="3616"/>
      <c r="I16" s="3616"/>
      <c r="J16" s="3616"/>
      <c r="K16" s="3616"/>
      <c r="L16" s="3616"/>
      <c r="M16" s="3617"/>
      <c r="N16" s="997"/>
      <c r="O16" s="996"/>
      <c r="P16" s="3618"/>
      <c r="Q16" s="3619"/>
      <c r="R16" s="3619"/>
      <c r="S16" s="3619"/>
      <c r="T16" s="3619"/>
      <c r="U16" s="3619"/>
      <c r="V16" s="3619"/>
      <c r="W16" s="3619"/>
      <c r="X16" s="3619"/>
      <c r="Y16" s="3619"/>
      <c r="Z16" s="3619"/>
      <c r="AA16" s="3620"/>
      <c r="AB16" s="997"/>
      <c r="AC16" s="365"/>
      <c r="AD16" s="365"/>
      <c r="AE16" s="365"/>
      <c r="AF16" s="365"/>
      <c r="AG16" s="365"/>
      <c r="AH16" s="365"/>
      <c r="AI16" s="365"/>
      <c r="AJ16" s="365"/>
      <c r="AK16" s="365"/>
      <c r="AL16" s="365"/>
      <c r="AM16" s="365"/>
      <c r="AN16" s="365"/>
      <c r="AO16" s="364"/>
      <c r="AP16" s="364"/>
      <c r="AQ16" s="365"/>
      <c r="AR16" s="365"/>
      <c r="AS16" s="365"/>
      <c r="AT16" s="365"/>
      <c r="AU16" s="365"/>
      <c r="AV16" s="365"/>
      <c r="AW16" s="365"/>
      <c r="AX16" s="365"/>
      <c r="AY16" s="365"/>
      <c r="AZ16" s="365"/>
      <c r="BA16" s="365"/>
      <c r="BB16" s="365"/>
      <c r="BC16" s="364"/>
    </row>
    <row r="17" spans="1:55" s="363" customFormat="1" ht="24" customHeight="1" x14ac:dyDescent="0.15">
      <c r="A17" s="996"/>
      <c r="B17" s="3615"/>
      <c r="C17" s="3616"/>
      <c r="D17" s="3616"/>
      <c r="E17" s="3616"/>
      <c r="F17" s="3616"/>
      <c r="G17" s="3616"/>
      <c r="H17" s="3616"/>
      <c r="I17" s="3616"/>
      <c r="J17" s="3616"/>
      <c r="K17" s="3616"/>
      <c r="L17" s="3616"/>
      <c r="M17" s="3617"/>
      <c r="N17" s="997"/>
      <c r="O17" s="996"/>
      <c r="P17" s="3618"/>
      <c r="Q17" s="3619"/>
      <c r="R17" s="3619"/>
      <c r="S17" s="3619"/>
      <c r="T17" s="3619"/>
      <c r="U17" s="3619"/>
      <c r="V17" s="3619"/>
      <c r="W17" s="3619"/>
      <c r="X17" s="3619"/>
      <c r="Y17" s="3619"/>
      <c r="Z17" s="3619"/>
      <c r="AA17" s="3620"/>
      <c r="AB17" s="997"/>
      <c r="AC17" s="365"/>
      <c r="AD17" s="365"/>
      <c r="AE17" s="365"/>
      <c r="AF17" s="365"/>
      <c r="AG17" s="365"/>
      <c r="AH17" s="365"/>
      <c r="AI17" s="365"/>
      <c r="AJ17" s="365"/>
      <c r="AK17" s="365"/>
      <c r="AL17" s="365"/>
      <c r="AM17" s="365"/>
      <c r="AN17" s="365"/>
      <c r="AO17" s="364"/>
      <c r="AP17" s="364"/>
      <c r="AQ17" s="365"/>
      <c r="AR17" s="365"/>
      <c r="AS17" s="365"/>
      <c r="AT17" s="365"/>
      <c r="AU17" s="365"/>
      <c r="AV17" s="365"/>
      <c r="AW17" s="365"/>
      <c r="AX17" s="365"/>
      <c r="AY17" s="365"/>
      <c r="AZ17" s="365"/>
      <c r="BA17" s="365"/>
      <c r="BB17" s="365"/>
      <c r="BC17" s="364"/>
    </row>
    <row r="18" spans="1:55" s="363" customFormat="1" ht="24" customHeight="1" x14ac:dyDescent="0.15">
      <c r="A18" s="996"/>
      <c r="B18" s="3615"/>
      <c r="C18" s="3616"/>
      <c r="D18" s="3616"/>
      <c r="E18" s="3616"/>
      <c r="F18" s="3616"/>
      <c r="G18" s="3616"/>
      <c r="H18" s="3616"/>
      <c r="I18" s="3616"/>
      <c r="J18" s="3616"/>
      <c r="K18" s="3616"/>
      <c r="L18" s="3616"/>
      <c r="M18" s="3617"/>
      <c r="N18" s="997"/>
      <c r="O18" s="996"/>
      <c r="P18" s="3618"/>
      <c r="Q18" s="3619"/>
      <c r="R18" s="3619"/>
      <c r="S18" s="3619"/>
      <c r="T18" s="3619"/>
      <c r="U18" s="3619"/>
      <c r="V18" s="3619"/>
      <c r="W18" s="3619"/>
      <c r="X18" s="3619"/>
      <c r="Y18" s="3619"/>
      <c r="Z18" s="3619"/>
      <c r="AA18" s="3620"/>
      <c r="AB18" s="997"/>
      <c r="AC18" s="365"/>
      <c r="AD18" s="365"/>
      <c r="AE18" s="365"/>
      <c r="AF18" s="365"/>
      <c r="AG18" s="365"/>
      <c r="AH18" s="365"/>
      <c r="AI18" s="365"/>
      <c r="AJ18" s="365"/>
      <c r="AK18" s="365"/>
      <c r="AL18" s="365"/>
      <c r="AM18" s="365"/>
      <c r="AN18" s="365"/>
      <c r="AO18" s="364"/>
      <c r="AP18" s="364"/>
      <c r="AQ18" s="365"/>
      <c r="AR18" s="365"/>
      <c r="AS18" s="365"/>
      <c r="AT18" s="365"/>
      <c r="AU18" s="365"/>
      <c r="AV18" s="365"/>
      <c r="AW18" s="365"/>
      <c r="AX18" s="365"/>
      <c r="AY18" s="365"/>
      <c r="AZ18" s="365"/>
      <c r="BA18" s="365"/>
      <c r="BB18" s="365"/>
      <c r="BC18" s="364"/>
    </row>
    <row r="19" spans="1:55" s="363" customFormat="1" ht="24" customHeight="1" thickBot="1" x14ac:dyDescent="0.2">
      <c r="A19" s="996"/>
      <c r="B19" s="3626"/>
      <c r="C19" s="3627"/>
      <c r="D19" s="3627"/>
      <c r="E19" s="3627"/>
      <c r="F19" s="3627"/>
      <c r="G19" s="3627"/>
      <c r="H19" s="3627"/>
      <c r="I19" s="3627"/>
      <c r="J19" s="3627"/>
      <c r="K19" s="3627"/>
      <c r="L19" s="3627"/>
      <c r="M19" s="3628"/>
      <c r="N19" s="997"/>
      <c r="O19" s="996"/>
      <c r="P19" s="3621"/>
      <c r="Q19" s="3622"/>
      <c r="R19" s="3622"/>
      <c r="S19" s="3622"/>
      <c r="T19" s="3622"/>
      <c r="U19" s="3622"/>
      <c r="V19" s="3622"/>
      <c r="W19" s="3622"/>
      <c r="X19" s="3622"/>
      <c r="Y19" s="3622"/>
      <c r="Z19" s="3622"/>
      <c r="AA19" s="3623"/>
      <c r="AB19" s="997"/>
      <c r="AC19" s="365"/>
      <c r="AD19" s="365"/>
      <c r="AE19" s="365"/>
      <c r="AF19" s="365"/>
      <c r="AG19" s="365"/>
      <c r="AH19" s="365"/>
      <c r="AI19" s="365"/>
      <c r="AJ19" s="365"/>
      <c r="AK19" s="365"/>
      <c r="AL19" s="365"/>
      <c r="AM19" s="365"/>
      <c r="AN19" s="365"/>
      <c r="AO19" s="364"/>
      <c r="AP19" s="364"/>
      <c r="AQ19" s="365"/>
      <c r="AR19" s="365"/>
      <c r="AS19" s="365"/>
      <c r="AT19" s="365"/>
      <c r="AU19" s="365"/>
      <c r="AV19" s="365"/>
      <c r="AW19" s="365"/>
      <c r="AX19" s="365"/>
      <c r="AY19" s="365"/>
      <c r="AZ19" s="365"/>
      <c r="BA19" s="365"/>
      <c r="BB19" s="365"/>
      <c r="BC19" s="364"/>
    </row>
    <row r="20" spans="1:55" s="363" customFormat="1" ht="6" customHeight="1" x14ac:dyDescent="0.15">
      <c r="A20" s="996"/>
      <c r="B20" s="1000"/>
      <c r="C20" s="1000"/>
      <c r="D20" s="1000"/>
      <c r="E20" s="1000"/>
      <c r="F20" s="1000"/>
      <c r="G20" s="1000"/>
      <c r="H20" s="1000"/>
      <c r="I20" s="1000"/>
      <c r="J20" s="1000"/>
      <c r="K20" s="1000"/>
      <c r="L20" s="1000"/>
      <c r="M20" s="1000"/>
      <c r="N20" s="997"/>
      <c r="O20" s="996"/>
      <c r="P20" s="1000"/>
      <c r="Q20" s="1000"/>
      <c r="R20" s="1000"/>
      <c r="S20" s="1000"/>
      <c r="T20" s="1000"/>
      <c r="U20" s="1000"/>
      <c r="V20" s="1000"/>
      <c r="W20" s="1000"/>
      <c r="X20" s="1000"/>
      <c r="Y20" s="1000"/>
      <c r="Z20" s="1000"/>
      <c r="AA20" s="1000"/>
      <c r="AB20" s="997"/>
      <c r="AC20" s="365"/>
      <c r="AD20" s="365"/>
      <c r="AE20" s="365"/>
      <c r="AF20" s="365"/>
      <c r="AG20" s="365"/>
      <c r="AH20" s="365"/>
      <c r="AI20" s="365"/>
      <c r="AJ20" s="365"/>
      <c r="AK20" s="365"/>
      <c r="AL20" s="365"/>
      <c r="AM20" s="365"/>
      <c r="AN20" s="365"/>
      <c r="AO20" s="364"/>
      <c r="AP20" s="364"/>
      <c r="AQ20" s="365"/>
      <c r="AR20" s="365"/>
      <c r="AS20" s="365"/>
      <c r="AT20" s="365"/>
      <c r="AU20" s="365"/>
      <c r="AV20" s="365"/>
      <c r="AW20" s="365"/>
      <c r="AX20" s="365"/>
      <c r="AY20" s="365"/>
      <c r="AZ20" s="365"/>
      <c r="BA20" s="365"/>
      <c r="BB20" s="365"/>
      <c r="BC20" s="364"/>
    </row>
    <row r="21" spans="1:55" s="363" customFormat="1" ht="6" customHeight="1" thickBot="1" x14ac:dyDescent="0.2">
      <c r="A21" s="1001"/>
      <c r="B21" s="1002"/>
      <c r="C21" s="1002"/>
      <c r="D21" s="1002"/>
      <c r="E21" s="1002"/>
      <c r="F21" s="1002"/>
      <c r="G21" s="1002"/>
      <c r="H21" s="1002"/>
      <c r="I21" s="1002"/>
      <c r="J21" s="1002"/>
      <c r="K21" s="1002"/>
      <c r="L21" s="1002"/>
      <c r="M21" s="1002"/>
      <c r="N21" s="1003"/>
      <c r="O21" s="1001"/>
      <c r="P21" s="1002"/>
      <c r="Q21" s="1002"/>
      <c r="R21" s="1002"/>
      <c r="S21" s="1002"/>
      <c r="T21" s="1002"/>
      <c r="U21" s="1002"/>
      <c r="V21" s="1002"/>
      <c r="W21" s="1002"/>
      <c r="X21" s="1002"/>
      <c r="Y21" s="1002"/>
      <c r="Z21" s="1002"/>
      <c r="AA21" s="1002"/>
      <c r="AB21" s="1003"/>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row>
    <row r="22" spans="1:55" s="363" customFormat="1" ht="19.5" customHeight="1" x14ac:dyDescent="0.15">
      <c r="A22" s="996"/>
      <c r="B22" s="3612" t="str">
        <f>$B$4</f>
        <v/>
      </c>
      <c r="C22" s="3613"/>
      <c r="D22" s="3613"/>
      <c r="E22" s="3613"/>
      <c r="F22" s="3613"/>
      <c r="G22" s="3613"/>
      <c r="H22" s="3613"/>
      <c r="I22" s="3613"/>
      <c r="J22" s="3613"/>
      <c r="K22" s="3613"/>
      <c r="L22" s="3613"/>
      <c r="M22" s="3614"/>
      <c r="N22" s="997"/>
      <c r="O22" s="996"/>
      <c r="P22" s="3612" t="str">
        <f>$B$4</f>
        <v/>
      </c>
      <c r="Q22" s="3613"/>
      <c r="R22" s="3613"/>
      <c r="S22" s="3613"/>
      <c r="T22" s="3613"/>
      <c r="U22" s="3613"/>
      <c r="V22" s="3613"/>
      <c r="W22" s="3613"/>
      <c r="X22" s="3613"/>
      <c r="Y22" s="3613"/>
      <c r="Z22" s="3613"/>
      <c r="AA22" s="3614"/>
      <c r="AB22" s="997"/>
      <c r="AC22" s="367"/>
      <c r="AD22" s="366"/>
      <c r="AE22" s="366"/>
      <c r="AF22" s="366"/>
      <c r="AG22" s="366"/>
      <c r="AH22" s="366"/>
      <c r="AI22" s="366"/>
      <c r="AJ22" s="366"/>
      <c r="AK22" s="366"/>
      <c r="AL22" s="366"/>
      <c r="AM22" s="366"/>
      <c r="AN22" s="366"/>
      <c r="AO22" s="364"/>
      <c r="AP22" s="364"/>
      <c r="AQ22" s="367"/>
      <c r="AR22" s="366"/>
      <c r="AS22" s="366"/>
      <c r="AT22" s="366"/>
      <c r="AU22" s="366"/>
      <c r="AV22" s="366"/>
      <c r="AW22" s="366"/>
      <c r="AX22" s="366"/>
      <c r="AY22" s="366"/>
      <c r="AZ22" s="366"/>
      <c r="BA22" s="366"/>
      <c r="BB22" s="366"/>
      <c r="BC22" s="364"/>
    </row>
    <row r="23" spans="1:55" s="363" customFormat="1" ht="19.5" customHeight="1" x14ac:dyDescent="0.15">
      <c r="A23" s="996"/>
      <c r="B23" s="3615"/>
      <c r="C23" s="3616"/>
      <c r="D23" s="3616"/>
      <c r="E23" s="3616"/>
      <c r="F23" s="3616"/>
      <c r="G23" s="3616"/>
      <c r="H23" s="3616"/>
      <c r="I23" s="3616"/>
      <c r="J23" s="3616"/>
      <c r="K23" s="3616"/>
      <c r="L23" s="3616"/>
      <c r="M23" s="3617"/>
      <c r="N23" s="997"/>
      <c r="O23" s="996"/>
      <c r="P23" s="3615"/>
      <c r="Q23" s="3616"/>
      <c r="R23" s="3616"/>
      <c r="S23" s="3616"/>
      <c r="T23" s="3616"/>
      <c r="U23" s="3616"/>
      <c r="V23" s="3616"/>
      <c r="W23" s="3616"/>
      <c r="X23" s="3616"/>
      <c r="Y23" s="3616"/>
      <c r="Z23" s="3616"/>
      <c r="AA23" s="3617"/>
      <c r="AB23" s="997"/>
      <c r="AC23" s="366"/>
      <c r="AD23" s="366"/>
      <c r="AE23" s="366"/>
      <c r="AF23" s="366"/>
      <c r="AG23" s="366"/>
      <c r="AH23" s="366"/>
      <c r="AI23" s="366"/>
      <c r="AJ23" s="366"/>
      <c r="AK23" s="366"/>
      <c r="AL23" s="366"/>
      <c r="AM23" s="366"/>
      <c r="AN23" s="366"/>
      <c r="AO23" s="364"/>
      <c r="AP23" s="364"/>
      <c r="AQ23" s="366"/>
      <c r="AR23" s="366"/>
      <c r="AS23" s="366"/>
      <c r="AT23" s="366"/>
      <c r="AU23" s="366"/>
      <c r="AV23" s="366"/>
      <c r="AW23" s="366"/>
      <c r="AX23" s="366"/>
      <c r="AY23" s="366"/>
      <c r="AZ23" s="366"/>
      <c r="BA23" s="366"/>
      <c r="BB23" s="366"/>
      <c r="BC23" s="364"/>
    </row>
    <row r="24" spans="1:55" s="363" customFormat="1" ht="19.5" customHeight="1" x14ac:dyDescent="0.15">
      <c r="A24" s="996"/>
      <c r="B24" s="3615"/>
      <c r="C24" s="3616"/>
      <c r="D24" s="3616"/>
      <c r="E24" s="3616"/>
      <c r="F24" s="3616"/>
      <c r="G24" s="3616"/>
      <c r="H24" s="3616"/>
      <c r="I24" s="3616"/>
      <c r="J24" s="3616"/>
      <c r="K24" s="3616"/>
      <c r="L24" s="3616"/>
      <c r="M24" s="3617"/>
      <c r="N24" s="997"/>
      <c r="O24" s="996"/>
      <c r="P24" s="3615"/>
      <c r="Q24" s="3616"/>
      <c r="R24" s="3616"/>
      <c r="S24" s="3616"/>
      <c r="T24" s="3616"/>
      <c r="U24" s="3616"/>
      <c r="V24" s="3616"/>
      <c r="W24" s="3616"/>
      <c r="X24" s="3616"/>
      <c r="Y24" s="3616"/>
      <c r="Z24" s="3616"/>
      <c r="AA24" s="3617"/>
      <c r="AB24" s="997"/>
      <c r="AC24" s="366"/>
      <c r="AD24" s="366"/>
      <c r="AE24" s="366"/>
      <c r="AF24" s="366"/>
      <c r="AG24" s="366"/>
      <c r="AH24" s="366"/>
      <c r="AI24" s="366"/>
      <c r="AJ24" s="366"/>
      <c r="AK24" s="366"/>
      <c r="AL24" s="366"/>
      <c r="AM24" s="366"/>
      <c r="AN24" s="366"/>
      <c r="AO24" s="364"/>
      <c r="AP24" s="364"/>
      <c r="AQ24" s="366"/>
      <c r="AR24" s="366"/>
      <c r="AS24" s="366"/>
      <c r="AT24" s="366"/>
      <c r="AU24" s="366"/>
      <c r="AV24" s="366"/>
      <c r="AW24" s="366"/>
      <c r="AX24" s="366"/>
      <c r="AY24" s="366"/>
      <c r="AZ24" s="366"/>
      <c r="BA24" s="366"/>
      <c r="BB24" s="366"/>
      <c r="BC24" s="364"/>
    </row>
    <row r="25" spans="1:55" s="363" customFormat="1" ht="24" customHeight="1" x14ac:dyDescent="0.15">
      <c r="A25" s="996"/>
      <c r="B25" s="3618"/>
      <c r="C25" s="3619"/>
      <c r="D25" s="3619"/>
      <c r="E25" s="3619"/>
      <c r="F25" s="3619"/>
      <c r="G25" s="3619"/>
      <c r="H25" s="3619"/>
      <c r="I25" s="3619"/>
      <c r="J25" s="3619"/>
      <c r="K25" s="3619"/>
      <c r="L25" s="3619"/>
      <c r="M25" s="3620"/>
      <c r="N25" s="997"/>
      <c r="O25" s="996"/>
      <c r="P25" s="3618"/>
      <c r="Q25" s="3619"/>
      <c r="R25" s="3619"/>
      <c r="S25" s="3619"/>
      <c r="T25" s="3619"/>
      <c r="U25" s="3619"/>
      <c r="V25" s="3619"/>
      <c r="W25" s="3619"/>
      <c r="X25" s="3619"/>
      <c r="Y25" s="3619"/>
      <c r="Z25" s="3619"/>
      <c r="AA25" s="3620"/>
      <c r="AB25" s="997"/>
      <c r="AC25" s="365"/>
      <c r="AD25" s="365"/>
      <c r="AE25" s="365"/>
      <c r="AF25" s="365"/>
      <c r="AG25" s="365"/>
      <c r="AH25" s="365"/>
      <c r="AI25" s="365"/>
      <c r="AJ25" s="365"/>
      <c r="AK25" s="365"/>
      <c r="AL25" s="365"/>
      <c r="AM25" s="365"/>
      <c r="AN25" s="365"/>
      <c r="AO25" s="364"/>
      <c r="AP25" s="364"/>
      <c r="AQ25" s="365"/>
      <c r="AR25" s="365"/>
      <c r="AS25" s="365"/>
      <c r="AT25" s="365"/>
      <c r="AU25" s="365"/>
      <c r="AV25" s="365"/>
      <c r="AW25" s="365"/>
      <c r="AX25" s="365"/>
      <c r="AY25" s="365"/>
      <c r="AZ25" s="365"/>
      <c r="BA25" s="365"/>
      <c r="BB25" s="365"/>
      <c r="BC25" s="364"/>
    </row>
    <row r="26" spans="1:55" s="363" customFormat="1" ht="24" customHeight="1" x14ac:dyDescent="0.15">
      <c r="A26" s="996"/>
      <c r="B26" s="3618"/>
      <c r="C26" s="3619"/>
      <c r="D26" s="3619"/>
      <c r="E26" s="3619"/>
      <c r="F26" s="3619"/>
      <c r="G26" s="3619"/>
      <c r="H26" s="3619"/>
      <c r="I26" s="3619"/>
      <c r="J26" s="3619"/>
      <c r="K26" s="3619"/>
      <c r="L26" s="3619"/>
      <c r="M26" s="3620"/>
      <c r="N26" s="997"/>
      <c r="O26" s="996"/>
      <c r="P26" s="3618"/>
      <c r="Q26" s="3619"/>
      <c r="R26" s="3619"/>
      <c r="S26" s="3619"/>
      <c r="T26" s="3619"/>
      <c r="U26" s="3619"/>
      <c r="V26" s="3619"/>
      <c r="W26" s="3619"/>
      <c r="X26" s="3619"/>
      <c r="Y26" s="3619"/>
      <c r="Z26" s="3619"/>
      <c r="AA26" s="3620"/>
      <c r="AB26" s="997"/>
      <c r="AC26" s="365"/>
      <c r="AD26" s="365"/>
      <c r="AE26" s="365"/>
      <c r="AF26" s="365"/>
      <c r="AG26" s="365"/>
      <c r="AH26" s="365"/>
      <c r="AI26" s="365"/>
      <c r="AJ26" s="365"/>
      <c r="AK26" s="365"/>
      <c r="AL26" s="365"/>
      <c r="AM26" s="365"/>
      <c r="AN26" s="365"/>
      <c r="AO26" s="364"/>
      <c r="AP26" s="364"/>
      <c r="AQ26" s="365"/>
      <c r="AR26" s="365"/>
      <c r="AS26" s="365"/>
      <c r="AT26" s="365"/>
      <c r="AU26" s="365"/>
      <c r="AV26" s="365"/>
      <c r="AW26" s="365"/>
      <c r="AX26" s="365"/>
      <c r="AY26" s="365"/>
      <c r="AZ26" s="365"/>
      <c r="BA26" s="365"/>
      <c r="BB26" s="365"/>
      <c r="BC26" s="364"/>
    </row>
    <row r="27" spans="1:55" s="363" customFormat="1" ht="24" customHeight="1" x14ac:dyDescent="0.15">
      <c r="A27" s="996"/>
      <c r="B27" s="3618"/>
      <c r="C27" s="3619"/>
      <c r="D27" s="3619"/>
      <c r="E27" s="3619"/>
      <c r="F27" s="3619"/>
      <c r="G27" s="3619"/>
      <c r="H27" s="3619"/>
      <c r="I27" s="3619"/>
      <c r="J27" s="3619"/>
      <c r="K27" s="3619"/>
      <c r="L27" s="3619"/>
      <c r="M27" s="3620"/>
      <c r="N27" s="997"/>
      <c r="O27" s="996"/>
      <c r="P27" s="3618"/>
      <c r="Q27" s="3619"/>
      <c r="R27" s="3619"/>
      <c r="S27" s="3619"/>
      <c r="T27" s="3619"/>
      <c r="U27" s="3619"/>
      <c r="V27" s="3619"/>
      <c r="W27" s="3619"/>
      <c r="X27" s="3619"/>
      <c r="Y27" s="3619"/>
      <c r="Z27" s="3619"/>
      <c r="AA27" s="3620"/>
      <c r="AB27" s="997"/>
      <c r="AC27" s="365"/>
      <c r="AD27" s="365"/>
      <c r="AE27" s="365"/>
      <c r="AF27" s="365"/>
      <c r="AG27" s="365"/>
      <c r="AH27" s="365"/>
      <c r="AI27" s="365"/>
      <c r="AJ27" s="365"/>
      <c r="AK27" s="365"/>
      <c r="AL27" s="365"/>
      <c r="AM27" s="365"/>
      <c r="AN27" s="365"/>
      <c r="AO27" s="364"/>
      <c r="AP27" s="364"/>
      <c r="AQ27" s="365"/>
      <c r="AR27" s="365"/>
      <c r="AS27" s="365"/>
      <c r="AT27" s="365"/>
      <c r="AU27" s="365"/>
      <c r="AV27" s="365"/>
      <c r="AW27" s="365"/>
      <c r="AX27" s="365"/>
      <c r="AY27" s="365"/>
      <c r="AZ27" s="365"/>
      <c r="BA27" s="365"/>
      <c r="BB27" s="365"/>
      <c r="BC27" s="364"/>
    </row>
    <row r="28" spans="1:55" s="363" customFormat="1" ht="24" customHeight="1" thickBot="1" x14ac:dyDescent="0.2">
      <c r="A28" s="996"/>
      <c r="B28" s="3621"/>
      <c r="C28" s="3622"/>
      <c r="D28" s="3622"/>
      <c r="E28" s="3622"/>
      <c r="F28" s="3622"/>
      <c r="G28" s="3622"/>
      <c r="H28" s="3622"/>
      <c r="I28" s="3622"/>
      <c r="J28" s="3622"/>
      <c r="K28" s="3622"/>
      <c r="L28" s="3622"/>
      <c r="M28" s="3623"/>
      <c r="N28" s="997"/>
      <c r="O28" s="996"/>
      <c r="P28" s="3621"/>
      <c r="Q28" s="3622"/>
      <c r="R28" s="3622"/>
      <c r="S28" s="3622"/>
      <c r="T28" s="3622"/>
      <c r="U28" s="3622"/>
      <c r="V28" s="3622"/>
      <c r="W28" s="3622"/>
      <c r="X28" s="3622"/>
      <c r="Y28" s="3622"/>
      <c r="Z28" s="3622"/>
      <c r="AA28" s="3623"/>
      <c r="AB28" s="997"/>
      <c r="AC28" s="365"/>
      <c r="AD28" s="365"/>
      <c r="AE28" s="365"/>
      <c r="AF28" s="365"/>
      <c r="AG28" s="365"/>
      <c r="AH28" s="365"/>
      <c r="AI28" s="365"/>
      <c r="AJ28" s="365"/>
      <c r="AK28" s="365"/>
      <c r="AL28" s="365"/>
      <c r="AM28" s="365"/>
      <c r="AN28" s="365"/>
      <c r="AO28" s="364"/>
      <c r="AP28" s="364"/>
      <c r="AQ28" s="365"/>
      <c r="AR28" s="365"/>
      <c r="AS28" s="365"/>
      <c r="AT28" s="365"/>
      <c r="AU28" s="365"/>
      <c r="AV28" s="365"/>
      <c r="AW28" s="365"/>
      <c r="AX28" s="365"/>
      <c r="AY28" s="365"/>
      <c r="AZ28" s="365"/>
      <c r="BA28" s="365"/>
      <c r="BB28" s="365"/>
      <c r="BC28" s="364"/>
    </row>
    <row r="29" spans="1:55" s="363" customFormat="1" ht="6" customHeight="1" x14ac:dyDescent="0.15">
      <c r="A29" s="996"/>
      <c r="B29" s="1000"/>
      <c r="C29" s="1000"/>
      <c r="D29" s="1000"/>
      <c r="E29" s="1000"/>
      <c r="F29" s="1000"/>
      <c r="G29" s="1000"/>
      <c r="H29" s="1000"/>
      <c r="I29" s="1000"/>
      <c r="J29" s="1000"/>
      <c r="K29" s="1000"/>
      <c r="L29" s="1000"/>
      <c r="M29" s="1000"/>
      <c r="N29" s="997"/>
      <c r="O29" s="996"/>
      <c r="P29" s="1000"/>
      <c r="Q29" s="1000"/>
      <c r="R29" s="1000"/>
      <c r="S29" s="1000"/>
      <c r="T29" s="1000"/>
      <c r="U29" s="1000"/>
      <c r="V29" s="1000"/>
      <c r="W29" s="1000"/>
      <c r="X29" s="1000"/>
      <c r="Y29" s="1000"/>
      <c r="Z29" s="1000"/>
      <c r="AA29" s="1000"/>
      <c r="AB29" s="997"/>
      <c r="AC29" s="365"/>
      <c r="AD29" s="365"/>
      <c r="AE29" s="365"/>
      <c r="AF29" s="365"/>
      <c r="AG29" s="365"/>
      <c r="AH29" s="365"/>
      <c r="AI29" s="365"/>
      <c r="AJ29" s="365"/>
      <c r="AK29" s="365"/>
      <c r="AL29" s="365"/>
      <c r="AM29" s="365"/>
      <c r="AN29" s="365"/>
      <c r="AO29" s="364"/>
      <c r="AP29" s="364"/>
      <c r="AQ29" s="365"/>
      <c r="AR29" s="365"/>
      <c r="AS29" s="365"/>
      <c r="AT29" s="365"/>
      <c r="AU29" s="365"/>
      <c r="AV29" s="365"/>
      <c r="AW29" s="365"/>
      <c r="AX29" s="365"/>
      <c r="AY29" s="365"/>
      <c r="AZ29" s="365"/>
      <c r="BA29" s="365"/>
      <c r="BB29" s="365"/>
      <c r="BC29" s="364"/>
    </row>
    <row r="30" spans="1:55" s="363" customFormat="1" ht="6" customHeight="1" thickBot="1" x14ac:dyDescent="0.2">
      <c r="A30" s="1001"/>
      <c r="B30" s="1002"/>
      <c r="C30" s="1002"/>
      <c r="D30" s="1002"/>
      <c r="E30" s="1002"/>
      <c r="F30" s="1002"/>
      <c r="G30" s="1002"/>
      <c r="H30" s="1002"/>
      <c r="I30" s="1002"/>
      <c r="J30" s="1002"/>
      <c r="K30" s="1002"/>
      <c r="L30" s="1002"/>
      <c r="M30" s="1002"/>
      <c r="N30" s="1003"/>
      <c r="O30" s="1001"/>
      <c r="P30" s="1002"/>
      <c r="Q30" s="1002"/>
      <c r="R30" s="1002"/>
      <c r="S30" s="1002"/>
      <c r="T30" s="1002"/>
      <c r="U30" s="1002"/>
      <c r="V30" s="1002"/>
      <c r="W30" s="1002"/>
      <c r="X30" s="1002"/>
      <c r="Y30" s="1002"/>
      <c r="Z30" s="1002"/>
      <c r="AA30" s="1002"/>
      <c r="AB30" s="1003"/>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row>
    <row r="31" spans="1:55" s="363" customFormat="1" ht="19.5" customHeight="1" x14ac:dyDescent="0.15">
      <c r="A31" s="996"/>
      <c r="B31" s="3612" t="str">
        <f>$B$4</f>
        <v/>
      </c>
      <c r="C31" s="3613"/>
      <c r="D31" s="3613"/>
      <c r="E31" s="3613"/>
      <c r="F31" s="3613"/>
      <c r="G31" s="3613"/>
      <c r="H31" s="3613"/>
      <c r="I31" s="3613"/>
      <c r="J31" s="3613"/>
      <c r="K31" s="3613"/>
      <c r="L31" s="3613"/>
      <c r="M31" s="3614"/>
      <c r="N31" s="997"/>
      <c r="O31" s="996"/>
      <c r="P31" s="3612" t="str">
        <f>$B$4</f>
        <v/>
      </c>
      <c r="Q31" s="3613"/>
      <c r="R31" s="3613"/>
      <c r="S31" s="3613"/>
      <c r="T31" s="3613"/>
      <c r="U31" s="3613"/>
      <c r="V31" s="3613"/>
      <c r="W31" s="3613"/>
      <c r="X31" s="3613"/>
      <c r="Y31" s="3613"/>
      <c r="Z31" s="3613"/>
      <c r="AA31" s="3614"/>
      <c r="AB31" s="997"/>
      <c r="AC31" s="367"/>
      <c r="AD31" s="366"/>
      <c r="AE31" s="366"/>
      <c r="AF31" s="366"/>
      <c r="AG31" s="366"/>
      <c r="AH31" s="366"/>
      <c r="AI31" s="366"/>
      <c r="AJ31" s="366"/>
      <c r="AK31" s="366"/>
      <c r="AL31" s="366"/>
      <c r="AM31" s="366"/>
      <c r="AN31" s="366"/>
      <c r="AO31" s="364"/>
      <c r="AP31" s="364"/>
      <c r="AQ31" s="367"/>
      <c r="AR31" s="366"/>
      <c r="AS31" s="366"/>
      <c r="AT31" s="366"/>
      <c r="AU31" s="366"/>
      <c r="AV31" s="366"/>
      <c r="AW31" s="366"/>
      <c r="AX31" s="366"/>
      <c r="AY31" s="366"/>
      <c r="AZ31" s="366"/>
      <c r="BA31" s="366"/>
      <c r="BB31" s="366"/>
      <c r="BC31" s="364"/>
    </row>
    <row r="32" spans="1:55" s="363" customFormat="1" ht="19.5" customHeight="1" x14ac:dyDescent="0.15">
      <c r="A32" s="996"/>
      <c r="B32" s="3615"/>
      <c r="C32" s="3616"/>
      <c r="D32" s="3616"/>
      <c r="E32" s="3616"/>
      <c r="F32" s="3616"/>
      <c r="G32" s="3616"/>
      <c r="H32" s="3616"/>
      <c r="I32" s="3616"/>
      <c r="J32" s="3616"/>
      <c r="K32" s="3616"/>
      <c r="L32" s="3616"/>
      <c r="M32" s="3617"/>
      <c r="N32" s="997"/>
      <c r="O32" s="996"/>
      <c r="P32" s="3615"/>
      <c r="Q32" s="3616"/>
      <c r="R32" s="3616"/>
      <c r="S32" s="3616"/>
      <c r="T32" s="3616"/>
      <c r="U32" s="3616"/>
      <c r="V32" s="3616"/>
      <c r="W32" s="3616"/>
      <c r="X32" s="3616"/>
      <c r="Y32" s="3616"/>
      <c r="Z32" s="3616"/>
      <c r="AA32" s="3617"/>
      <c r="AB32" s="997"/>
      <c r="AC32" s="366"/>
      <c r="AD32" s="366"/>
      <c r="AE32" s="366"/>
      <c r="AF32" s="366"/>
      <c r="AG32" s="366"/>
      <c r="AH32" s="366"/>
      <c r="AI32" s="366"/>
      <c r="AJ32" s="366"/>
      <c r="AK32" s="366"/>
      <c r="AL32" s="366"/>
      <c r="AM32" s="366"/>
      <c r="AN32" s="366"/>
      <c r="AO32" s="364"/>
      <c r="AP32" s="364"/>
      <c r="AQ32" s="366"/>
      <c r="AR32" s="366"/>
      <c r="AS32" s="366"/>
      <c r="AT32" s="366"/>
      <c r="AU32" s="366"/>
      <c r="AV32" s="366"/>
      <c r="AW32" s="366"/>
      <c r="AX32" s="366"/>
      <c r="AY32" s="366"/>
      <c r="AZ32" s="366"/>
      <c r="BA32" s="366"/>
      <c r="BB32" s="366"/>
      <c r="BC32" s="364"/>
    </row>
    <row r="33" spans="1:55" s="363" customFormat="1" ht="19.5" customHeight="1" x14ac:dyDescent="0.15">
      <c r="A33" s="996"/>
      <c r="B33" s="3615"/>
      <c r="C33" s="3616"/>
      <c r="D33" s="3616"/>
      <c r="E33" s="3616"/>
      <c r="F33" s="3616"/>
      <c r="G33" s="3616"/>
      <c r="H33" s="3616"/>
      <c r="I33" s="3616"/>
      <c r="J33" s="3616"/>
      <c r="K33" s="3616"/>
      <c r="L33" s="3616"/>
      <c r="M33" s="3617"/>
      <c r="N33" s="997"/>
      <c r="O33" s="996"/>
      <c r="P33" s="3615"/>
      <c r="Q33" s="3616"/>
      <c r="R33" s="3616"/>
      <c r="S33" s="3616"/>
      <c r="T33" s="3616"/>
      <c r="U33" s="3616"/>
      <c r="V33" s="3616"/>
      <c r="W33" s="3616"/>
      <c r="X33" s="3616"/>
      <c r="Y33" s="3616"/>
      <c r="Z33" s="3616"/>
      <c r="AA33" s="3617"/>
      <c r="AB33" s="997"/>
      <c r="AC33" s="366"/>
      <c r="AD33" s="366"/>
      <c r="AE33" s="366"/>
      <c r="AF33" s="366"/>
      <c r="AG33" s="366"/>
      <c r="AH33" s="366"/>
      <c r="AI33" s="366"/>
      <c r="AJ33" s="366"/>
      <c r="AK33" s="366"/>
      <c r="AL33" s="366"/>
      <c r="AM33" s="366"/>
      <c r="AN33" s="366"/>
      <c r="AO33" s="364"/>
      <c r="AP33" s="364"/>
      <c r="AQ33" s="366"/>
      <c r="AR33" s="366"/>
      <c r="AS33" s="366"/>
      <c r="AT33" s="366"/>
      <c r="AU33" s="366"/>
      <c r="AV33" s="366"/>
      <c r="AW33" s="366"/>
      <c r="AX33" s="366"/>
      <c r="AY33" s="366"/>
      <c r="AZ33" s="366"/>
      <c r="BA33" s="366"/>
      <c r="BB33" s="366"/>
      <c r="BC33" s="364"/>
    </row>
    <row r="34" spans="1:55" s="363" customFormat="1" ht="24" customHeight="1" x14ac:dyDescent="0.15">
      <c r="A34" s="996"/>
      <c r="B34" s="3618"/>
      <c r="C34" s="3619"/>
      <c r="D34" s="3619"/>
      <c r="E34" s="3619"/>
      <c r="F34" s="3619"/>
      <c r="G34" s="3619"/>
      <c r="H34" s="3619"/>
      <c r="I34" s="3619"/>
      <c r="J34" s="3619"/>
      <c r="K34" s="3619"/>
      <c r="L34" s="3619"/>
      <c r="M34" s="3620"/>
      <c r="N34" s="997"/>
      <c r="O34" s="996"/>
      <c r="P34" s="3618"/>
      <c r="Q34" s="3619"/>
      <c r="R34" s="3619"/>
      <c r="S34" s="3619"/>
      <c r="T34" s="3619"/>
      <c r="U34" s="3619"/>
      <c r="V34" s="3619"/>
      <c r="W34" s="3619"/>
      <c r="X34" s="3619"/>
      <c r="Y34" s="3619"/>
      <c r="Z34" s="3619"/>
      <c r="AA34" s="3620"/>
      <c r="AB34" s="997"/>
      <c r="AC34" s="365"/>
      <c r="AD34" s="365"/>
      <c r="AE34" s="365"/>
      <c r="AF34" s="365"/>
      <c r="AG34" s="365"/>
      <c r="AH34" s="365"/>
      <c r="AI34" s="365"/>
      <c r="AJ34" s="365"/>
      <c r="AK34" s="365"/>
      <c r="AL34" s="365"/>
      <c r="AM34" s="365"/>
      <c r="AN34" s="365"/>
      <c r="AO34" s="364"/>
      <c r="AP34" s="364"/>
      <c r="AQ34" s="365"/>
      <c r="AR34" s="365"/>
      <c r="AS34" s="365"/>
      <c r="AT34" s="365"/>
      <c r="AU34" s="365"/>
      <c r="AV34" s="365"/>
      <c r="AW34" s="365"/>
      <c r="AX34" s="365"/>
      <c r="AY34" s="365"/>
      <c r="AZ34" s="365"/>
      <c r="BA34" s="365"/>
      <c r="BB34" s="365"/>
      <c r="BC34" s="364"/>
    </row>
    <row r="35" spans="1:55" s="363" customFormat="1" ht="24" customHeight="1" x14ac:dyDescent="0.15">
      <c r="A35" s="996"/>
      <c r="B35" s="3618"/>
      <c r="C35" s="3619"/>
      <c r="D35" s="3619"/>
      <c r="E35" s="3619"/>
      <c r="F35" s="3619"/>
      <c r="G35" s="3619"/>
      <c r="H35" s="3619"/>
      <c r="I35" s="3619"/>
      <c r="J35" s="3619"/>
      <c r="K35" s="3619"/>
      <c r="L35" s="3619"/>
      <c r="M35" s="3620"/>
      <c r="N35" s="997"/>
      <c r="O35" s="996"/>
      <c r="P35" s="3618"/>
      <c r="Q35" s="3619"/>
      <c r="R35" s="3619"/>
      <c r="S35" s="3619"/>
      <c r="T35" s="3619"/>
      <c r="U35" s="3619"/>
      <c r="V35" s="3619"/>
      <c r="W35" s="3619"/>
      <c r="X35" s="3619"/>
      <c r="Y35" s="3619"/>
      <c r="Z35" s="3619"/>
      <c r="AA35" s="3620"/>
      <c r="AB35" s="997"/>
      <c r="AC35" s="365"/>
      <c r="AD35" s="365"/>
      <c r="AE35" s="365"/>
      <c r="AF35" s="365"/>
      <c r="AG35" s="365"/>
      <c r="AH35" s="365"/>
      <c r="AI35" s="365"/>
      <c r="AJ35" s="365"/>
      <c r="AK35" s="365"/>
      <c r="AL35" s="365"/>
      <c r="AM35" s="365"/>
      <c r="AN35" s="365"/>
      <c r="AO35" s="364"/>
      <c r="AP35" s="364"/>
      <c r="AQ35" s="365"/>
      <c r="AR35" s="365"/>
      <c r="AS35" s="365"/>
      <c r="AT35" s="365"/>
      <c r="AU35" s="365"/>
      <c r="AV35" s="365"/>
      <c r="AW35" s="365"/>
      <c r="AX35" s="365"/>
      <c r="AY35" s="365"/>
      <c r="AZ35" s="365"/>
      <c r="BA35" s="365"/>
      <c r="BB35" s="365"/>
      <c r="BC35" s="364"/>
    </row>
    <row r="36" spans="1:55" s="363" customFormat="1" ht="24" customHeight="1" x14ac:dyDescent="0.15">
      <c r="A36" s="996"/>
      <c r="B36" s="3618"/>
      <c r="C36" s="3619"/>
      <c r="D36" s="3619"/>
      <c r="E36" s="3619"/>
      <c r="F36" s="3619"/>
      <c r="G36" s="3619"/>
      <c r="H36" s="3619"/>
      <c r="I36" s="3619"/>
      <c r="J36" s="3619"/>
      <c r="K36" s="3619"/>
      <c r="L36" s="3619"/>
      <c r="M36" s="3620"/>
      <c r="N36" s="997"/>
      <c r="O36" s="996"/>
      <c r="P36" s="3618"/>
      <c r="Q36" s="3619"/>
      <c r="R36" s="3619"/>
      <c r="S36" s="3619"/>
      <c r="T36" s="3619"/>
      <c r="U36" s="3619"/>
      <c r="V36" s="3619"/>
      <c r="W36" s="3619"/>
      <c r="X36" s="3619"/>
      <c r="Y36" s="3619"/>
      <c r="Z36" s="3619"/>
      <c r="AA36" s="3620"/>
      <c r="AB36" s="997"/>
      <c r="AC36" s="365"/>
      <c r="AD36" s="365"/>
      <c r="AE36" s="365"/>
      <c r="AF36" s="365"/>
      <c r="AG36" s="365"/>
      <c r="AH36" s="365"/>
      <c r="AI36" s="365"/>
      <c r="AJ36" s="365"/>
      <c r="AK36" s="365"/>
      <c r="AL36" s="365"/>
      <c r="AM36" s="365"/>
      <c r="AN36" s="365"/>
      <c r="AO36" s="364"/>
      <c r="AP36" s="364"/>
      <c r="AQ36" s="365"/>
      <c r="AR36" s="365"/>
      <c r="AS36" s="365"/>
      <c r="AT36" s="365"/>
      <c r="AU36" s="365"/>
      <c r="AV36" s="365"/>
      <c r="AW36" s="365"/>
      <c r="AX36" s="365"/>
      <c r="AY36" s="365"/>
      <c r="AZ36" s="365"/>
      <c r="BA36" s="365"/>
      <c r="BB36" s="365"/>
      <c r="BC36" s="364"/>
    </row>
    <row r="37" spans="1:55" s="363" customFormat="1" ht="24" customHeight="1" thickBot="1" x14ac:dyDescent="0.2">
      <c r="A37" s="996"/>
      <c r="B37" s="3621"/>
      <c r="C37" s="3622"/>
      <c r="D37" s="3622"/>
      <c r="E37" s="3622"/>
      <c r="F37" s="3622"/>
      <c r="G37" s="3622"/>
      <c r="H37" s="3622"/>
      <c r="I37" s="3622"/>
      <c r="J37" s="3622"/>
      <c r="K37" s="3622"/>
      <c r="L37" s="3622"/>
      <c r="M37" s="3623"/>
      <c r="N37" s="997"/>
      <c r="O37" s="996"/>
      <c r="P37" s="3621"/>
      <c r="Q37" s="3622"/>
      <c r="R37" s="3622"/>
      <c r="S37" s="3622"/>
      <c r="T37" s="3622"/>
      <c r="U37" s="3622"/>
      <c r="V37" s="3622"/>
      <c r="W37" s="3622"/>
      <c r="X37" s="3622"/>
      <c r="Y37" s="3622"/>
      <c r="Z37" s="3622"/>
      <c r="AA37" s="3623"/>
      <c r="AB37" s="997"/>
      <c r="AC37" s="365"/>
      <c r="AD37" s="365"/>
      <c r="AE37" s="365"/>
      <c r="AF37" s="365"/>
      <c r="AG37" s="365"/>
      <c r="AH37" s="365"/>
      <c r="AI37" s="365"/>
      <c r="AJ37" s="365"/>
      <c r="AK37" s="365"/>
      <c r="AL37" s="365"/>
      <c r="AM37" s="365"/>
      <c r="AN37" s="365"/>
      <c r="AO37" s="364"/>
      <c r="AP37" s="364"/>
      <c r="AQ37" s="365"/>
      <c r="AR37" s="365"/>
      <c r="AS37" s="365"/>
      <c r="AT37" s="365"/>
      <c r="AU37" s="365"/>
      <c r="AV37" s="365"/>
      <c r="AW37" s="365"/>
      <c r="AX37" s="365"/>
      <c r="AY37" s="365"/>
      <c r="AZ37" s="365"/>
      <c r="BA37" s="365"/>
      <c r="BB37" s="365"/>
      <c r="BC37" s="364"/>
    </row>
    <row r="38" spans="1:55" s="363" customFormat="1" ht="6" customHeight="1" x14ac:dyDescent="0.15">
      <c r="A38" s="996"/>
      <c r="B38" s="1000"/>
      <c r="C38" s="1000"/>
      <c r="D38" s="1000"/>
      <c r="E38" s="1000"/>
      <c r="F38" s="1000"/>
      <c r="G38" s="1000"/>
      <c r="H38" s="1000"/>
      <c r="I38" s="1000"/>
      <c r="J38" s="1000"/>
      <c r="K38" s="1000"/>
      <c r="L38" s="1000"/>
      <c r="M38" s="1000"/>
      <c r="N38" s="997"/>
      <c r="O38" s="996"/>
      <c r="P38" s="1000"/>
      <c r="Q38" s="1000"/>
      <c r="R38" s="1000"/>
      <c r="S38" s="1000"/>
      <c r="T38" s="1000"/>
      <c r="U38" s="1000"/>
      <c r="V38" s="1000"/>
      <c r="W38" s="1000"/>
      <c r="X38" s="1000"/>
      <c r="Y38" s="1000"/>
      <c r="Z38" s="1000"/>
      <c r="AA38" s="1000"/>
      <c r="AB38" s="997"/>
      <c r="AC38" s="365"/>
      <c r="AD38" s="365"/>
      <c r="AE38" s="365"/>
      <c r="AF38" s="365"/>
      <c r="AG38" s="365"/>
      <c r="AH38" s="365"/>
      <c r="AI38" s="365"/>
      <c r="AJ38" s="365"/>
      <c r="AK38" s="365"/>
      <c r="AL38" s="365"/>
      <c r="AM38" s="365"/>
      <c r="AN38" s="365"/>
      <c r="AO38" s="364"/>
      <c r="AP38" s="364"/>
      <c r="AQ38" s="365"/>
      <c r="AR38" s="365"/>
      <c r="AS38" s="365"/>
      <c r="AT38" s="365"/>
      <c r="AU38" s="365"/>
      <c r="AV38" s="365"/>
      <c r="AW38" s="365"/>
      <c r="AX38" s="365"/>
      <c r="AY38" s="365"/>
      <c r="AZ38" s="365"/>
      <c r="BA38" s="365"/>
      <c r="BB38" s="365"/>
      <c r="BC38" s="364"/>
    </row>
    <row r="39" spans="1:55" s="363" customFormat="1" ht="6" customHeight="1" thickBot="1" x14ac:dyDescent="0.2">
      <c r="A39" s="1001"/>
      <c r="B39" s="1002"/>
      <c r="C39" s="1002"/>
      <c r="D39" s="1002"/>
      <c r="E39" s="1002"/>
      <c r="F39" s="1002"/>
      <c r="G39" s="1002"/>
      <c r="H39" s="1002"/>
      <c r="I39" s="1002"/>
      <c r="J39" s="1002"/>
      <c r="K39" s="1002"/>
      <c r="L39" s="1002"/>
      <c r="M39" s="1002"/>
      <c r="N39" s="1003"/>
      <c r="O39" s="1001"/>
      <c r="P39" s="1002"/>
      <c r="Q39" s="1002"/>
      <c r="R39" s="1002"/>
      <c r="S39" s="1002"/>
      <c r="T39" s="1002"/>
      <c r="U39" s="1002"/>
      <c r="V39" s="1002"/>
      <c r="W39" s="1002"/>
      <c r="X39" s="1002"/>
      <c r="Y39" s="1002"/>
      <c r="Z39" s="1002"/>
      <c r="AA39" s="1002"/>
      <c r="AB39" s="1003"/>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row>
    <row r="40" spans="1:55" s="363" customFormat="1" ht="19.5" customHeight="1" x14ac:dyDescent="0.15">
      <c r="A40" s="996"/>
      <c r="B40" s="3612" t="str">
        <f>$B$4</f>
        <v/>
      </c>
      <c r="C40" s="3613"/>
      <c r="D40" s="3613"/>
      <c r="E40" s="3613"/>
      <c r="F40" s="3613"/>
      <c r="G40" s="3613"/>
      <c r="H40" s="3613"/>
      <c r="I40" s="3613"/>
      <c r="J40" s="3613"/>
      <c r="K40" s="3613"/>
      <c r="L40" s="3613"/>
      <c r="M40" s="3614"/>
      <c r="N40" s="997"/>
      <c r="O40" s="996"/>
      <c r="P40" s="3612" t="str">
        <f>$B$4</f>
        <v/>
      </c>
      <c r="Q40" s="3613"/>
      <c r="R40" s="3613"/>
      <c r="S40" s="3613"/>
      <c r="T40" s="3613"/>
      <c r="U40" s="3613"/>
      <c r="V40" s="3613"/>
      <c r="W40" s="3613"/>
      <c r="X40" s="3613"/>
      <c r="Y40" s="3613"/>
      <c r="Z40" s="3613"/>
      <c r="AA40" s="3614"/>
      <c r="AB40" s="997"/>
      <c r="AC40" s="367"/>
      <c r="AD40" s="366"/>
      <c r="AE40" s="366"/>
      <c r="AF40" s="366"/>
      <c r="AG40" s="366"/>
      <c r="AH40" s="366"/>
      <c r="AI40" s="366"/>
      <c r="AJ40" s="366"/>
      <c r="AK40" s="366"/>
      <c r="AL40" s="366"/>
      <c r="AM40" s="366"/>
      <c r="AN40" s="366"/>
      <c r="AO40" s="364"/>
      <c r="AP40" s="364"/>
      <c r="AQ40" s="367"/>
      <c r="AR40" s="366"/>
      <c r="AS40" s="366"/>
      <c r="AT40" s="366"/>
      <c r="AU40" s="366"/>
      <c r="AV40" s="366"/>
      <c r="AW40" s="366"/>
      <c r="AX40" s="366"/>
      <c r="AY40" s="366"/>
      <c r="AZ40" s="366"/>
      <c r="BA40" s="366"/>
      <c r="BB40" s="366"/>
      <c r="BC40" s="364"/>
    </row>
    <row r="41" spans="1:55" s="363" customFormat="1" ht="19.5" customHeight="1" x14ac:dyDescent="0.15">
      <c r="A41" s="996"/>
      <c r="B41" s="3615"/>
      <c r="C41" s="3616"/>
      <c r="D41" s="3616"/>
      <c r="E41" s="3616"/>
      <c r="F41" s="3616"/>
      <c r="G41" s="3616"/>
      <c r="H41" s="3616"/>
      <c r="I41" s="3616"/>
      <c r="J41" s="3616"/>
      <c r="K41" s="3616"/>
      <c r="L41" s="3616"/>
      <c r="M41" s="3617"/>
      <c r="N41" s="997"/>
      <c r="O41" s="996"/>
      <c r="P41" s="3615"/>
      <c r="Q41" s="3616"/>
      <c r="R41" s="3616"/>
      <c r="S41" s="3616"/>
      <c r="T41" s="3616"/>
      <c r="U41" s="3616"/>
      <c r="V41" s="3616"/>
      <c r="W41" s="3616"/>
      <c r="X41" s="3616"/>
      <c r="Y41" s="3616"/>
      <c r="Z41" s="3616"/>
      <c r="AA41" s="3617"/>
      <c r="AB41" s="997"/>
      <c r="AC41" s="366"/>
      <c r="AD41" s="366"/>
      <c r="AE41" s="366"/>
      <c r="AF41" s="366"/>
      <c r="AG41" s="366"/>
      <c r="AH41" s="366"/>
      <c r="AI41" s="366"/>
      <c r="AJ41" s="366"/>
      <c r="AK41" s="366"/>
      <c r="AL41" s="366"/>
      <c r="AM41" s="366"/>
      <c r="AN41" s="366"/>
      <c r="AO41" s="364"/>
      <c r="AP41" s="364"/>
      <c r="AQ41" s="366"/>
      <c r="AR41" s="366"/>
      <c r="AS41" s="366"/>
      <c r="AT41" s="366"/>
      <c r="AU41" s="366"/>
      <c r="AV41" s="366"/>
      <c r="AW41" s="366"/>
      <c r="AX41" s="366"/>
      <c r="AY41" s="366"/>
      <c r="AZ41" s="366"/>
      <c r="BA41" s="366"/>
      <c r="BB41" s="366"/>
      <c r="BC41" s="364"/>
    </row>
    <row r="42" spans="1:55" s="363" customFormat="1" ht="19.5" customHeight="1" x14ac:dyDescent="0.15">
      <c r="A42" s="996"/>
      <c r="B42" s="3615"/>
      <c r="C42" s="3616"/>
      <c r="D42" s="3616"/>
      <c r="E42" s="3616"/>
      <c r="F42" s="3616"/>
      <c r="G42" s="3616"/>
      <c r="H42" s="3616"/>
      <c r="I42" s="3616"/>
      <c r="J42" s="3616"/>
      <c r="K42" s="3616"/>
      <c r="L42" s="3616"/>
      <c r="M42" s="3617"/>
      <c r="N42" s="997"/>
      <c r="O42" s="996"/>
      <c r="P42" s="3615"/>
      <c r="Q42" s="3616"/>
      <c r="R42" s="3616"/>
      <c r="S42" s="3616"/>
      <c r="T42" s="3616"/>
      <c r="U42" s="3616"/>
      <c r="V42" s="3616"/>
      <c r="W42" s="3616"/>
      <c r="X42" s="3616"/>
      <c r="Y42" s="3616"/>
      <c r="Z42" s="3616"/>
      <c r="AA42" s="3617"/>
      <c r="AB42" s="997"/>
      <c r="AC42" s="366"/>
      <c r="AD42" s="366"/>
      <c r="AE42" s="366"/>
      <c r="AF42" s="366"/>
      <c r="AG42" s="366"/>
      <c r="AH42" s="366"/>
      <c r="AI42" s="366"/>
      <c r="AJ42" s="366"/>
      <c r="AK42" s="366"/>
      <c r="AL42" s="366"/>
      <c r="AM42" s="366"/>
      <c r="AN42" s="366"/>
      <c r="AO42" s="364"/>
      <c r="AP42" s="364"/>
      <c r="AQ42" s="366"/>
      <c r="AR42" s="366"/>
      <c r="AS42" s="366"/>
      <c r="AT42" s="366"/>
      <c r="AU42" s="366"/>
      <c r="AV42" s="366"/>
      <c r="AW42" s="366"/>
      <c r="AX42" s="366"/>
      <c r="AY42" s="366"/>
      <c r="AZ42" s="366"/>
      <c r="BA42" s="366"/>
      <c r="BB42" s="366"/>
      <c r="BC42" s="364"/>
    </row>
    <row r="43" spans="1:55" s="363" customFormat="1" ht="24" customHeight="1" x14ac:dyDescent="0.15">
      <c r="A43" s="996"/>
      <c r="B43" s="3618"/>
      <c r="C43" s="3619"/>
      <c r="D43" s="3619"/>
      <c r="E43" s="3619"/>
      <c r="F43" s="3619"/>
      <c r="G43" s="3619"/>
      <c r="H43" s="3619"/>
      <c r="I43" s="3619"/>
      <c r="J43" s="3619"/>
      <c r="K43" s="3619"/>
      <c r="L43" s="3619"/>
      <c r="M43" s="3620"/>
      <c r="N43" s="997"/>
      <c r="O43" s="996"/>
      <c r="P43" s="3618"/>
      <c r="Q43" s="3619"/>
      <c r="R43" s="3619"/>
      <c r="S43" s="3619"/>
      <c r="T43" s="3619"/>
      <c r="U43" s="3619"/>
      <c r="V43" s="3619"/>
      <c r="W43" s="3619"/>
      <c r="X43" s="3619"/>
      <c r="Y43" s="3619"/>
      <c r="Z43" s="3619"/>
      <c r="AA43" s="3620"/>
      <c r="AB43" s="997"/>
      <c r="AC43" s="365"/>
      <c r="AD43" s="365"/>
      <c r="AE43" s="365"/>
      <c r="AF43" s="365"/>
      <c r="AG43" s="365"/>
      <c r="AH43" s="365"/>
      <c r="AI43" s="365"/>
      <c r="AJ43" s="365"/>
      <c r="AK43" s="365"/>
      <c r="AL43" s="365"/>
      <c r="AM43" s="365"/>
      <c r="AN43" s="365"/>
      <c r="AO43" s="364"/>
      <c r="AP43" s="364"/>
      <c r="AQ43" s="365"/>
      <c r="AR43" s="365"/>
      <c r="AS43" s="365"/>
      <c r="AT43" s="365"/>
      <c r="AU43" s="365"/>
      <c r="AV43" s="365"/>
      <c r="AW43" s="365"/>
      <c r="AX43" s="365"/>
      <c r="AY43" s="365"/>
      <c r="AZ43" s="365"/>
      <c r="BA43" s="365"/>
      <c r="BB43" s="365"/>
      <c r="BC43" s="364"/>
    </row>
    <row r="44" spans="1:55" s="363" customFormat="1" ht="24" customHeight="1" x14ac:dyDescent="0.15">
      <c r="A44" s="996"/>
      <c r="B44" s="3618"/>
      <c r="C44" s="3619"/>
      <c r="D44" s="3619"/>
      <c r="E44" s="3619"/>
      <c r="F44" s="3619"/>
      <c r="G44" s="3619"/>
      <c r="H44" s="3619"/>
      <c r="I44" s="3619"/>
      <c r="J44" s="3619"/>
      <c r="K44" s="3619"/>
      <c r="L44" s="3619"/>
      <c r="M44" s="3620"/>
      <c r="N44" s="997"/>
      <c r="O44" s="996"/>
      <c r="P44" s="3618"/>
      <c r="Q44" s="3619"/>
      <c r="R44" s="3619"/>
      <c r="S44" s="3619"/>
      <c r="T44" s="3619"/>
      <c r="U44" s="3619"/>
      <c r="V44" s="3619"/>
      <c r="W44" s="3619"/>
      <c r="X44" s="3619"/>
      <c r="Y44" s="3619"/>
      <c r="Z44" s="3619"/>
      <c r="AA44" s="3620"/>
      <c r="AB44" s="997"/>
      <c r="AC44" s="365"/>
      <c r="AD44" s="365"/>
      <c r="AE44" s="365"/>
      <c r="AF44" s="365"/>
      <c r="AG44" s="365"/>
      <c r="AH44" s="365"/>
      <c r="AI44" s="365"/>
      <c r="AJ44" s="365"/>
      <c r="AK44" s="365"/>
      <c r="AL44" s="365"/>
      <c r="AM44" s="365"/>
      <c r="AN44" s="365"/>
      <c r="AO44" s="364"/>
      <c r="AP44" s="364"/>
      <c r="AQ44" s="365"/>
      <c r="AR44" s="365"/>
      <c r="AS44" s="365"/>
      <c r="AT44" s="365"/>
      <c r="AU44" s="365"/>
      <c r="AV44" s="365"/>
      <c r="AW44" s="365"/>
      <c r="AX44" s="365"/>
      <c r="AY44" s="365"/>
      <c r="AZ44" s="365"/>
      <c r="BA44" s="365"/>
      <c r="BB44" s="365"/>
      <c r="BC44" s="364"/>
    </row>
    <row r="45" spans="1:55" s="363" customFormat="1" ht="24" customHeight="1" x14ac:dyDescent="0.15">
      <c r="A45" s="996"/>
      <c r="B45" s="3618"/>
      <c r="C45" s="3619"/>
      <c r="D45" s="3619"/>
      <c r="E45" s="3619"/>
      <c r="F45" s="3619"/>
      <c r="G45" s="3619"/>
      <c r="H45" s="3619"/>
      <c r="I45" s="3619"/>
      <c r="J45" s="3619"/>
      <c r="K45" s="3619"/>
      <c r="L45" s="3619"/>
      <c r="M45" s="3620"/>
      <c r="N45" s="997"/>
      <c r="O45" s="996"/>
      <c r="P45" s="3618"/>
      <c r="Q45" s="3619"/>
      <c r="R45" s="3619"/>
      <c r="S45" s="3619"/>
      <c r="T45" s="3619"/>
      <c r="U45" s="3619"/>
      <c r="V45" s="3619"/>
      <c r="W45" s="3619"/>
      <c r="X45" s="3619"/>
      <c r="Y45" s="3619"/>
      <c r="Z45" s="3619"/>
      <c r="AA45" s="3620"/>
      <c r="AB45" s="997"/>
      <c r="AC45" s="365"/>
      <c r="AD45" s="365"/>
      <c r="AE45" s="365"/>
      <c r="AF45" s="365"/>
      <c r="AG45" s="365"/>
      <c r="AH45" s="365"/>
      <c r="AI45" s="365"/>
      <c r="AJ45" s="365"/>
      <c r="AK45" s="365"/>
      <c r="AL45" s="365"/>
      <c r="AM45" s="365"/>
      <c r="AN45" s="365"/>
      <c r="AO45" s="364"/>
      <c r="AP45" s="364"/>
      <c r="AQ45" s="365"/>
      <c r="AR45" s="365"/>
      <c r="AS45" s="365"/>
      <c r="AT45" s="365"/>
      <c r="AU45" s="365"/>
      <c r="AV45" s="365"/>
      <c r="AW45" s="365"/>
      <c r="AX45" s="365"/>
      <c r="AY45" s="365"/>
      <c r="AZ45" s="365"/>
      <c r="BA45" s="365"/>
      <c r="BB45" s="365"/>
      <c r="BC45" s="364"/>
    </row>
    <row r="46" spans="1:55" s="363" customFormat="1" ht="24" customHeight="1" thickBot="1" x14ac:dyDescent="0.2">
      <c r="A46" s="996"/>
      <c r="B46" s="3621"/>
      <c r="C46" s="3622"/>
      <c r="D46" s="3622"/>
      <c r="E46" s="3622"/>
      <c r="F46" s="3622"/>
      <c r="G46" s="3622"/>
      <c r="H46" s="3622"/>
      <c r="I46" s="3622"/>
      <c r="J46" s="3622"/>
      <c r="K46" s="3622"/>
      <c r="L46" s="3622"/>
      <c r="M46" s="3623"/>
      <c r="N46" s="997"/>
      <c r="O46" s="996"/>
      <c r="P46" s="3621"/>
      <c r="Q46" s="3622"/>
      <c r="R46" s="3622"/>
      <c r="S46" s="3622"/>
      <c r="T46" s="3622"/>
      <c r="U46" s="3622"/>
      <c r="V46" s="3622"/>
      <c r="W46" s="3622"/>
      <c r="X46" s="3622"/>
      <c r="Y46" s="3622"/>
      <c r="Z46" s="3622"/>
      <c r="AA46" s="3623"/>
      <c r="AB46" s="997"/>
      <c r="AC46" s="365"/>
      <c r="AD46" s="365"/>
      <c r="AE46" s="365"/>
      <c r="AF46" s="365"/>
      <c r="AG46" s="365"/>
      <c r="AH46" s="365"/>
      <c r="AI46" s="365"/>
      <c r="AJ46" s="365"/>
      <c r="AK46" s="365"/>
      <c r="AL46" s="365"/>
      <c r="AM46" s="365"/>
      <c r="AN46" s="365"/>
      <c r="AO46" s="364"/>
      <c r="AP46" s="364"/>
      <c r="AQ46" s="365"/>
      <c r="AR46" s="365"/>
      <c r="AS46" s="365"/>
      <c r="AT46" s="365"/>
      <c r="AU46" s="365"/>
      <c r="AV46" s="365"/>
      <c r="AW46" s="365"/>
      <c r="AX46" s="365"/>
      <c r="AY46" s="365"/>
      <c r="AZ46" s="365"/>
      <c r="BA46" s="365"/>
      <c r="BB46" s="365"/>
      <c r="BC46" s="364"/>
    </row>
    <row r="47" spans="1:55" s="363" customFormat="1" ht="6" customHeight="1" x14ac:dyDescent="0.15">
      <c r="A47" s="1004"/>
      <c r="B47" s="1005"/>
      <c r="C47" s="1005"/>
      <c r="D47" s="1005"/>
      <c r="E47" s="1005"/>
      <c r="F47" s="1005"/>
      <c r="G47" s="1005"/>
      <c r="H47" s="1005"/>
      <c r="I47" s="1005"/>
      <c r="J47" s="1005"/>
      <c r="K47" s="1005"/>
      <c r="L47" s="1005"/>
      <c r="M47" s="1005"/>
      <c r="N47" s="1006"/>
      <c r="O47" s="1004"/>
      <c r="P47" s="1005"/>
      <c r="Q47" s="1005"/>
      <c r="R47" s="1005"/>
      <c r="S47" s="1005"/>
      <c r="T47" s="1005"/>
      <c r="U47" s="1005"/>
      <c r="V47" s="1005"/>
      <c r="W47" s="1005"/>
      <c r="X47" s="1005"/>
      <c r="Y47" s="1005"/>
      <c r="Z47" s="1005"/>
      <c r="AA47" s="1005"/>
      <c r="AB47" s="1006"/>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集計表</vt:lpstr>
      <vt:lpstr>利用数記載表</vt:lpstr>
      <vt:lpstr>人数確認用</vt:lpstr>
      <vt:lpstr>◎施設管理</vt:lpstr>
      <vt:lpstr>リスト</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リスト!Print_Area</vt:lpstr>
      <vt:lpstr>集計表!Print_Area</vt:lpstr>
      <vt:lpstr>人数確認用!Print_Area</vt:lpstr>
      <vt:lpstr>入力1!Print_Area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tochigi.user25</cp:lastModifiedBy>
  <cp:lastPrinted>2025-05-14T02:12:25Z</cp:lastPrinted>
  <dcterms:created xsi:type="dcterms:W3CDTF">2016-05-17T01:42:38Z</dcterms:created>
  <dcterms:modified xsi:type="dcterms:W3CDTF">2025-05-20T04:43:06Z</dcterms:modified>
</cp:coreProperties>
</file>