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aihin22\共有\Ｃ 社教班\★R6年度準備\"/>
    </mc:Choice>
  </mc:AlternateContent>
  <xr:revisionPtr revIDLastSave="0" documentId="13_ncr:1_{CADF7863-4E39-4D7F-A5D5-C6289AB8391F}" xr6:coauthVersionLast="47" xr6:coauthVersionMax="47" xr10:uidLastSave="{00000000-0000-0000-0000-000000000000}"/>
  <bookViews>
    <workbookView xWindow="-120" yWindow="-120" windowWidth="20730" windowHeight="11040" tabRatio="923" firstSheet="4" activeTab="6" xr2:uid="{00000000-000D-0000-FFFF-FFFF00000000}"/>
  </bookViews>
  <sheets>
    <sheet name="集計表" sheetId="70" state="hidden" r:id="rId1"/>
    <sheet name="利用数記載表" sheetId="71" state="hidden" r:id="rId2"/>
    <sheet name="人数確認用" sheetId="66" state="hidden" r:id="rId3"/>
    <sheet name="◎施設管理" sheetId="14" state="hidden" r:id="rId4"/>
    <sheet name="入力ページ" sheetId="67" r:id="rId5"/>
    <sheet name="名簿入力" sheetId="62" r:id="rId6"/>
    <sheet name="⑥利用計画書" sheetId="63" r:id="rId7"/>
    <sheet name="①許可申請" sheetId="58" r:id="rId8"/>
    <sheet name="②精算予定" sheetId="34" r:id="rId9"/>
    <sheet name="③食事予定" sheetId="68" r:id="rId10"/>
    <sheet name="④物品発注" sheetId="40" r:id="rId11"/>
    <sheet name="⑤名簿" sheetId="61" r:id="rId12"/>
    <sheet name="名札印刷" sheetId="69" r:id="rId13"/>
  </sheets>
  <definedNames>
    <definedName name="_xlnm._FilterDatabase" localSheetId="2" hidden="1">人数確認用!$C$14:$J$14</definedName>
    <definedName name="ExtraCredit" localSheetId="9">#REF!</definedName>
    <definedName name="ExtraCredit" localSheetId="2">#REF!</definedName>
    <definedName name="ExtraCredit" localSheetId="4">#REF!</definedName>
    <definedName name="ExtraCredit" localSheetId="5">#REF!</definedName>
    <definedName name="ExtraCredit">#REF!</definedName>
    <definedName name="MoreFruit" localSheetId="9">#REF!</definedName>
    <definedName name="MoreFruit" localSheetId="2">#REF!</definedName>
    <definedName name="MoreFruit" localSheetId="4">#REF!</definedName>
    <definedName name="MoreFruit" localSheetId="5">#REF!</definedName>
    <definedName name="MoreFruit">#REF!</definedName>
    <definedName name="MoreItem" localSheetId="9">#REF!</definedName>
    <definedName name="MoreItem" localSheetId="2">#REF!</definedName>
    <definedName name="MoreItem" localSheetId="4">#REF!</definedName>
    <definedName name="MoreItem" localSheetId="5">#REF!</definedName>
    <definedName name="MoreItem">#REF!</definedName>
    <definedName name="MoreItems" localSheetId="9">#REF!</definedName>
    <definedName name="MoreItems" localSheetId="2">#REF!</definedName>
    <definedName name="MoreItems" localSheetId="4">#REF!</definedName>
    <definedName name="MoreItems" localSheetId="5">#REF!</definedName>
    <definedName name="MoreItems">#REF!</definedName>
    <definedName name="OLE_LINK1" localSheetId="8">②精算予定!#REF!</definedName>
    <definedName name="OLE_LINK1" localSheetId="9">③食事予定!#REF!</definedName>
    <definedName name="OLE_LINK1" localSheetId="10">④物品発注!#REF!</definedName>
    <definedName name="_xlnm.Print_Area" localSheetId="7">①許可申請!$A$2:$X$41</definedName>
    <definedName name="_xlnm.Print_Area" localSheetId="8">②精算予定!$A$2:$W$15</definedName>
    <definedName name="_xlnm.Print_Area" localSheetId="9">③食事予定!$A$1:$AO$67</definedName>
    <definedName name="_xlnm.Print_Area" localSheetId="10">④物品発注!$A$2:$AB$85</definedName>
    <definedName name="_xlnm.Print_Area" localSheetId="11">⑤名簿!$A$2:$AU$560</definedName>
    <definedName name="_xlnm.Print_Area" localSheetId="6">⑥利用計画書!$B$8:$AT$97</definedName>
    <definedName name="_xlnm.Print_Area" localSheetId="0">集計表!$A$1:$AG$47</definedName>
    <definedName name="_xlnm.Print_Area" localSheetId="2">人数確認用!$A$9:$L$209</definedName>
    <definedName name="_xlnm.Print_Area" localSheetId="12">名札印刷!$A$2:$AB$47</definedName>
    <definedName name="_xlnm.Print_Area" localSheetId="1">利用数記載表!$A$7:$W$63</definedName>
    <definedName name="SUMExtraCredit" localSheetId="9">#REF!</definedName>
    <definedName name="SUMExtraCredit" localSheetId="2">#REF!</definedName>
    <definedName name="SUMExtraCredit" localSheetId="4">#REF!</definedName>
    <definedName name="SUMExtraCredit" localSheetId="5">#REF!</definedName>
    <definedName name="SUMExtraCredit">#REF!</definedName>
    <definedName name="SUMIF" localSheetId="9">#REF!</definedName>
    <definedName name="SUMIF" localSheetId="2">#REF!</definedName>
    <definedName name="SUMIF" localSheetId="4">#REF!</definedName>
    <definedName name="SUMIF" localSheetId="5">#REF!</definedName>
    <definedName name="SUMIF">#REF!</definedName>
    <definedName name="SUMIFExtraCredit" localSheetId="9">#REF!</definedName>
    <definedName name="SUMIFExtraCredit" localSheetId="2">#REF!</definedName>
    <definedName name="SUMIFExtraCredit" localSheetId="4">#REF!</definedName>
    <definedName name="SUMIFExtraCredit" localSheetId="5">#REF!</definedName>
    <definedName name="SUMIFExtraCredit">#REF!</definedName>
    <definedName name="スライサー_１日目">#N/A</definedName>
    <definedName name="スライサー_２日目">#N/A</definedName>
    <definedName name="スライサー_３日目">#N/A</definedName>
    <definedName name="スライサー_４日目">#N/A</definedName>
    <definedName name="スライサー_５日目">#N/A</definedName>
    <definedName name="スライサー_６日目">#N/A</definedName>
    <definedName name="スライサー_区分">#N/A</definedName>
    <definedName name="スライサー_性別">#N/A</definedName>
    <definedName name="果物" localSheetId="9">#REF!</definedName>
    <definedName name="果物" localSheetId="2">#REF!</definedName>
    <definedName name="果物" localSheetId="4">#REF!</definedName>
    <definedName name="果物" localSheetId="5">#REF!</definedName>
    <definedName name="果物">#REF!</definedName>
    <definedName name="項目" localSheetId="9">#REF!</definedName>
    <definedName name="項目" localSheetId="2">#REF!</definedName>
    <definedName name="項目" localSheetId="4">#REF!</definedName>
    <definedName name="項目" localSheetId="5">#REF!</definedName>
    <definedName name="項目">#REF!</definedName>
    <definedName name="集計" localSheetId="9">#REF!</definedName>
    <definedName name="集計" localSheetId="2">#REF!</definedName>
    <definedName name="集計" localSheetId="4">#REF!</definedName>
    <definedName name="集計" localSheetId="5">#REF!</definedName>
    <definedName name="集計">#REF!</definedName>
    <definedName name="肉類" localSheetId="9">#REF!</definedName>
    <definedName name="肉類" localSheetId="2">#REF!</definedName>
    <definedName name="肉類" localSheetId="4">#REF!</definedName>
    <definedName name="肉類" localSheetId="5">#REF!</definedName>
    <definedName name="肉類">#REF!</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4"/>
        <x14:slicerCache r:id="rId15"/>
        <x14:slicerCache r:id="rId16"/>
        <x14:slicerCache r:id="rId17"/>
        <x14:slicerCache r:id="rId18"/>
        <x14:slicerCache r:id="rId19"/>
        <x14:slicerCache r:id="rId20"/>
        <x14:slicerCache r:id="rId2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63" l="1"/>
  <c r="D2" i="62"/>
  <c r="E23" i="68" l="1"/>
  <c r="AG9" i="68"/>
  <c r="Y9" i="68"/>
  <c r="H192" i="61" l="1"/>
  <c r="H194" i="61"/>
  <c r="H196" i="61"/>
  <c r="H198" i="61"/>
  <c r="H200" i="61"/>
  <c r="H202" i="61"/>
  <c r="H204" i="61"/>
  <c r="H206" i="61"/>
  <c r="H208" i="61"/>
  <c r="H210" i="61"/>
  <c r="H212" i="61"/>
  <c r="H214" i="61"/>
  <c r="H190" i="61"/>
  <c r="H186" i="61"/>
  <c r="X152" i="67" l="1"/>
  <c r="X146" i="67"/>
  <c r="X140" i="67"/>
  <c r="X134" i="67"/>
  <c r="X128" i="67"/>
  <c r="X116" i="67"/>
  <c r="X122" i="67"/>
  <c r="X110" i="67"/>
  <c r="U20" i="67" l="1"/>
  <c r="R27" i="67" s="1"/>
  <c r="O13" i="14"/>
  <c r="J24" i="67" l="1"/>
  <c r="B4" i="69" l="1"/>
  <c r="F94" i="67" l="1"/>
  <c r="AK72" i="67"/>
  <c r="AL72" i="67" s="1"/>
  <c r="AG10" i="68" l="1"/>
  <c r="Y10" i="68"/>
  <c r="D1" i="61"/>
  <c r="P13" i="69" l="1"/>
  <c r="B13" i="69"/>
  <c r="L405" i="62"/>
  <c r="Z27" i="67"/>
  <c r="AT22" i="63" s="1"/>
  <c r="C11" i="66"/>
  <c r="C209" i="66"/>
  <c r="C208" i="66"/>
  <c r="C207" i="66"/>
  <c r="C206" i="66"/>
  <c r="C205" i="66"/>
  <c r="C204" i="66"/>
  <c r="C203" i="66"/>
  <c r="C202" i="66"/>
  <c r="C201" i="66"/>
  <c r="C200" i="66"/>
  <c r="C199" i="66"/>
  <c r="C198" i="66"/>
  <c r="C197" i="66"/>
  <c r="C196" i="66"/>
  <c r="C195" i="66"/>
  <c r="C194" i="66"/>
  <c r="C193" i="66"/>
  <c r="C192" i="66"/>
  <c r="C191" i="66"/>
  <c r="C190" i="66"/>
  <c r="C189" i="66"/>
  <c r="C188" i="66"/>
  <c r="C187" i="66"/>
  <c r="C186" i="66"/>
  <c r="C185" i="66"/>
  <c r="C184" i="66"/>
  <c r="C183" i="66"/>
  <c r="C182" i="66"/>
  <c r="C181" i="66"/>
  <c r="C180" i="66"/>
  <c r="C179" i="66"/>
  <c r="C178" i="66"/>
  <c r="C177" i="66"/>
  <c r="C176" i="66"/>
  <c r="C175" i="66"/>
  <c r="C174" i="66"/>
  <c r="C173" i="66"/>
  <c r="C172" i="66"/>
  <c r="C171" i="66"/>
  <c r="C170" i="66"/>
  <c r="C169" i="66"/>
  <c r="C168" i="66"/>
  <c r="C167" i="66"/>
  <c r="C166" i="66"/>
  <c r="C165" i="66"/>
  <c r="C164" i="66"/>
  <c r="C163" i="66"/>
  <c r="C162" i="66"/>
  <c r="C161" i="66"/>
  <c r="C160" i="66"/>
  <c r="C159" i="66"/>
  <c r="C158" i="66"/>
  <c r="C157" i="66"/>
  <c r="C156" i="66"/>
  <c r="C155" i="66"/>
  <c r="C154" i="66"/>
  <c r="C153" i="66"/>
  <c r="C152" i="66"/>
  <c r="C151" i="66"/>
  <c r="C150" i="66"/>
  <c r="C149" i="66"/>
  <c r="C148" i="66"/>
  <c r="C147" i="66"/>
  <c r="C146" i="66"/>
  <c r="C145" i="66"/>
  <c r="C144" i="66"/>
  <c r="C143" i="66"/>
  <c r="C142" i="66"/>
  <c r="C141" i="66"/>
  <c r="C140" i="66"/>
  <c r="C139" i="66"/>
  <c r="C138" i="66"/>
  <c r="C137" i="66"/>
  <c r="C136" i="66"/>
  <c r="C135" i="66"/>
  <c r="C134" i="66"/>
  <c r="C133" i="66"/>
  <c r="C132" i="66"/>
  <c r="C131" i="66"/>
  <c r="C130" i="66"/>
  <c r="C129" i="66"/>
  <c r="C128" i="66"/>
  <c r="C127" i="66"/>
  <c r="C126" i="66"/>
  <c r="C125" i="66"/>
  <c r="C124" i="66"/>
  <c r="C123" i="66"/>
  <c r="C122" i="66"/>
  <c r="C121" i="66"/>
  <c r="C120" i="66"/>
  <c r="C119" i="66"/>
  <c r="C118" i="66"/>
  <c r="C117" i="66"/>
  <c r="C116" i="66"/>
  <c r="C115" i="66"/>
  <c r="C114" i="66"/>
  <c r="C113" i="66"/>
  <c r="C112" i="66"/>
  <c r="C111" i="66"/>
  <c r="C110" i="66"/>
  <c r="C109" i="66"/>
  <c r="C108" i="66"/>
  <c r="C107" i="66"/>
  <c r="C106" i="66"/>
  <c r="C105" i="66"/>
  <c r="C104" i="66"/>
  <c r="C103" i="66"/>
  <c r="C102" i="66"/>
  <c r="C101" i="66"/>
  <c r="C100" i="66"/>
  <c r="C99" i="66"/>
  <c r="C98" i="66"/>
  <c r="C97" i="66"/>
  <c r="C96" i="66"/>
  <c r="C95" i="66"/>
  <c r="C94" i="66"/>
  <c r="C93" i="66"/>
  <c r="C92" i="66"/>
  <c r="C91" i="66"/>
  <c r="C90" i="66"/>
  <c r="C89" i="66"/>
  <c r="C88" i="66"/>
  <c r="C87" i="66"/>
  <c r="C86" i="66"/>
  <c r="C85" i="66"/>
  <c r="C84" i="66"/>
  <c r="C83" i="66"/>
  <c r="C82" i="66"/>
  <c r="C81" i="66"/>
  <c r="C80" i="66"/>
  <c r="C79" i="66"/>
  <c r="C78" i="66"/>
  <c r="C77" i="66"/>
  <c r="C76" i="66"/>
  <c r="C75" i="66"/>
  <c r="C74" i="66"/>
  <c r="C73" i="66"/>
  <c r="C72" i="66"/>
  <c r="C71" i="66"/>
  <c r="C70" i="66"/>
  <c r="C69" i="66"/>
  <c r="C68" i="66"/>
  <c r="C67" i="66"/>
  <c r="C66" i="66"/>
  <c r="C65" i="66"/>
  <c r="C64" i="66"/>
  <c r="C63" i="66"/>
  <c r="C62" i="66"/>
  <c r="C61" i="66"/>
  <c r="C60" i="66"/>
  <c r="C59" i="66"/>
  <c r="C58" i="66"/>
  <c r="C57" i="66"/>
  <c r="C56" i="66"/>
  <c r="C55" i="66"/>
  <c r="C54" i="66"/>
  <c r="C53" i="66"/>
  <c r="C52" i="66"/>
  <c r="C51" i="66"/>
  <c r="C50" i="66"/>
  <c r="C49" i="66"/>
  <c r="C48" i="66"/>
  <c r="C47" i="66"/>
  <c r="C46" i="66"/>
  <c r="C45" i="66"/>
  <c r="C44" i="66"/>
  <c r="C43" i="66"/>
  <c r="C42" i="66"/>
  <c r="C41" i="66"/>
  <c r="C40" i="66"/>
  <c r="C39" i="66"/>
  <c r="C38" i="66"/>
  <c r="C37" i="66"/>
  <c r="C36" i="66"/>
  <c r="C35" i="66"/>
  <c r="C34" i="66"/>
  <c r="C33" i="66"/>
  <c r="C32" i="66"/>
  <c r="C31" i="66"/>
  <c r="C30" i="66"/>
  <c r="C29" i="66"/>
  <c r="C28" i="66"/>
  <c r="C27" i="66"/>
  <c r="C26" i="66"/>
  <c r="C25" i="66"/>
  <c r="C24" i="66"/>
  <c r="C23" i="66"/>
  <c r="C22" i="66"/>
  <c r="C21" i="66"/>
  <c r="C20" i="66"/>
  <c r="C19" i="66"/>
  <c r="C18" i="66"/>
  <c r="C17" i="66"/>
  <c r="C16" i="66"/>
  <c r="C15" i="66"/>
  <c r="D4" i="61"/>
  <c r="AR22" i="63" l="1"/>
  <c r="J2" i="66"/>
  <c r="B15" i="66"/>
  <c r="B16" i="66"/>
  <c r="B17" i="66"/>
  <c r="B18" i="66"/>
  <c r="B19" i="66"/>
  <c r="B20" i="66"/>
  <c r="B21" i="66"/>
  <c r="B22" i="66"/>
  <c r="B23" i="66"/>
  <c r="B24" i="66"/>
  <c r="B25" i="66"/>
  <c r="B26" i="66"/>
  <c r="B27" i="66"/>
  <c r="B28" i="66"/>
  <c r="B29" i="66"/>
  <c r="B30" i="66"/>
  <c r="B31" i="66"/>
  <c r="B32" i="66"/>
  <c r="B33" i="66"/>
  <c r="B34" i="66"/>
  <c r="B35" i="66"/>
  <c r="B36" i="66"/>
  <c r="B37" i="66"/>
  <c r="B38" i="66"/>
  <c r="B39" i="66"/>
  <c r="B40" i="66"/>
  <c r="B41" i="66"/>
  <c r="B42" i="66"/>
  <c r="B43" i="66"/>
  <c r="B44" i="66"/>
  <c r="B45" i="66"/>
  <c r="B46" i="66"/>
  <c r="B47" i="66"/>
  <c r="B48" i="66"/>
  <c r="B49" i="66"/>
  <c r="B50" i="66"/>
  <c r="B51" i="66"/>
  <c r="B52" i="66"/>
  <c r="B53" i="66"/>
  <c r="B54" i="66"/>
  <c r="B55" i="66"/>
  <c r="B56" i="66"/>
  <c r="B57" i="66"/>
  <c r="B58" i="66"/>
  <c r="B59" i="66"/>
  <c r="B60" i="66"/>
  <c r="B61" i="66"/>
  <c r="B62" i="66"/>
  <c r="B63" i="66"/>
  <c r="B64" i="66"/>
  <c r="B65" i="66"/>
  <c r="B66" i="66"/>
  <c r="B67" i="66"/>
  <c r="B68" i="66"/>
  <c r="B69" i="66"/>
  <c r="B70" i="66"/>
  <c r="B71" i="66"/>
  <c r="B72" i="66"/>
  <c r="B73" i="66"/>
  <c r="B74" i="66"/>
  <c r="B75" i="66"/>
  <c r="B76" i="66"/>
  <c r="B77" i="66"/>
  <c r="B78" i="66"/>
  <c r="B79" i="66"/>
  <c r="B80" i="66"/>
  <c r="B81" i="66"/>
  <c r="B82" i="66"/>
  <c r="B83" i="66"/>
  <c r="B84" i="66"/>
  <c r="B85" i="66"/>
  <c r="B86" i="66"/>
  <c r="B87" i="66"/>
  <c r="B88" i="66"/>
  <c r="B89" i="66"/>
  <c r="B90" i="66"/>
  <c r="B91" i="66"/>
  <c r="B92" i="66"/>
  <c r="B93" i="66"/>
  <c r="B94" i="66"/>
  <c r="B95" i="66"/>
  <c r="B96" i="66"/>
  <c r="B97" i="66"/>
  <c r="B98" i="66"/>
  <c r="B99" i="66"/>
  <c r="B100" i="66"/>
  <c r="B101" i="66"/>
  <c r="B102" i="66"/>
  <c r="B103" i="66"/>
  <c r="B104" i="66"/>
  <c r="B105" i="66"/>
  <c r="B106" i="66"/>
  <c r="B107" i="66"/>
  <c r="B108" i="66"/>
  <c r="B109" i="66"/>
  <c r="B110" i="66"/>
  <c r="B111" i="66"/>
  <c r="B112" i="66"/>
  <c r="B113" i="66"/>
  <c r="B114" i="66"/>
  <c r="B115" i="66"/>
  <c r="B116" i="66"/>
  <c r="B117" i="66"/>
  <c r="B118" i="66"/>
  <c r="B119" i="66"/>
  <c r="B120" i="66"/>
  <c r="B121" i="66"/>
  <c r="B122" i="66"/>
  <c r="B123" i="66"/>
  <c r="B124" i="66"/>
  <c r="B125" i="66"/>
  <c r="B126" i="66"/>
  <c r="B127" i="66"/>
  <c r="B128" i="66"/>
  <c r="B129" i="66"/>
  <c r="B130" i="66"/>
  <c r="B131" i="66"/>
  <c r="B132" i="66"/>
  <c r="B133" i="66"/>
  <c r="B134" i="66"/>
  <c r="B135" i="66"/>
  <c r="B136" i="66"/>
  <c r="B137" i="66"/>
  <c r="B138" i="66"/>
  <c r="B139" i="66"/>
  <c r="B140" i="66"/>
  <c r="B141" i="66"/>
  <c r="B142" i="66"/>
  <c r="B143" i="66"/>
  <c r="B144" i="66"/>
  <c r="B145" i="66"/>
  <c r="B146" i="66"/>
  <c r="B147" i="66"/>
  <c r="B148" i="66"/>
  <c r="B149" i="66"/>
  <c r="B150" i="66"/>
  <c r="B151" i="66"/>
  <c r="B152" i="66"/>
  <c r="B153" i="66"/>
  <c r="B154" i="66"/>
  <c r="B155" i="66"/>
  <c r="B156" i="66"/>
  <c r="B157" i="66"/>
  <c r="B158" i="66"/>
  <c r="B159" i="66"/>
  <c r="B160" i="66"/>
  <c r="B161" i="66"/>
  <c r="B162" i="66"/>
  <c r="B163" i="66"/>
  <c r="B164" i="66"/>
  <c r="B165" i="66"/>
  <c r="B166" i="66"/>
  <c r="B167" i="66"/>
  <c r="B168" i="66"/>
  <c r="B169" i="66"/>
  <c r="B170" i="66"/>
  <c r="B171" i="66"/>
  <c r="B172" i="66"/>
  <c r="B173" i="66"/>
  <c r="B174" i="66"/>
  <c r="B175" i="66"/>
  <c r="B176" i="66"/>
  <c r="B177" i="66"/>
  <c r="B178" i="66"/>
  <c r="B179" i="66"/>
  <c r="B180" i="66"/>
  <c r="B181" i="66"/>
  <c r="B182" i="66"/>
  <c r="B183" i="66"/>
  <c r="B184" i="66"/>
  <c r="B185" i="66"/>
  <c r="B186" i="66"/>
  <c r="B187" i="66"/>
  <c r="B188" i="66"/>
  <c r="B189" i="66"/>
  <c r="B190" i="66"/>
  <c r="B191" i="66"/>
  <c r="B192" i="66"/>
  <c r="B193" i="66"/>
  <c r="B194" i="66"/>
  <c r="B195" i="66"/>
  <c r="B196" i="66"/>
  <c r="B197" i="66"/>
  <c r="B198" i="66"/>
  <c r="B199" i="66"/>
  <c r="B200" i="66"/>
  <c r="B201" i="66"/>
  <c r="B202" i="66"/>
  <c r="B203" i="66"/>
  <c r="B204" i="66"/>
  <c r="B205" i="66"/>
  <c r="B206" i="66"/>
  <c r="B207" i="66"/>
  <c r="B208" i="66"/>
  <c r="B209" i="66"/>
  <c r="C10" i="66"/>
  <c r="K20" i="67"/>
  <c r="R2" i="34"/>
  <c r="AJ1" i="68"/>
  <c r="V2" i="40"/>
  <c r="V44" i="40" s="1"/>
  <c r="H10" i="66" l="1"/>
  <c r="O20" i="67"/>
  <c r="AB35" i="71"/>
  <c r="AB34" i="71"/>
  <c r="AB33" i="71"/>
  <c r="AB32" i="71"/>
  <c r="AB31" i="71"/>
  <c r="AB30" i="71"/>
  <c r="AB29" i="71"/>
  <c r="AB28" i="71"/>
  <c r="AB27" i="71"/>
  <c r="AB23" i="71"/>
  <c r="AB22" i="71"/>
  <c r="AB21" i="71"/>
  <c r="AB17" i="71"/>
  <c r="AB16" i="71"/>
  <c r="AB15" i="71"/>
  <c r="AB14" i="71"/>
  <c r="AB13" i="71"/>
  <c r="AB12" i="71"/>
  <c r="AB11" i="71"/>
  <c r="AB10" i="71"/>
  <c r="AB9" i="71"/>
  <c r="AB8" i="71"/>
  <c r="I1" i="70"/>
  <c r="H7" i="71"/>
  <c r="I43" i="71"/>
  <c r="I41" i="71"/>
  <c r="I39" i="71"/>
  <c r="I38" i="71"/>
  <c r="I36" i="71"/>
  <c r="I34" i="71"/>
  <c r="I33" i="71"/>
  <c r="I32" i="71"/>
  <c r="I31" i="71"/>
  <c r="I20" i="71"/>
  <c r="I18" i="71"/>
  <c r="I16" i="71"/>
  <c r="I13" i="71"/>
  <c r="V60" i="71"/>
  <c r="V56" i="71"/>
  <c r="V55" i="71"/>
  <c r="V54" i="71"/>
  <c r="V33" i="71"/>
  <c r="V32" i="71"/>
  <c r="V31" i="71"/>
  <c r="X32" i="71" l="1"/>
  <c r="X33" i="71"/>
  <c r="X31" i="71"/>
  <c r="AC23" i="71"/>
  <c r="AC22" i="71"/>
  <c r="AA48" i="67"/>
  <c r="X48" i="67"/>
  <c r="F79" i="67"/>
  <c r="AM14" i="68" s="1"/>
  <c r="F78" i="67"/>
  <c r="AJ14" i="68" s="1"/>
  <c r="F77" i="67"/>
  <c r="AG14" i="68" s="1"/>
  <c r="F74" i="67"/>
  <c r="AA14" i="68" s="1"/>
  <c r="F73" i="67"/>
  <c r="X14" i="68" s="1"/>
  <c r="F72" i="67"/>
  <c r="U14" i="68" s="1"/>
  <c r="F70" i="67"/>
  <c r="O14" i="68" s="1"/>
  <c r="F69" i="67"/>
  <c r="L14" i="68" s="1"/>
  <c r="F68" i="67"/>
  <c r="I14" i="68" s="1"/>
  <c r="I60" i="71"/>
  <c r="X60" i="71" s="1"/>
  <c r="I58" i="71"/>
  <c r="I56" i="71"/>
  <c r="X56" i="71" s="1"/>
  <c r="I55" i="71"/>
  <c r="X55" i="71" s="1"/>
  <c r="I54" i="71"/>
  <c r="X54" i="71" s="1"/>
  <c r="I52" i="71"/>
  <c r="I50" i="71"/>
  <c r="I48" i="71"/>
  <c r="I44" i="71"/>
  <c r="I42" i="71"/>
  <c r="I40" i="71"/>
  <c r="I29" i="71"/>
  <c r="I27" i="71"/>
  <c r="I25" i="71"/>
  <c r="I21" i="71"/>
  <c r="I19" i="71"/>
  <c r="I17" i="71"/>
  <c r="I15" i="71"/>
  <c r="I11" i="71"/>
  <c r="AA20" i="71"/>
  <c r="J18" i="58"/>
  <c r="AC17" i="71"/>
  <c r="AC16" i="71"/>
  <c r="BS17" i="62"/>
  <c r="AF22" i="71" l="1"/>
  <c r="AF23" i="71"/>
  <c r="AF16" i="71"/>
  <c r="Z14" i="71"/>
  <c r="E2" i="71" l="1"/>
  <c r="R9" i="63"/>
  <c r="AF17" i="71" l="1"/>
  <c r="AF26" i="70"/>
  <c r="AF27" i="70"/>
  <c r="AF28" i="70"/>
  <c r="AF29" i="70"/>
  <c r="AF30" i="70"/>
  <c r="AF31" i="70"/>
  <c r="AF32" i="70"/>
  <c r="AF33" i="70"/>
  <c r="AA26" i="70"/>
  <c r="J29" i="70"/>
  <c r="J30" i="70"/>
  <c r="J31" i="70"/>
  <c r="J32" i="70"/>
  <c r="J33" i="70"/>
  <c r="J28" i="70"/>
  <c r="J27" i="70"/>
  <c r="J26" i="70"/>
  <c r="I6" i="70"/>
  <c r="AJ5" i="70" s="1"/>
  <c r="CA11" i="62"/>
  <c r="O45" i="70" s="1"/>
  <c r="CA10" i="62"/>
  <c r="O44" i="70" s="1"/>
  <c r="CA9" i="62"/>
  <c r="O43" i="70" s="1"/>
  <c r="CA8" i="62"/>
  <c r="O42" i="70" s="1"/>
  <c r="CA7" i="62"/>
  <c r="O41" i="70" s="1"/>
  <c r="CA6" i="62"/>
  <c r="O40" i="70" s="1"/>
  <c r="CA5" i="62"/>
  <c r="O39" i="70" s="1"/>
  <c r="BY8" i="62"/>
  <c r="M42" i="70" s="1"/>
  <c r="BY11" i="62"/>
  <c r="M45" i="70" s="1"/>
  <c r="BY10" i="62"/>
  <c r="M44" i="70" s="1"/>
  <c r="BY9" i="62"/>
  <c r="M43" i="70" s="1"/>
  <c r="BY7" i="62"/>
  <c r="M41" i="70" s="1"/>
  <c r="BY6" i="62"/>
  <c r="M40" i="70" s="1"/>
  <c r="BY5" i="62"/>
  <c r="BU11" i="62"/>
  <c r="BS11" i="62"/>
  <c r="BU10" i="62"/>
  <c r="BS10" i="62"/>
  <c r="BU9" i="62"/>
  <c r="AC9" i="71" s="1"/>
  <c r="AF9" i="71" s="1"/>
  <c r="BS9" i="62"/>
  <c r="BU7" i="62"/>
  <c r="I41" i="70" s="1"/>
  <c r="BS7" i="62"/>
  <c r="G41" i="70" s="1"/>
  <c r="BU5" i="62"/>
  <c r="BS5" i="62"/>
  <c r="BL19" i="62"/>
  <c r="BL21" i="62"/>
  <c r="BL33" i="62"/>
  <c r="BL35" i="62"/>
  <c r="BL37" i="62"/>
  <c r="BL67" i="62"/>
  <c r="BL69" i="62"/>
  <c r="BL81" i="62"/>
  <c r="BL115" i="62"/>
  <c r="BL139" i="62"/>
  <c r="BL141" i="62"/>
  <c r="BL153" i="62"/>
  <c r="BL155" i="62"/>
  <c r="BL157" i="62"/>
  <c r="BL159" i="62"/>
  <c r="BL187" i="62"/>
  <c r="BL189" i="62"/>
  <c r="BL201" i="62"/>
  <c r="BL203" i="62"/>
  <c r="BL235" i="62"/>
  <c r="BL237" i="62"/>
  <c r="BL307" i="62"/>
  <c r="BL309" i="62"/>
  <c r="BL321" i="62"/>
  <c r="BL323" i="62"/>
  <c r="BL325" i="62"/>
  <c r="BL355" i="62"/>
  <c r="BL357" i="62"/>
  <c r="BL369" i="62"/>
  <c r="BL403" i="62"/>
  <c r="BK19" i="62"/>
  <c r="BK21" i="62"/>
  <c r="BK23" i="62"/>
  <c r="BK25" i="62"/>
  <c r="BK27" i="62"/>
  <c r="BK29" i="62"/>
  <c r="BK31" i="62"/>
  <c r="BK33" i="62"/>
  <c r="BK35" i="62"/>
  <c r="BK37" i="62"/>
  <c r="BK39" i="62"/>
  <c r="BL39" i="62" s="1"/>
  <c r="BK41" i="62"/>
  <c r="BL41" i="62" s="1"/>
  <c r="BK43" i="62"/>
  <c r="BK45" i="62"/>
  <c r="BK47" i="62"/>
  <c r="BK49" i="62"/>
  <c r="BK51" i="62"/>
  <c r="BK53" i="62"/>
  <c r="BK55" i="62"/>
  <c r="BK57" i="62"/>
  <c r="BL57" i="62" s="1"/>
  <c r="BK59" i="62"/>
  <c r="BL59" i="62" s="1"/>
  <c r="BK61" i="62"/>
  <c r="BL61" i="62" s="1"/>
  <c r="BK63" i="62"/>
  <c r="BL63" i="62" s="1"/>
  <c r="BK65" i="62"/>
  <c r="BL65" i="62" s="1"/>
  <c r="BK67" i="62"/>
  <c r="BK69" i="62"/>
  <c r="BK71" i="62"/>
  <c r="BK73" i="62"/>
  <c r="BK75" i="62"/>
  <c r="BK77" i="62"/>
  <c r="BK79" i="62"/>
  <c r="BK81" i="62"/>
  <c r="BK83" i="62"/>
  <c r="BL83" i="62" s="1"/>
  <c r="BK85" i="62"/>
  <c r="BL85" i="62" s="1"/>
  <c r="BK87" i="62"/>
  <c r="BL87" i="62" s="1"/>
  <c r="BK89" i="62"/>
  <c r="BL89" i="62" s="1"/>
  <c r="BK91" i="62"/>
  <c r="BK93" i="62"/>
  <c r="BK95" i="62"/>
  <c r="BK97" i="62"/>
  <c r="BK99" i="62"/>
  <c r="BK101" i="62"/>
  <c r="BK103" i="62"/>
  <c r="BK105" i="62"/>
  <c r="BL105" i="62" s="1"/>
  <c r="BK107" i="62"/>
  <c r="BL107" i="62" s="1"/>
  <c r="BK109" i="62"/>
  <c r="BL109" i="62" s="1"/>
  <c r="BK111" i="62"/>
  <c r="BL111" i="62" s="1"/>
  <c r="BK113" i="62"/>
  <c r="BL113" i="62" s="1"/>
  <c r="BK115" i="62"/>
  <c r="BK117" i="62"/>
  <c r="BK119" i="62"/>
  <c r="BK121" i="62"/>
  <c r="BK123" i="62"/>
  <c r="BK125" i="62"/>
  <c r="BK127" i="62"/>
  <c r="BK129" i="62"/>
  <c r="BL129" i="62" s="1"/>
  <c r="BK131" i="62"/>
  <c r="BL131" i="62" s="1"/>
  <c r="BK133" i="62"/>
  <c r="BL133" i="62" s="1"/>
  <c r="BK135" i="62"/>
  <c r="BL135" i="62" s="1"/>
  <c r="BK137" i="62"/>
  <c r="BL137" i="62" s="1"/>
  <c r="BK139" i="62"/>
  <c r="BK141" i="62"/>
  <c r="BK143" i="62"/>
  <c r="BK145" i="62"/>
  <c r="BK147" i="62"/>
  <c r="BK149" i="62"/>
  <c r="BK151" i="62"/>
  <c r="BK153" i="62"/>
  <c r="BK155" i="62"/>
  <c r="BK157" i="62"/>
  <c r="BK159" i="62"/>
  <c r="BK161" i="62"/>
  <c r="BL161" i="62" s="1"/>
  <c r="BK163" i="62"/>
  <c r="BK165" i="62"/>
  <c r="BK167" i="62"/>
  <c r="BK169" i="62"/>
  <c r="BK171" i="62"/>
  <c r="BK173" i="62"/>
  <c r="BK175" i="62"/>
  <c r="BK177" i="62"/>
  <c r="BL177" i="62" s="1"/>
  <c r="BK179" i="62"/>
  <c r="BL179" i="62" s="1"/>
  <c r="BK181" i="62"/>
  <c r="BL181" i="62" s="1"/>
  <c r="BK183" i="62"/>
  <c r="BL183" i="62" s="1"/>
  <c r="BK185" i="62"/>
  <c r="BL185" i="62" s="1"/>
  <c r="BK187" i="62"/>
  <c r="BK189" i="62"/>
  <c r="BK191" i="62"/>
  <c r="BK193" i="62"/>
  <c r="BK195" i="62"/>
  <c r="BK197" i="62"/>
  <c r="BK199" i="62"/>
  <c r="BK201" i="62"/>
  <c r="BK203" i="62"/>
  <c r="BK205" i="62"/>
  <c r="BL205" i="62" s="1"/>
  <c r="BK207" i="62"/>
  <c r="BL207" i="62" s="1"/>
  <c r="BK209" i="62"/>
  <c r="BL209" i="62" s="1"/>
  <c r="BK211" i="62"/>
  <c r="BK213" i="62"/>
  <c r="BK215" i="62"/>
  <c r="BK217" i="62"/>
  <c r="BK219" i="62"/>
  <c r="BK221" i="62"/>
  <c r="BK223" i="62"/>
  <c r="BK225" i="62"/>
  <c r="BL225" i="62" s="1"/>
  <c r="BK227" i="62"/>
  <c r="BL227" i="62" s="1"/>
  <c r="BK229" i="62"/>
  <c r="BL229" i="62" s="1"/>
  <c r="BK231" i="62"/>
  <c r="BL231" i="62" s="1"/>
  <c r="BK233" i="62"/>
  <c r="BL233" i="62" s="1"/>
  <c r="BK235" i="62"/>
  <c r="BK237" i="62"/>
  <c r="BK239" i="62"/>
  <c r="BK241" i="62"/>
  <c r="BK243" i="62"/>
  <c r="BK245" i="62"/>
  <c r="BK247" i="62"/>
  <c r="BK249" i="62"/>
  <c r="BK251" i="62"/>
  <c r="BL251" i="62" s="1"/>
  <c r="BK253" i="62"/>
  <c r="BL253" i="62" s="1"/>
  <c r="BK255" i="62"/>
  <c r="BL255" i="62" s="1"/>
  <c r="BK257" i="62"/>
  <c r="BL257" i="62" s="1"/>
  <c r="BK259" i="62"/>
  <c r="BK261" i="62"/>
  <c r="BK263" i="62"/>
  <c r="BK265" i="62"/>
  <c r="BK267" i="62"/>
  <c r="BK269" i="62"/>
  <c r="BK271" i="62"/>
  <c r="BK273" i="62"/>
  <c r="BL273" i="62" s="1"/>
  <c r="BK275" i="62"/>
  <c r="BL275" i="62" s="1"/>
  <c r="BK277" i="62"/>
  <c r="BL277" i="62" s="1"/>
  <c r="BK279" i="62"/>
  <c r="BL279" i="62" s="1"/>
  <c r="BK281" i="62"/>
  <c r="BL281" i="62" s="1"/>
  <c r="BK283" i="62"/>
  <c r="BK285" i="62"/>
  <c r="BK287" i="62"/>
  <c r="BK289" i="62"/>
  <c r="BK291" i="62"/>
  <c r="BK293" i="62"/>
  <c r="BK295" i="62"/>
  <c r="BK297" i="62"/>
  <c r="BL297" i="62" s="1"/>
  <c r="BK299" i="62"/>
  <c r="BL299" i="62" s="1"/>
  <c r="BK301" i="62"/>
  <c r="BL301" i="62" s="1"/>
  <c r="BK303" i="62"/>
  <c r="BL303" i="62" s="1"/>
  <c r="BK305" i="62"/>
  <c r="BL305" i="62" s="1"/>
  <c r="BK307" i="62"/>
  <c r="BK309" i="62"/>
  <c r="BK311" i="62"/>
  <c r="BK313" i="62"/>
  <c r="BK315" i="62"/>
  <c r="BK317" i="62"/>
  <c r="BK319" i="62"/>
  <c r="BK321" i="62"/>
  <c r="BK323" i="62"/>
  <c r="BK325" i="62"/>
  <c r="BK327" i="62"/>
  <c r="BL327" i="62" s="1"/>
  <c r="BK329" i="62"/>
  <c r="BL329" i="62" s="1"/>
  <c r="BK331" i="62"/>
  <c r="BK333" i="62"/>
  <c r="BK335" i="62"/>
  <c r="BK337" i="62"/>
  <c r="BK339" i="62"/>
  <c r="BK341" i="62"/>
  <c r="BK343" i="62"/>
  <c r="BK345" i="62"/>
  <c r="BL345" i="62" s="1"/>
  <c r="BK347" i="62"/>
  <c r="BL347" i="62" s="1"/>
  <c r="BK349" i="62"/>
  <c r="BL349" i="62" s="1"/>
  <c r="BK351" i="62"/>
  <c r="BL351" i="62" s="1"/>
  <c r="BK353" i="62"/>
  <c r="BL353" i="62" s="1"/>
  <c r="BK355" i="62"/>
  <c r="BK357" i="62"/>
  <c r="BK359" i="62"/>
  <c r="BK361" i="62"/>
  <c r="BK363" i="62"/>
  <c r="BK365" i="62"/>
  <c r="BK367" i="62"/>
  <c r="BK369" i="62"/>
  <c r="BK371" i="62"/>
  <c r="BL371" i="62" s="1"/>
  <c r="BK373" i="62"/>
  <c r="BL373" i="62" s="1"/>
  <c r="BK375" i="62"/>
  <c r="BL375" i="62" s="1"/>
  <c r="BK377" i="62"/>
  <c r="BL377" i="62" s="1"/>
  <c r="BK379" i="62"/>
  <c r="BK381" i="62"/>
  <c r="BK383" i="62"/>
  <c r="BK385" i="62"/>
  <c r="BK387" i="62"/>
  <c r="BK389" i="62"/>
  <c r="BK391" i="62"/>
  <c r="BK393" i="62"/>
  <c r="BL393" i="62" s="1"/>
  <c r="BK395" i="62"/>
  <c r="BL395" i="62" s="1"/>
  <c r="BK397" i="62"/>
  <c r="BL397" i="62" s="1"/>
  <c r="BK399" i="62"/>
  <c r="BL399" i="62" s="1"/>
  <c r="BK401" i="62"/>
  <c r="BL401" i="62" s="1"/>
  <c r="BK403" i="62"/>
  <c r="BK17" i="62"/>
  <c r="BJ17" i="62"/>
  <c r="BK15" i="62"/>
  <c r="BJ15" i="62"/>
  <c r="BJ19" i="62"/>
  <c r="BJ21" i="62"/>
  <c r="BJ23" i="62"/>
  <c r="BL23" i="62" s="1"/>
  <c r="BJ25" i="62"/>
  <c r="BL25" i="62" s="1"/>
  <c r="BJ27" i="62"/>
  <c r="BL27" i="62" s="1"/>
  <c r="BJ29" i="62"/>
  <c r="BL29" i="62" s="1"/>
  <c r="BJ31" i="62"/>
  <c r="BL31" i="62" s="1"/>
  <c r="BJ33" i="62"/>
  <c r="BJ35" i="62"/>
  <c r="BJ37" i="62"/>
  <c r="BJ39" i="62"/>
  <c r="BJ41" i="62"/>
  <c r="BJ43" i="62"/>
  <c r="BL43" i="62" s="1"/>
  <c r="BJ45" i="62"/>
  <c r="BL45" i="62" s="1"/>
  <c r="BJ47" i="62"/>
  <c r="BL47" i="62" s="1"/>
  <c r="BJ49" i="62"/>
  <c r="BL49" i="62" s="1"/>
  <c r="BJ51" i="62"/>
  <c r="BL51" i="62" s="1"/>
  <c r="BJ53" i="62"/>
  <c r="BL53" i="62" s="1"/>
  <c r="BJ55" i="62"/>
  <c r="BL55" i="62" s="1"/>
  <c r="BJ57" i="62"/>
  <c r="BJ59" i="62"/>
  <c r="BJ61" i="62"/>
  <c r="BJ63" i="62"/>
  <c r="BJ65" i="62"/>
  <c r="BJ67" i="62"/>
  <c r="BJ69" i="62"/>
  <c r="BJ71" i="62"/>
  <c r="BL71" i="62" s="1"/>
  <c r="BJ73" i="62"/>
  <c r="BL73" i="62" s="1"/>
  <c r="BJ75" i="62"/>
  <c r="BL75" i="62" s="1"/>
  <c r="BJ77" i="62"/>
  <c r="BL77" i="62" s="1"/>
  <c r="BJ79" i="62"/>
  <c r="BL79" i="62" s="1"/>
  <c r="BJ81" i="62"/>
  <c r="BJ83" i="62"/>
  <c r="BJ85" i="62"/>
  <c r="BJ87" i="62"/>
  <c r="BJ89" i="62"/>
  <c r="BJ91" i="62"/>
  <c r="BL91" i="62" s="1"/>
  <c r="BJ93" i="62"/>
  <c r="BL93" i="62" s="1"/>
  <c r="BJ95" i="62"/>
  <c r="BL95" i="62" s="1"/>
  <c r="BJ97" i="62"/>
  <c r="BL97" i="62" s="1"/>
  <c r="BJ99" i="62"/>
  <c r="BL99" i="62" s="1"/>
  <c r="BJ101" i="62"/>
  <c r="BL101" i="62" s="1"/>
  <c r="BJ103" i="62"/>
  <c r="BL103" i="62" s="1"/>
  <c r="BJ105" i="62"/>
  <c r="BJ107" i="62"/>
  <c r="BJ109" i="62"/>
  <c r="BJ111" i="62"/>
  <c r="BJ113" i="62"/>
  <c r="BJ115" i="62"/>
  <c r="BJ117" i="62"/>
  <c r="BL117" i="62" s="1"/>
  <c r="BJ119" i="62"/>
  <c r="BL119" i="62" s="1"/>
  <c r="BJ121" i="62"/>
  <c r="BL121" i="62" s="1"/>
  <c r="BJ123" i="62"/>
  <c r="BL123" i="62" s="1"/>
  <c r="BJ125" i="62"/>
  <c r="BL125" i="62" s="1"/>
  <c r="BJ127" i="62"/>
  <c r="BL127" i="62" s="1"/>
  <c r="BJ129" i="62"/>
  <c r="BJ131" i="62"/>
  <c r="BJ133" i="62"/>
  <c r="BJ135" i="62"/>
  <c r="BJ137" i="62"/>
  <c r="BJ139" i="62"/>
  <c r="BJ141" i="62"/>
  <c r="BJ143" i="62"/>
  <c r="BL143" i="62" s="1"/>
  <c r="BJ145" i="62"/>
  <c r="BL145" i="62" s="1"/>
  <c r="BJ147" i="62"/>
  <c r="BL147" i="62" s="1"/>
  <c r="BJ149" i="62"/>
  <c r="BL149" i="62" s="1"/>
  <c r="BJ151" i="62"/>
  <c r="BL151" i="62" s="1"/>
  <c r="BJ153" i="62"/>
  <c r="BJ155" i="62"/>
  <c r="BJ157" i="62"/>
  <c r="BJ159" i="62"/>
  <c r="BJ161" i="62"/>
  <c r="BJ163" i="62"/>
  <c r="BL163" i="62" s="1"/>
  <c r="BJ165" i="62"/>
  <c r="BL165" i="62" s="1"/>
  <c r="BJ167" i="62"/>
  <c r="BL167" i="62" s="1"/>
  <c r="BJ169" i="62"/>
  <c r="BL169" i="62" s="1"/>
  <c r="BJ171" i="62"/>
  <c r="BL171" i="62" s="1"/>
  <c r="BJ173" i="62"/>
  <c r="BL173" i="62" s="1"/>
  <c r="BJ175" i="62"/>
  <c r="BL175" i="62" s="1"/>
  <c r="BJ177" i="62"/>
  <c r="BJ179" i="62"/>
  <c r="BJ181" i="62"/>
  <c r="BJ183" i="62"/>
  <c r="BJ185" i="62"/>
  <c r="BJ187" i="62"/>
  <c r="BJ189" i="62"/>
  <c r="BJ191" i="62"/>
  <c r="BL191" i="62" s="1"/>
  <c r="BJ193" i="62"/>
  <c r="BL193" i="62" s="1"/>
  <c r="BJ195" i="62"/>
  <c r="BL195" i="62" s="1"/>
  <c r="BJ197" i="62"/>
  <c r="BL197" i="62" s="1"/>
  <c r="BJ199" i="62"/>
  <c r="BL199" i="62" s="1"/>
  <c r="BJ201" i="62"/>
  <c r="BJ203" i="62"/>
  <c r="BJ205" i="62"/>
  <c r="BJ207" i="62"/>
  <c r="BJ209" i="62"/>
  <c r="BJ211" i="62"/>
  <c r="BL211" i="62" s="1"/>
  <c r="BJ213" i="62"/>
  <c r="BL213" i="62" s="1"/>
  <c r="BJ215" i="62"/>
  <c r="BL215" i="62" s="1"/>
  <c r="BJ217" i="62"/>
  <c r="BL217" i="62" s="1"/>
  <c r="BJ219" i="62"/>
  <c r="BL219" i="62" s="1"/>
  <c r="BJ221" i="62"/>
  <c r="BL221" i="62" s="1"/>
  <c r="BJ223" i="62"/>
  <c r="BL223" i="62" s="1"/>
  <c r="BJ225" i="62"/>
  <c r="BJ227" i="62"/>
  <c r="BJ229" i="62"/>
  <c r="BJ231" i="62"/>
  <c r="BJ233" i="62"/>
  <c r="BJ235" i="62"/>
  <c r="BJ237" i="62"/>
  <c r="BJ239" i="62"/>
  <c r="BL239" i="62" s="1"/>
  <c r="BJ241" i="62"/>
  <c r="BL241" i="62" s="1"/>
  <c r="BJ243" i="62"/>
  <c r="BL243" i="62" s="1"/>
  <c r="BJ245" i="62"/>
  <c r="BL245" i="62" s="1"/>
  <c r="BJ247" i="62"/>
  <c r="BL247" i="62" s="1"/>
  <c r="BJ249" i="62"/>
  <c r="BL249" i="62" s="1"/>
  <c r="BJ251" i="62"/>
  <c r="BJ253" i="62"/>
  <c r="BJ255" i="62"/>
  <c r="BJ257" i="62"/>
  <c r="BJ259" i="62"/>
  <c r="BL259" i="62" s="1"/>
  <c r="BJ261" i="62"/>
  <c r="BL261" i="62" s="1"/>
  <c r="BJ263" i="62"/>
  <c r="BL263" i="62" s="1"/>
  <c r="BJ265" i="62"/>
  <c r="BL265" i="62" s="1"/>
  <c r="BJ267" i="62"/>
  <c r="BL267" i="62" s="1"/>
  <c r="BJ269" i="62"/>
  <c r="BL269" i="62" s="1"/>
  <c r="BJ271" i="62"/>
  <c r="BL271" i="62" s="1"/>
  <c r="BJ273" i="62"/>
  <c r="BJ275" i="62"/>
  <c r="BJ277" i="62"/>
  <c r="BJ279" i="62"/>
  <c r="BJ281" i="62"/>
  <c r="BJ283" i="62"/>
  <c r="BL283" i="62" s="1"/>
  <c r="BJ285" i="62"/>
  <c r="BL285" i="62" s="1"/>
  <c r="BJ287" i="62"/>
  <c r="BL287" i="62" s="1"/>
  <c r="BJ289" i="62"/>
  <c r="BL289" i="62" s="1"/>
  <c r="BJ291" i="62"/>
  <c r="BL291" i="62" s="1"/>
  <c r="BJ293" i="62"/>
  <c r="BL293" i="62" s="1"/>
  <c r="BJ295" i="62"/>
  <c r="BL295" i="62" s="1"/>
  <c r="BJ297" i="62"/>
  <c r="BJ299" i="62"/>
  <c r="BJ301" i="62"/>
  <c r="BJ303" i="62"/>
  <c r="BJ305" i="62"/>
  <c r="BJ307" i="62"/>
  <c r="BJ309" i="62"/>
  <c r="BJ311" i="62"/>
  <c r="BL311" i="62" s="1"/>
  <c r="BJ313" i="62"/>
  <c r="BL313" i="62" s="1"/>
  <c r="BJ315" i="62"/>
  <c r="BL315" i="62" s="1"/>
  <c r="BJ317" i="62"/>
  <c r="BL317" i="62" s="1"/>
  <c r="BJ319" i="62"/>
  <c r="BL319" i="62" s="1"/>
  <c r="BJ321" i="62"/>
  <c r="BJ323" i="62"/>
  <c r="BJ325" i="62"/>
  <c r="BJ327" i="62"/>
  <c r="BJ329" i="62"/>
  <c r="BJ331" i="62"/>
  <c r="BL331" i="62" s="1"/>
  <c r="BJ333" i="62"/>
  <c r="BL333" i="62" s="1"/>
  <c r="BJ335" i="62"/>
  <c r="BL335" i="62" s="1"/>
  <c r="BJ337" i="62"/>
  <c r="BL337" i="62" s="1"/>
  <c r="BJ339" i="62"/>
  <c r="BL339" i="62" s="1"/>
  <c r="BJ341" i="62"/>
  <c r="BL341" i="62" s="1"/>
  <c r="BJ343" i="62"/>
  <c r="BL343" i="62" s="1"/>
  <c r="BJ345" i="62"/>
  <c r="BJ347" i="62"/>
  <c r="BJ349" i="62"/>
  <c r="BJ351" i="62"/>
  <c r="BJ353" i="62"/>
  <c r="BJ355" i="62"/>
  <c r="BJ357" i="62"/>
  <c r="BJ359" i="62"/>
  <c r="BL359" i="62" s="1"/>
  <c r="BJ361" i="62"/>
  <c r="BL361" i="62" s="1"/>
  <c r="BJ363" i="62"/>
  <c r="BL363" i="62" s="1"/>
  <c r="BJ365" i="62"/>
  <c r="BL365" i="62" s="1"/>
  <c r="BJ367" i="62"/>
  <c r="BL367" i="62" s="1"/>
  <c r="BJ369" i="62"/>
  <c r="BJ371" i="62"/>
  <c r="BJ373" i="62"/>
  <c r="BJ375" i="62"/>
  <c r="BJ377" i="62"/>
  <c r="BJ379" i="62"/>
  <c r="BL379" i="62" s="1"/>
  <c r="BJ381" i="62"/>
  <c r="BL381" i="62" s="1"/>
  <c r="BJ383" i="62"/>
  <c r="BL383" i="62" s="1"/>
  <c r="BJ385" i="62"/>
  <c r="BL385" i="62" s="1"/>
  <c r="BJ387" i="62"/>
  <c r="BL387" i="62" s="1"/>
  <c r="BJ389" i="62"/>
  <c r="BL389" i="62" s="1"/>
  <c r="BJ391" i="62"/>
  <c r="BL391" i="62" s="1"/>
  <c r="BJ393" i="62"/>
  <c r="BJ395" i="62"/>
  <c r="BJ397" i="62"/>
  <c r="BJ399" i="62"/>
  <c r="BJ401" i="62"/>
  <c r="BJ403" i="62"/>
  <c r="CO42" i="62"/>
  <c r="AE33" i="70" s="1"/>
  <c r="CO41" i="62"/>
  <c r="AE32" i="70" s="1"/>
  <c r="CO40" i="62"/>
  <c r="AE31" i="70" s="1"/>
  <c r="CO39" i="62"/>
  <c r="AE30" i="70" s="1"/>
  <c r="CO38" i="62"/>
  <c r="AE29" i="70" s="1"/>
  <c r="CO37" i="62"/>
  <c r="AE28" i="70" s="1"/>
  <c r="CO36" i="62"/>
  <c r="AE27" i="70" s="1"/>
  <c r="CN42" i="62"/>
  <c r="AD33" i="70" s="1"/>
  <c r="CN41" i="62"/>
  <c r="AD32" i="70" s="1"/>
  <c r="CN40" i="62"/>
  <c r="AD31" i="70" s="1"/>
  <c r="CN39" i="62"/>
  <c r="AD30" i="70" s="1"/>
  <c r="CN38" i="62"/>
  <c r="AD29" i="70" s="1"/>
  <c r="CN37" i="62"/>
  <c r="AD28" i="70" s="1"/>
  <c r="CN36" i="62"/>
  <c r="AD27" i="70" s="1"/>
  <c r="CL42" i="62"/>
  <c r="AB33" i="70" s="1"/>
  <c r="CL41" i="62"/>
  <c r="AB32" i="70" s="1"/>
  <c r="CL40" i="62"/>
  <c r="AB31" i="70" s="1"/>
  <c r="CL39" i="62"/>
  <c r="AB30" i="70" s="1"/>
  <c r="CL38" i="62"/>
  <c r="AB29" i="70" s="1"/>
  <c r="CL37" i="62"/>
  <c r="AB28" i="70" s="1"/>
  <c r="CL36" i="62"/>
  <c r="AB27" i="70" s="1"/>
  <c r="CK42" i="62"/>
  <c r="AA33" i="70" s="1"/>
  <c r="CK41" i="62"/>
  <c r="AA32" i="70" s="1"/>
  <c r="CK40" i="62"/>
  <c r="AA31" i="70" s="1"/>
  <c r="CK39" i="62"/>
  <c r="AA30" i="70" s="1"/>
  <c r="CK38" i="62"/>
  <c r="AA29" i="70" s="1"/>
  <c r="CK37" i="62"/>
  <c r="AA28" i="70" s="1"/>
  <c r="CK36" i="62"/>
  <c r="AA27" i="70" s="1"/>
  <c r="CJ42" i="62"/>
  <c r="Z33" i="70" s="1"/>
  <c r="CJ41" i="62"/>
  <c r="Z32" i="70" s="1"/>
  <c r="CJ40" i="62"/>
  <c r="Z31" i="70" s="1"/>
  <c r="CJ39" i="62"/>
  <c r="Z30" i="70" s="1"/>
  <c r="CJ38" i="62"/>
  <c r="Z29" i="70" s="1"/>
  <c r="CJ37" i="62"/>
  <c r="Z28" i="70" s="1"/>
  <c r="CJ36" i="62"/>
  <c r="Z27" i="70" s="1"/>
  <c r="CH42" i="62"/>
  <c r="X33" i="70" s="1"/>
  <c r="CH41" i="62"/>
  <c r="X32" i="70" s="1"/>
  <c r="CH40" i="62"/>
  <c r="X31" i="70" s="1"/>
  <c r="CH39" i="62"/>
  <c r="X30" i="70" s="1"/>
  <c r="CH38" i="62"/>
  <c r="X29" i="70" s="1"/>
  <c r="CH37" i="62"/>
  <c r="X28" i="70" s="1"/>
  <c r="CH36" i="62"/>
  <c r="X27" i="70" s="1"/>
  <c r="CG42" i="62"/>
  <c r="W33" i="70" s="1"/>
  <c r="CG41" i="62"/>
  <c r="W32" i="70" s="1"/>
  <c r="CG40" i="62"/>
  <c r="W31" i="70" s="1"/>
  <c r="CG39" i="62"/>
  <c r="W30" i="70" s="1"/>
  <c r="CG38" i="62"/>
  <c r="W29" i="70" s="1"/>
  <c r="CG37" i="62"/>
  <c r="W28" i="70" s="1"/>
  <c r="CG36" i="62"/>
  <c r="W27" i="70" s="1"/>
  <c r="CF42" i="62"/>
  <c r="V33" i="70" s="1"/>
  <c r="CF41" i="62"/>
  <c r="V32" i="70" s="1"/>
  <c r="CF40" i="62"/>
  <c r="V31" i="70" s="1"/>
  <c r="CF39" i="62"/>
  <c r="V30" i="70" s="1"/>
  <c r="CF38" i="62"/>
  <c r="V29" i="70" s="1"/>
  <c r="CF37" i="62"/>
  <c r="V28" i="70" s="1"/>
  <c r="CF36" i="62"/>
  <c r="V27" i="70" s="1"/>
  <c r="CD42" i="62"/>
  <c r="T33" i="70" s="1"/>
  <c r="CD41" i="62"/>
  <c r="T32" i="70" s="1"/>
  <c r="CD40" i="62"/>
  <c r="T31" i="70" s="1"/>
  <c r="CD39" i="62"/>
  <c r="T30" i="70" s="1"/>
  <c r="CD38" i="62"/>
  <c r="T29" i="70" s="1"/>
  <c r="CD37" i="62"/>
  <c r="T28" i="70" s="1"/>
  <c r="CD36" i="62"/>
  <c r="T27" i="70" s="1"/>
  <c r="CC42" i="62"/>
  <c r="S33" i="70" s="1"/>
  <c r="CC41" i="62"/>
  <c r="S32" i="70" s="1"/>
  <c r="CC40" i="62"/>
  <c r="S31" i="70" s="1"/>
  <c r="CC39" i="62"/>
  <c r="S30" i="70" s="1"/>
  <c r="CC38" i="62"/>
  <c r="S29" i="70" s="1"/>
  <c r="CC37" i="62"/>
  <c r="S28" i="70" s="1"/>
  <c r="CC36" i="62"/>
  <c r="S27" i="70" s="1"/>
  <c r="CB42" i="62"/>
  <c r="R33" i="70" s="1"/>
  <c r="CB41" i="62"/>
  <c r="R32" i="70" s="1"/>
  <c r="CB40" i="62"/>
  <c r="R31" i="70" s="1"/>
  <c r="CB39" i="62"/>
  <c r="R30" i="70" s="1"/>
  <c r="CB38" i="62"/>
  <c r="R29" i="70" s="1"/>
  <c r="CB37" i="62"/>
  <c r="R28" i="70" s="1"/>
  <c r="CB36" i="62"/>
  <c r="R27" i="70" s="1"/>
  <c r="BZ42" i="62"/>
  <c r="P33" i="70" s="1"/>
  <c r="BZ41" i="62"/>
  <c r="P32" i="70" s="1"/>
  <c r="BZ40" i="62"/>
  <c r="P31" i="70" s="1"/>
  <c r="BZ39" i="62"/>
  <c r="P30" i="70" s="1"/>
  <c r="BZ38" i="62"/>
  <c r="P29" i="70" s="1"/>
  <c r="BZ37" i="62"/>
  <c r="P28" i="70" s="1"/>
  <c r="BZ36" i="62"/>
  <c r="P27" i="70" s="1"/>
  <c r="BY42" i="62"/>
  <c r="O33" i="70" s="1"/>
  <c r="BY41" i="62"/>
  <c r="O32" i="70" s="1"/>
  <c r="BY40" i="62"/>
  <c r="O31" i="70" s="1"/>
  <c r="BY39" i="62"/>
  <c r="O30" i="70" s="1"/>
  <c r="BY38" i="62"/>
  <c r="O29" i="70" s="1"/>
  <c r="BY37" i="62"/>
  <c r="O28" i="70" s="1"/>
  <c r="BY36" i="62"/>
  <c r="O27" i="70" s="1"/>
  <c r="BX42" i="62"/>
  <c r="N33" i="70" s="1"/>
  <c r="BX41" i="62"/>
  <c r="N32" i="70" s="1"/>
  <c r="BX40" i="62"/>
  <c r="N31" i="70" s="1"/>
  <c r="BX39" i="62"/>
  <c r="BX38" i="62"/>
  <c r="BX37" i="62"/>
  <c r="BX36" i="62"/>
  <c r="BV42" i="62"/>
  <c r="L33" i="70" s="1"/>
  <c r="BV41" i="62"/>
  <c r="L32" i="70" s="1"/>
  <c r="BV40" i="62"/>
  <c r="L31" i="70" s="1"/>
  <c r="BV39" i="62"/>
  <c r="BV38" i="62"/>
  <c r="BV37" i="62"/>
  <c r="BV36" i="62"/>
  <c r="L27" i="70" s="1"/>
  <c r="BU36" i="62"/>
  <c r="BU42" i="62"/>
  <c r="K33" i="70" s="1"/>
  <c r="BU41" i="62"/>
  <c r="K32" i="70" s="1"/>
  <c r="BU40" i="62"/>
  <c r="K31" i="70" s="1"/>
  <c r="BU39" i="62"/>
  <c r="BU38" i="62"/>
  <c r="BU37" i="62"/>
  <c r="BU35" i="62"/>
  <c r="K26" i="70" s="1"/>
  <c r="CO35" i="62"/>
  <c r="AE26" i="70" s="1"/>
  <c r="CN35" i="62"/>
  <c r="AD26" i="70" s="1"/>
  <c r="CL35" i="62"/>
  <c r="AB26" i="70" s="1"/>
  <c r="CK35" i="62"/>
  <c r="CG35" i="62"/>
  <c r="W26" i="70" s="1"/>
  <c r="CJ35" i="62"/>
  <c r="Z26" i="70" s="1"/>
  <c r="CH35" i="62"/>
  <c r="X26" i="70" s="1"/>
  <c r="CF35" i="62"/>
  <c r="V26" i="70" s="1"/>
  <c r="CD35" i="62"/>
  <c r="T26" i="70" s="1"/>
  <c r="CC35" i="62"/>
  <c r="S26" i="70" s="1"/>
  <c r="CB35" i="62"/>
  <c r="R26" i="70" s="1"/>
  <c r="BZ35" i="62"/>
  <c r="P26" i="70" s="1"/>
  <c r="BY35" i="62"/>
  <c r="O26" i="70" s="1"/>
  <c r="BX35" i="62"/>
  <c r="N26" i="70" s="1"/>
  <c r="BV35" i="62"/>
  <c r="L26" i="70" s="1"/>
  <c r="CO32" i="62"/>
  <c r="AE21" i="70" s="1"/>
  <c r="CO31" i="62"/>
  <c r="AE20" i="70" s="1"/>
  <c r="CO30" i="62"/>
  <c r="AE19" i="70" s="1"/>
  <c r="CO29" i="62"/>
  <c r="AE18" i="70" s="1"/>
  <c r="CO28" i="62"/>
  <c r="AE17" i="70" s="1"/>
  <c r="CO27" i="62"/>
  <c r="AE16" i="70" s="1"/>
  <c r="CO26" i="62"/>
  <c r="AE15" i="70" s="1"/>
  <c r="CM32" i="62"/>
  <c r="AC21" i="70" s="1"/>
  <c r="CM31" i="62"/>
  <c r="AC20" i="70" s="1"/>
  <c r="CM30" i="62"/>
  <c r="AC19" i="70" s="1"/>
  <c r="CM29" i="62"/>
  <c r="AC18" i="70" s="1"/>
  <c r="CM28" i="62"/>
  <c r="AC17" i="70" s="1"/>
  <c r="CM27" i="62"/>
  <c r="AC16" i="70" s="1"/>
  <c r="CM26" i="62"/>
  <c r="AC15" i="70" s="1"/>
  <c r="CK32" i="62"/>
  <c r="AA21" i="70" s="1"/>
  <c r="CK31" i="62"/>
  <c r="AA20" i="70" s="1"/>
  <c r="CK30" i="62"/>
  <c r="AA19" i="70" s="1"/>
  <c r="CK29" i="62"/>
  <c r="AA18" i="70" s="1"/>
  <c r="CK28" i="62"/>
  <c r="AA17" i="70" s="1"/>
  <c r="CK27" i="62"/>
  <c r="AA16" i="70" s="1"/>
  <c r="CK26" i="62"/>
  <c r="AA15" i="70" s="1"/>
  <c r="CI32" i="62"/>
  <c r="Y21" i="70" s="1"/>
  <c r="CI31" i="62"/>
  <c r="Y20" i="70" s="1"/>
  <c r="CI30" i="62"/>
  <c r="Y19" i="70" s="1"/>
  <c r="CI29" i="62"/>
  <c r="Y18" i="70" s="1"/>
  <c r="CI28" i="62"/>
  <c r="Y17" i="70" s="1"/>
  <c r="CI27" i="62"/>
  <c r="Y16" i="70" s="1"/>
  <c r="CI26" i="62"/>
  <c r="Y15" i="70" s="1"/>
  <c r="CG32" i="62"/>
  <c r="W21" i="70" s="1"/>
  <c r="CG31" i="62"/>
  <c r="W20" i="70" s="1"/>
  <c r="CG30" i="62"/>
  <c r="W19" i="70" s="1"/>
  <c r="CG29" i="62"/>
  <c r="W18" i="70" s="1"/>
  <c r="CG28" i="62"/>
  <c r="W17" i="70" s="1"/>
  <c r="CG27" i="62"/>
  <c r="W16" i="70" s="1"/>
  <c r="CG26" i="62"/>
  <c r="W15" i="70" s="1"/>
  <c r="CE32" i="62"/>
  <c r="U21" i="70" s="1"/>
  <c r="CE31" i="62"/>
  <c r="U20" i="70" s="1"/>
  <c r="CE30" i="62"/>
  <c r="U19" i="70" s="1"/>
  <c r="CE29" i="62"/>
  <c r="U18" i="70" s="1"/>
  <c r="CE28" i="62"/>
  <c r="U17" i="70" s="1"/>
  <c r="CE27" i="62"/>
  <c r="U16" i="70" s="1"/>
  <c r="CE26" i="62"/>
  <c r="U15" i="70" s="1"/>
  <c r="CC32" i="62"/>
  <c r="S21" i="70" s="1"/>
  <c r="CC31" i="62"/>
  <c r="S20" i="70" s="1"/>
  <c r="CC30" i="62"/>
  <c r="S19" i="70" s="1"/>
  <c r="CC29" i="62"/>
  <c r="S18" i="70" s="1"/>
  <c r="CC28" i="62"/>
  <c r="S17" i="70" s="1"/>
  <c r="CC27" i="62"/>
  <c r="S16" i="70" s="1"/>
  <c r="CC26" i="62"/>
  <c r="S15" i="70" s="1"/>
  <c r="CA32" i="62"/>
  <c r="Q21" i="70" s="1"/>
  <c r="CA31" i="62"/>
  <c r="Q20" i="70" s="1"/>
  <c r="CA30" i="62"/>
  <c r="Q19" i="70" s="1"/>
  <c r="CA29" i="62"/>
  <c r="Q18" i="70" s="1"/>
  <c r="CA28" i="62"/>
  <c r="Q17" i="70" s="1"/>
  <c r="CA27" i="62"/>
  <c r="Q16" i="70" s="1"/>
  <c r="CA26" i="62"/>
  <c r="Q15" i="70" s="1"/>
  <c r="BY32" i="62"/>
  <c r="O21" i="70" s="1"/>
  <c r="BY31" i="62"/>
  <c r="O20" i="70" s="1"/>
  <c r="BY30" i="62"/>
  <c r="O19" i="70" s="1"/>
  <c r="BY29" i="62"/>
  <c r="O18" i="70" s="1"/>
  <c r="BY28" i="62"/>
  <c r="O17" i="70" s="1"/>
  <c r="BY27" i="62"/>
  <c r="O16" i="70" s="1"/>
  <c r="BY26" i="62"/>
  <c r="O15" i="70" s="1"/>
  <c r="BW32" i="62"/>
  <c r="M21" i="70" s="1"/>
  <c r="BW31" i="62"/>
  <c r="M20" i="70" s="1"/>
  <c r="BW30" i="62"/>
  <c r="M19" i="70" s="1"/>
  <c r="BW29" i="62"/>
  <c r="M18" i="70" s="1"/>
  <c r="BW28" i="62"/>
  <c r="M17" i="70" s="1"/>
  <c r="BW27" i="62"/>
  <c r="M16" i="70" s="1"/>
  <c r="BW26" i="62"/>
  <c r="M15" i="70" s="1"/>
  <c r="BU32" i="62"/>
  <c r="K21" i="70" s="1"/>
  <c r="BU31" i="62"/>
  <c r="K20" i="70" s="1"/>
  <c r="BU30" i="62"/>
  <c r="K19" i="70" s="1"/>
  <c r="BU29" i="62"/>
  <c r="K18" i="70" s="1"/>
  <c r="BU28" i="62"/>
  <c r="K17" i="70" s="1"/>
  <c r="BU27" i="62"/>
  <c r="K16" i="70" s="1"/>
  <c r="BU26" i="62"/>
  <c r="K15" i="70" s="1"/>
  <c r="BS32" i="62"/>
  <c r="I21" i="70" s="1"/>
  <c r="BS31" i="62"/>
  <c r="I20" i="70" s="1"/>
  <c r="BS30" i="62"/>
  <c r="I19" i="70" s="1"/>
  <c r="BS29" i="62"/>
  <c r="I18" i="70" s="1"/>
  <c r="BS28" i="62"/>
  <c r="I17" i="70" s="1"/>
  <c r="BS27" i="62"/>
  <c r="I16" i="70" s="1"/>
  <c r="BS26" i="62"/>
  <c r="I15" i="70" s="1"/>
  <c r="CO24" i="62"/>
  <c r="AE13" i="70" s="1"/>
  <c r="CO15" i="62"/>
  <c r="AE4" i="70" s="1"/>
  <c r="CK24" i="62"/>
  <c r="AA13" i="70" s="1"/>
  <c r="CK15" i="62"/>
  <c r="AA4" i="70" s="1"/>
  <c r="CG24" i="62"/>
  <c r="W13" i="70" s="1"/>
  <c r="CG15" i="62"/>
  <c r="W4" i="70" s="1"/>
  <c r="CC24" i="62"/>
  <c r="S13" i="70" s="1"/>
  <c r="CC15" i="62"/>
  <c r="S4" i="70" s="1"/>
  <c r="BY24" i="62"/>
  <c r="O13" i="70" s="1"/>
  <c r="BY15" i="62"/>
  <c r="O4" i="70" s="1"/>
  <c r="BU24" i="62"/>
  <c r="K13" i="70" s="1"/>
  <c r="BU15" i="62"/>
  <c r="K4" i="70" s="1"/>
  <c r="AC30" i="71" l="1"/>
  <c r="AF30" i="71" s="1"/>
  <c r="AC27" i="71"/>
  <c r="AF27" i="71" s="1"/>
  <c r="AC28" i="71"/>
  <c r="AF28" i="71" s="1"/>
  <c r="AC14" i="71"/>
  <c r="AF14" i="71" s="1"/>
  <c r="AC10" i="71"/>
  <c r="AF10" i="71" s="1"/>
  <c r="L29" i="70"/>
  <c r="AC34" i="71"/>
  <c r="AF34" i="71" s="1"/>
  <c r="AC29" i="71"/>
  <c r="AF29" i="71" s="1"/>
  <c r="L30" i="70"/>
  <c r="AC35" i="71"/>
  <c r="AF35" i="71" s="1"/>
  <c r="L28" i="70"/>
  <c r="AC33" i="71"/>
  <c r="AF33" i="71" s="1"/>
  <c r="BL17" i="62"/>
  <c r="J24" i="71"/>
  <c r="J47" i="71"/>
  <c r="K30" i="70"/>
  <c r="AC32" i="71"/>
  <c r="AF32" i="71" s="1"/>
  <c r="K27" i="70"/>
  <c r="N27" i="70"/>
  <c r="N28" i="70"/>
  <c r="K28" i="70"/>
  <c r="N29" i="70"/>
  <c r="K29" i="70"/>
  <c r="AC31" i="71"/>
  <c r="AF31" i="71" s="1"/>
  <c r="N30" i="70"/>
  <c r="AC13" i="71"/>
  <c r="AF13" i="71" s="1"/>
  <c r="BY3" i="62"/>
  <c r="BU6" i="62"/>
  <c r="I40" i="70" s="1"/>
  <c r="AC21" i="71"/>
  <c r="AF21" i="71" s="1"/>
  <c r="AF24" i="71" s="1"/>
  <c r="AC15" i="71"/>
  <c r="AF15" i="71" s="1"/>
  <c r="AC11" i="71"/>
  <c r="AF11" i="71" s="1"/>
  <c r="G44" i="70"/>
  <c r="G43" i="70"/>
  <c r="M39" i="70"/>
  <c r="I39" i="70"/>
  <c r="G39" i="70"/>
  <c r="I45" i="70"/>
  <c r="I44" i="70"/>
  <c r="G45" i="70"/>
  <c r="I43" i="70"/>
  <c r="J14" i="70"/>
  <c r="BL15" i="62"/>
  <c r="BS6" i="62" s="1"/>
  <c r="BX25" i="62"/>
  <c r="CP25" i="62"/>
  <c r="CN25" i="62"/>
  <c r="CL25" i="62"/>
  <c r="CJ25" i="62"/>
  <c r="CH25" i="62"/>
  <c r="CF25" i="62"/>
  <c r="CD25" i="62"/>
  <c r="CB25" i="62"/>
  <c r="BZ25" i="62"/>
  <c r="BV25" i="62"/>
  <c r="BT25" i="62"/>
  <c r="CO17" i="62"/>
  <c r="AE6" i="70" s="1"/>
  <c r="CK17" i="62"/>
  <c r="AA6" i="70" s="1"/>
  <c r="CG17" i="62"/>
  <c r="W6" i="70" s="1"/>
  <c r="CC17" i="62"/>
  <c r="S6" i="70" s="1"/>
  <c r="AO5" i="70" s="1"/>
  <c r="CO23" i="62"/>
  <c r="AE12" i="70" s="1"/>
  <c r="CO22" i="62"/>
  <c r="AE11" i="70" s="1"/>
  <c r="CO21" i="62"/>
  <c r="AE10" i="70" s="1"/>
  <c r="CO20" i="62"/>
  <c r="AE9" i="70" s="1"/>
  <c r="CO19" i="62"/>
  <c r="AE8" i="70" s="1"/>
  <c r="CO18" i="62"/>
  <c r="AE7" i="70" s="1"/>
  <c r="CM23" i="62"/>
  <c r="AC12" i="70" s="1"/>
  <c r="CM22" i="62"/>
  <c r="AC11" i="70" s="1"/>
  <c r="CM21" i="62"/>
  <c r="AC10" i="70" s="1"/>
  <c r="CM20" i="62"/>
  <c r="AC9" i="70" s="1"/>
  <c r="CM19" i="62"/>
  <c r="AC8" i="70" s="1"/>
  <c r="CM18" i="62"/>
  <c r="AC7" i="70" s="1"/>
  <c r="T44" i="71" s="1"/>
  <c r="CM17" i="62"/>
  <c r="AC6" i="70" s="1"/>
  <c r="CK21" i="62"/>
  <c r="AA10" i="70" s="1"/>
  <c r="CK23" i="62"/>
  <c r="AA12" i="70" s="1"/>
  <c r="CK22" i="62"/>
  <c r="AA11" i="70" s="1"/>
  <c r="CK20" i="62"/>
  <c r="AA9" i="70" s="1"/>
  <c r="CK19" i="62"/>
  <c r="AA8" i="70" s="1"/>
  <c r="CK18" i="62"/>
  <c r="AA7" i="70" s="1"/>
  <c r="S44" i="71" s="1"/>
  <c r="CI23" i="62"/>
  <c r="Y12" i="70" s="1"/>
  <c r="CI22" i="62"/>
  <c r="Y11" i="70" s="1"/>
  <c r="CI21" i="62"/>
  <c r="Y10" i="70" s="1"/>
  <c r="CI20" i="62"/>
  <c r="Y9" i="70" s="1"/>
  <c r="CI19" i="62"/>
  <c r="Y8" i="70" s="1"/>
  <c r="CI18" i="62"/>
  <c r="Y7" i="70" s="1"/>
  <c r="R44" i="71" s="1"/>
  <c r="S46" i="71" s="1"/>
  <c r="CI17" i="62"/>
  <c r="Y6" i="70" s="1"/>
  <c r="CG23" i="62"/>
  <c r="W12" i="70" s="1"/>
  <c r="CG22" i="62"/>
  <c r="W11" i="70" s="1"/>
  <c r="CG21" i="62"/>
  <c r="W10" i="70" s="1"/>
  <c r="CG20" i="62"/>
  <c r="W9" i="70" s="1"/>
  <c r="CG19" i="62"/>
  <c r="W8" i="70" s="1"/>
  <c r="CG18" i="62"/>
  <c r="W7" i="70" s="1"/>
  <c r="Q44" i="71" s="1"/>
  <c r="CE23" i="62"/>
  <c r="U12" i="70" s="1"/>
  <c r="CE22" i="62"/>
  <c r="U11" i="70" s="1"/>
  <c r="CE21" i="62"/>
  <c r="U10" i="70" s="1"/>
  <c r="CE20" i="62"/>
  <c r="U9" i="70" s="1"/>
  <c r="CE19" i="62"/>
  <c r="U8" i="70" s="1"/>
  <c r="CE18" i="62"/>
  <c r="U7" i="70" s="1"/>
  <c r="CE17" i="62"/>
  <c r="U6" i="70" s="1"/>
  <c r="CC23" i="62"/>
  <c r="S12" i="70" s="1"/>
  <c r="CC22" i="62"/>
  <c r="S11" i="70" s="1"/>
  <c r="CC21" i="62"/>
  <c r="S10" i="70" s="1"/>
  <c r="CC20" i="62"/>
  <c r="S9" i="70" s="1"/>
  <c r="CC19" i="62"/>
  <c r="S8" i="70" s="1"/>
  <c r="CC18" i="62"/>
  <c r="S7" i="70" s="1"/>
  <c r="CA23" i="62"/>
  <c r="Q12" i="70" s="1"/>
  <c r="CA22" i="62"/>
  <c r="Q11" i="70" s="1"/>
  <c r="CA21" i="62"/>
  <c r="Q10" i="70" s="1"/>
  <c r="CA20" i="62"/>
  <c r="Q9" i="70" s="1"/>
  <c r="CA19" i="62"/>
  <c r="Q8" i="70" s="1"/>
  <c r="CA18" i="62"/>
  <c r="Q7" i="70" s="1"/>
  <c r="CA17" i="62"/>
  <c r="Q6" i="70" s="1"/>
  <c r="BY23" i="62"/>
  <c r="O12" i="70" s="1"/>
  <c r="BY22" i="62"/>
  <c r="O11" i="70" s="1"/>
  <c r="BY21" i="62"/>
  <c r="O10" i="70" s="1"/>
  <c r="BY20" i="62"/>
  <c r="O9" i="70" s="1"/>
  <c r="BY19" i="62"/>
  <c r="O8" i="70" s="1"/>
  <c r="BY18" i="62"/>
  <c r="O7" i="70" s="1"/>
  <c r="BY17" i="62"/>
  <c r="O6" i="70" s="1"/>
  <c r="BW23" i="62"/>
  <c r="M12" i="70" s="1"/>
  <c r="BW22" i="62"/>
  <c r="M11" i="70" s="1"/>
  <c r="BW21" i="62"/>
  <c r="M10" i="70" s="1"/>
  <c r="BW20" i="62"/>
  <c r="M9" i="70" s="1"/>
  <c r="BW19" i="62"/>
  <c r="M8" i="70" s="1"/>
  <c r="BW18" i="62"/>
  <c r="M7" i="70" s="1"/>
  <c r="L44" i="71" s="1"/>
  <c r="BW17" i="62"/>
  <c r="M6" i="70" s="1"/>
  <c r="BU23" i="62"/>
  <c r="K12" i="70" s="1"/>
  <c r="BU22" i="62"/>
  <c r="K11" i="70" s="1"/>
  <c r="BU21" i="62"/>
  <c r="K10" i="70" s="1"/>
  <c r="BU20" i="62"/>
  <c r="K9" i="70" s="1"/>
  <c r="BU19" i="62"/>
  <c r="K8" i="70" s="1"/>
  <c r="BU18" i="62"/>
  <c r="K7" i="70" s="1"/>
  <c r="BU17" i="62"/>
  <c r="K6" i="70" s="1"/>
  <c r="BS23" i="62"/>
  <c r="I12" i="70" s="1"/>
  <c r="BQ23" i="62"/>
  <c r="BS22" i="62"/>
  <c r="I11" i="70" s="1"/>
  <c r="BQ22" i="62"/>
  <c r="BS21" i="62"/>
  <c r="I10" i="70" s="1"/>
  <c r="BQ21" i="62"/>
  <c r="BS20" i="62"/>
  <c r="I9" i="70" s="1"/>
  <c r="BQ20" i="62"/>
  <c r="BS19" i="62"/>
  <c r="I8" i="70" s="1"/>
  <c r="BQ19" i="62"/>
  <c r="BS18" i="62"/>
  <c r="I7" i="70" s="1"/>
  <c r="J44" i="71" s="1"/>
  <c r="BQ18" i="62"/>
  <c r="BQ17" i="62"/>
  <c r="BR23" i="62"/>
  <c r="BR22" i="62"/>
  <c r="BR21" i="62"/>
  <c r="BR20" i="62"/>
  <c r="BR19" i="62"/>
  <c r="BR18" i="62"/>
  <c r="BR17" i="62"/>
  <c r="BP16" i="62"/>
  <c r="P21" i="71" l="1"/>
  <c r="P44" i="71"/>
  <c r="Q46" i="71" s="1"/>
  <c r="K21" i="71"/>
  <c r="K44" i="71"/>
  <c r="K46" i="71" s="1"/>
  <c r="M21" i="71"/>
  <c r="M44" i="71"/>
  <c r="M46" i="71" s="1"/>
  <c r="O21" i="71"/>
  <c r="O44" i="71"/>
  <c r="U21" i="71"/>
  <c r="U44" i="71"/>
  <c r="U46" i="71" s="1"/>
  <c r="N44" i="71"/>
  <c r="AF36" i="71"/>
  <c r="L21" i="71"/>
  <c r="J21" i="71"/>
  <c r="K23" i="71" s="1"/>
  <c r="T21" i="71"/>
  <c r="N21" i="71"/>
  <c r="S21" i="71"/>
  <c r="R21" i="71"/>
  <c r="Q21" i="71"/>
  <c r="Q23" i="71" s="1"/>
  <c r="O24" i="71"/>
  <c r="O47" i="71"/>
  <c r="BS8" i="62"/>
  <c r="G42" i="70" s="1"/>
  <c r="BU8" i="62"/>
  <c r="I42" i="70" s="1"/>
  <c r="G40" i="70"/>
  <c r="L5" i="70"/>
  <c r="J5" i="70"/>
  <c r="H11" i="70"/>
  <c r="BW10" i="62"/>
  <c r="K44" i="70" s="1"/>
  <c r="BQ5" i="62"/>
  <c r="G6" i="70"/>
  <c r="H12" i="70"/>
  <c r="BW11" i="62"/>
  <c r="K45" i="70" s="1"/>
  <c r="BQ9" i="62"/>
  <c r="F43" i="70" s="1"/>
  <c r="G10" i="70"/>
  <c r="BW5" i="62"/>
  <c r="K39" i="70" s="1"/>
  <c r="H6" i="70"/>
  <c r="BQ6" i="62"/>
  <c r="F40" i="70" s="1"/>
  <c r="G7" i="70"/>
  <c r="BQ10" i="62"/>
  <c r="F44" i="70" s="1"/>
  <c r="G11" i="70"/>
  <c r="H7" i="70"/>
  <c r="BW6" i="62"/>
  <c r="K40" i="70" s="1"/>
  <c r="H8" i="70"/>
  <c r="BW7" i="62"/>
  <c r="K41" i="70" s="1"/>
  <c r="BQ7" i="62"/>
  <c r="F41" i="70" s="1"/>
  <c r="G8" i="70"/>
  <c r="BQ11" i="62"/>
  <c r="F45" i="70" s="1"/>
  <c r="G12" i="70"/>
  <c r="BW8" i="62"/>
  <c r="H9" i="70"/>
  <c r="H10" i="70"/>
  <c r="BW9" i="62"/>
  <c r="K43" i="70" s="1"/>
  <c r="BQ8" i="62"/>
  <c r="F42" i="70" s="1"/>
  <c r="G9" i="70"/>
  <c r="CD16" i="62"/>
  <c r="CP16" i="62"/>
  <c r="BZ16" i="62"/>
  <c r="BT16" i="62"/>
  <c r="BV16" i="62"/>
  <c r="CN16" i="62"/>
  <c r="CL16" i="62"/>
  <c r="CJ16" i="62"/>
  <c r="CH16" i="62"/>
  <c r="CF16" i="62"/>
  <c r="CB16" i="62"/>
  <c r="BX16" i="62"/>
  <c r="BP17" i="62"/>
  <c r="BP18" i="62"/>
  <c r="BP19" i="62"/>
  <c r="BP20" i="62"/>
  <c r="BP21" i="62"/>
  <c r="BP22" i="62"/>
  <c r="BP23" i="62"/>
  <c r="O23" i="71" l="1"/>
  <c r="U23" i="71"/>
  <c r="M23" i="71"/>
  <c r="O46" i="71"/>
  <c r="S23" i="71"/>
  <c r="AC12" i="71"/>
  <c r="AF12" i="71" s="1"/>
  <c r="G37" i="70"/>
  <c r="AC8" i="71"/>
  <c r="AF8" i="71" s="1"/>
  <c r="BS3" i="62"/>
  <c r="BP11" i="62"/>
  <c r="E12" i="70"/>
  <c r="BP10" i="62"/>
  <c r="E11" i="70"/>
  <c r="BP9" i="62"/>
  <c r="E43" i="70" s="1"/>
  <c r="E10" i="70"/>
  <c r="BP7" i="62"/>
  <c r="E41" i="70" s="1"/>
  <c r="E8" i="70"/>
  <c r="BW4" i="62"/>
  <c r="K42" i="70"/>
  <c r="BP8" i="62"/>
  <c r="E42" i="70" s="1"/>
  <c r="E9" i="70"/>
  <c r="BP6" i="62"/>
  <c r="E40" i="70" s="1"/>
  <c r="E7" i="70"/>
  <c r="F39" i="70"/>
  <c r="BQ4" i="62"/>
  <c r="BP5" i="62"/>
  <c r="E6" i="70"/>
  <c r="A23" i="62"/>
  <c r="A21" i="62"/>
  <c r="A25" i="62"/>
  <c r="A27" i="62"/>
  <c r="A29" i="62"/>
  <c r="A31" i="62"/>
  <c r="A33" i="62"/>
  <c r="A35" i="62"/>
  <c r="A37" i="62"/>
  <c r="A39" i="62"/>
  <c r="A41" i="62"/>
  <c r="A43" i="62"/>
  <c r="A45" i="62"/>
  <c r="A47" i="62"/>
  <c r="A49" i="62"/>
  <c r="A51" i="62"/>
  <c r="A53" i="62"/>
  <c r="A55" i="62"/>
  <c r="A57" i="62"/>
  <c r="A59" i="62"/>
  <c r="A61" i="62"/>
  <c r="A63" i="62"/>
  <c r="A65" i="62"/>
  <c r="A67" i="62"/>
  <c r="A69" i="62"/>
  <c r="A71" i="62"/>
  <c r="A73" i="62"/>
  <c r="A75" i="62"/>
  <c r="A77" i="62"/>
  <c r="A79" i="62"/>
  <c r="A81" i="62"/>
  <c r="A83" i="62"/>
  <c r="A85" i="62"/>
  <c r="A87" i="62"/>
  <c r="A89" i="62"/>
  <c r="A91" i="62"/>
  <c r="A93" i="62"/>
  <c r="A95" i="62"/>
  <c r="A97" i="62"/>
  <c r="A99" i="62"/>
  <c r="A101" i="62"/>
  <c r="A103" i="62"/>
  <c r="A105" i="62"/>
  <c r="A107" i="62"/>
  <c r="A109" i="62"/>
  <c r="A111" i="62"/>
  <c r="A113" i="62"/>
  <c r="A115" i="62"/>
  <c r="A117" i="62"/>
  <c r="A119" i="62"/>
  <c r="A121" i="62"/>
  <c r="A123" i="62"/>
  <c r="A125" i="62"/>
  <c r="A127" i="62"/>
  <c r="A129" i="62"/>
  <c r="A131" i="62"/>
  <c r="A133" i="62"/>
  <c r="A135" i="62"/>
  <c r="A137" i="62"/>
  <c r="A139" i="62"/>
  <c r="A141" i="62"/>
  <c r="A143" i="62"/>
  <c r="A145" i="62"/>
  <c r="A147" i="62"/>
  <c r="A149" i="62"/>
  <c r="A151" i="62"/>
  <c r="A153" i="62"/>
  <c r="A155" i="62"/>
  <c r="A157" i="62"/>
  <c r="A159" i="62"/>
  <c r="A161" i="62"/>
  <c r="A163" i="62"/>
  <c r="A165" i="62"/>
  <c r="A167" i="62"/>
  <c r="A169" i="62"/>
  <c r="A171" i="62"/>
  <c r="A173" i="62"/>
  <c r="A175" i="62"/>
  <c r="A177" i="62"/>
  <c r="A179" i="62"/>
  <c r="A181" i="62"/>
  <c r="A183" i="62"/>
  <c r="A185" i="62"/>
  <c r="A187" i="62"/>
  <c r="A189" i="62"/>
  <c r="A191" i="62"/>
  <c r="A193" i="62"/>
  <c r="A195" i="62"/>
  <c r="A197" i="62"/>
  <c r="A199" i="62"/>
  <c r="A201" i="62"/>
  <c r="A203" i="62"/>
  <c r="A205" i="62"/>
  <c r="A207" i="62"/>
  <c r="A209" i="62"/>
  <c r="A211" i="62"/>
  <c r="A213" i="62"/>
  <c r="A215" i="62"/>
  <c r="A217" i="62"/>
  <c r="A219" i="62"/>
  <c r="A221" i="62"/>
  <c r="A223" i="62"/>
  <c r="A225" i="62"/>
  <c r="A227" i="62"/>
  <c r="A229" i="62"/>
  <c r="A231" i="62"/>
  <c r="A233" i="62"/>
  <c r="A235" i="62"/>
  <c r="A237" i="62"/>
  <c r="A239" i="62"/>
  <c r="A241" i="62"/>
  <c r="A243" i="62"/>
  <c r="A245" i="62"/>
  <c r="A247" i="62"/>
  <c r="A249" i="62"/>
  <c r="A251" i="62"/>
  <c r="A253" i="62"/>
  <c r="A255" i="62"/>
  <c r="A257" i="62"/>
  <c r="A259" i="62"/>
  <c r="A261" i="62"/>
  <c r="A263" i="62"/>
  <c r="A265" i="62"/>
  <c r="A267" i="62"/>
  <c r="A269" i="62"/>
  <c r="A271" i="62"/>
  <c r="A273" i="62"/>
  <c r="A275" i="62"/>
  <c r="A277" i="62"/>
  <c r="A279" i="62"/>
  <c r="A281" i="62"/>
  <c r="A283" i="62"/>
  <c r="A285" i="62"/>
  <c r="A287" i="62"/>
  <c r="A289" i="62"/>
  <c r="A291" i="62"/>
  <c r="A293" i="62"/>
  <c r="A295" i="62"/>
  <c r="A297" i="62"/>
  <c r="A299" i="62"/>
  <c r="A301" i="62"/>
  <c r="A303" i="62"/>
  <c r="A305" i="62"/>
  <c r="A307" i="62"/>
  <c r="A309" i="62"/>
  <c r="A311" i="62"/>
  <c r="A313" i="62"/>
  <c r="A315" i="62"/>
  <c r="A317" i="62"/>
  <c r="A319" i="62"/>
  <c r="A321" i="62"/>
  <c r="A323" i="62"/>
  <c r="A325" i="62"/>
  <c r="A327" i="62"/>
  <c r="A329" i="62"/>
  <c r="A331" i="62"/>
  <c r="A333" i="62"/>
  <c r="A335" i="62"/>
  <c r="A337" i="62"/>
  <c r="A339" i="62"/>
  <c r="A341" i="62"/>
  <c r="A343" i="62"/>
  <c r="A345" i="62"/>
  <c r="A347" i="62"/>
  <c r="A349" i="62"/>
  <c r="A351" i="62"/>
  <c r="A353" i="62"/>
  <c r="A355" i="62"/>
  <c r="A357" i="62"/>
  <c r="A359" i="62"/>
  <c r="A361" i="62"/>
  <c r="A363" i="62"/>
  <c r="A365" i="62"/>
  <c r="A367" i="62"/>
  <c r="A369" i="62"/>
  <c r="A371" i="62"/>
  <c r="A373" i="62"/>
  <c r="A375" i="62"/>
  <c r="A377" i="62"/>
  <c r="A379" i="62"/>
  <c r="A381" i="62"/>
  <c r="A383" i="62"/>
  <c r="A385" i="62"/>
  <c r="A387" i="62"/>
  <c r="A389" i="62"/>
  <c r="A391" i="62"/>
  <c r="A393" i="62"/>
  <c r="A395" i="62"/>
  <c r="A397" i="62"/>
  <c r="A399" i="62"/>
  <c r="A401" i="62"/>
  <c r="A19" i="62"/>
  <c r="U4" i="62"/>
  <c r="U2" i="62"/>
  <c r="B6" i="63"/>
  <c r="AM1" i="63"/>
  <c r="AE17" i="67"/>
  <c r="AB17" i="67" s="1"/>
  <c r="AF16" i="67"/>
  <c r="AD16" i="67"/>
  <c r="AE16" i="67" s="1"/>
  <c r="AC16" i="67"/>
  <c r="AC17" i="67"/>
  <c r="AG17" i="67"/>
  <c r="AG16" i="67"/>
  <c r="AF17" i="67"/>
  <c r="AD17" i="67"/>
  <c r="E5" i="70" l="1"/>
  <c r="V46" i="71"/>
  <c r="X46" i="71" s="1"/>
  <c r="S3" i="71"/>
  <c r="E44" i="70"/>
  <c r="BP4" i="62"/>
  <c r="E39" i="70"/>
  <c r="Q4" i="71"/>
  <c r="E45" i="70"/>
  <c r="AB16" i="67"/>
  <c r="B5" i="63"/>
  <c r="AC7" i="63"/>
  <c r="M3" i="71" l="1"/>
  <c r="L12" i="66"/>
  <c r="AX9" i="63"/>
  <c r="B16" i="67"/>
  <c r="AY9" i="63"/>
  <c r="AZ9" i="63"/>
  <c r="BA9" i="63"/>
  <c r="AJ12" i="63"/>
  <c r="AF12" i="63"/>
  <c r="AB12" i="63"/>
  <c r="P2" i="63" s="1"/>
  <c r="AX8" i="63"/>
  <c r="AW8" i="63"/>
  <c r="AV8" i="63"/>
  <c r="AW9" i="63" l="1"/>
  <c r="AV9" i="63" s="1"/>
  <c r="M3" i="63" s="1"/>
  <c r="X54" i="63"/>
  <c r="U54" i="63"/>
  <c r="AM74" i="63"/>
  <c r="AM77" i="63"/>
  <c r="AM65" i="63"/>
  <c r="AM62" i="63"/>
  <c r="AM44" i="63"/>
  <c r="AM41" i="63"/>
  <c r="AM32" i="63"/>
  <c r="AM29" i="63"/>
  <c r="AM20" i="63"/>
  <c r="AM89" i="63" s="1"/>
  <c r="AM17" i="63"/>
  <c r="B24" i="67"/>
  <c r="D9" i="40"/>
  <c r="B9" i="67" l="1"/>
  <c r="B41" i="67"/>
  <c r="AG9" i="63" l="1"/>
  <c r="AG54" i="63" s="1"/>
  <c r="I6" i="34"/>
  <c r="AE9" i="63"/>
  <c r="AE54" i="63" s="1"/>
  <c r="G6" i="34"/>
  <c r="AB9" i="63"/>
  <c r="AB54" i="63" s="1"/>
  <c r="D6" i="34"/>
  <c r="AJ57" i="63"/>
  <c r="AF57" i="63"/>
  <c r="Y12" i="63"/>
  <c r="Y57" i="63" s="1"/>
  <c r="U12" i="63"/>
  <c r="U57" i="63" s="1"/>
  <c r="Q12" i="63"/>
  <c r="Q57" i="63" s="1"/>
  <c r="F11" i="63"/>
  <c r="F56" i="63" s="1"/>
  <c r="R54" i="63"/>
  <c r="D9" i="63"/>
  <c r="D54" i="63" s="1"/>
  <c r="Y72" i="40"/>
  <c r="V75" i="40"/>
  <c r="V73" i="40"/>
  <c r="V72" i="40"/>
  <c r="V71" i="40"/>
  <c r="T75" i="40"/>
  <c r="T73" i="40"/>
  <c r="T72" i="40"/>
  <c r="T71" i="40"/>
  <c r="I75" i="40"/>
  <c r="I73" i="40"/>
  <c r="I72" i="40"/>
  <c r="I71" i="40"/>
  <c r="G73" i="40"/>
  <c r="E73" i="40"/>
  <c r="G71" i="40"/>
  <c r="E71" i="40"/>
  <c r="B71" i="40"/>
  <c r="Y67" i="40"/>
  <c r="V70" i="40"/>
  <c r="V68" i="40"/>
  <c r="V67" i="40"/>
  <c r="V66" i="40"/>
  <c r="T70" i="40"/>
  <c r="T68" i="40"/>
  <c r="T67" i="40"/>
  <c r="T66" i="40"/>
  <c r="I70" i="40"/>
  <c r="I68" i="40"/>
  <c r="I67" i="40"/>
  <c r="I66" i="40"/>
  <c r="G68" i="40"/>
  <c r="E68" i="40"/>
  <c r="G66" i="40"/>
  <c r="E66" i="40"/>
  <c r="B66" i="40"/>
  <c r="Y62" i="40"/>
  <c r="V65" i="40"/>
  <c r="V63" i="40"/>
  <c r="V62" i="40"/>
  <c r="V61" i="40"/>
  <c r="T65" i="40"/>
  <c r="T63" i="40"/>
  <c r="T62" i="40"/>
  <c r="T61" i="40"/>
  <c r="I65" i="40"/>
  <c r="I63" i="40"/>
  <c r="I62" i="40"/>
  <c r="I61" i="40"/>
  <c r="G63" i="40"/>
  <c r="E63" i="40"/>
  <c r="G61" i="40"/>
  <c r="E61" i="40"/>
  <c r="B61" i="40"/>
  <c r="Y57" i="40"/>
  <c r="V60" i="40"/>
  <c r="V58" i="40"/>
  <c r="V57" i="40"/>
  <c r="V56" i="40"/>
  <c r="T60" i="40"/>
  <c r="T58" i="40"/>
  <c r="T57" i="40"/>
  <c r="T56" i="40"/>
  <c r="I60" i="40"/>
  <c r="I58" i="40"/>
  <c r="I57" i="40"/>
  <c r="I56" i="40"/>
  <c r="G58" i="40"/>
  <c r="E58" i="40"/>
  <c r="G56" i="40"/>
  <c r="E56" i="40"/>
  <c r="B56" i="40"/>
  <c r="U42" i="40"/>
  <c r="U84" i="40" s="1"/>
  <c r="U41" i="40"/>
  <c r="U83" i="40" s="1"/>
  <c r="U40" i="40"/>
  <c r="U82" i="40" s="1"/>
  <c r="E42" i="40"/>
  <c r="E84" i="40" s="1"/>
  <c r="E41" i="40"/>
  <c r="E83" i="40" s="1"/>
  <c r="N40" i="40"/>
  <c r="N82" i="40" s="1"/>
  <c r="B42" i="40"/>
  <c r="B84" i="40" s="1"/>
  <c r="B41" i="40"/>
  <c r="B83" i="40" s="1"/>
  <c r="B40" i="40"/>
  <c r="B82" i="40" s="1"/>
  <c r="J96" i="67"/>
  <c r="B96" i="67"/>
  <c r="X36" i="40"/>
  <c r="X78" i="40" s="1"/>
  <c r="Q36" i="40"/>
  <c r="Q78" i="40" s="1"/>
  <c r="H36" i="40"/>
  <c r="H78" i="40" s="1"/>
  <c r="D51" i="40"/>
  <c r="Y30" i="40"/>
  <c r="V33" i="40"/>
  <c r="V31" i="40"/>
  <c r="V30" i="40"/>
  <c r="V29" i="40"/>
  <c r="T33" i="40"/>
  <c r="T31" i="40"/>
  <c r="T30" i="40"/>
  <c r="T29" i="40"/>
  <c r="I33" i="40"/>
  <c r="I31" i="40"/>
  <c r="I30" i="40"/>
  <c r="I29" i="40"/>
  <c r="G31" i="40"/>
  <c r="E31" i="40"/>
  <c r="G29" i="40"/>
  <c r="E29" i="40"/>
  <c r="B29" i="40"/>
  <c r="Y25" i="40"/>
  <c r="V28" i="40"/>
  <c r="V26" i="40"/>
  <c r="V25" i="40"/>
  <c r="V24" i="40"/>
  <c r="T28" i="40"/>
  <c r="T26" i="40"/>
  <c r="T25" i="40"/>
  <c r="T24" i="40"/>
  <c r="I28" i="40"/>
  <c r="I26" i="40"/>
  <c r="I25" i="40"/>
  <c r="I24" i="40"/>
  <c r="G26" i="40"/>
  <c r="E26" i="40"/>
  <c r="G24" i="40"/>
  <c r="E24" i="40"/>
  <c r="B24" i="40"/>
  <c r="Y4" i="40"/>
  <c r="D1" i="40" s="1"/>
  <c r="Y20" i="40"/>
  <c r="V23" i="40"/>
  <c r="V21" i="40"/>
  <c r="V20" i="40"/>
  <c r="V19" i="40"/>
  <c r="T23" i="40"/>
  <c r="T21" i="40"/>
  <c r="T20" i="40"/>
  <c r="T19" i="40"/>
  <c r="I23" i="40"/>
  <c r="I21" i="40"/>
  <c r="I20" i="40"/>
  <c r="I19" i="40"/>
  <c r="G21" i="40"/>
  <c r="E21" i="40"/>
  <c r="G19" i="40"/>
  <c r="E19" i="40"/>
  <c r="B19" i="40"/>
  <c r="B14" i="40"/>
  <c r="Y15" i="40"/>
  <c r="V18" i="40"/>
  <c r="V16" i="40"/>
  <c r="V15" i="40"/>
  <c r="V14" i="40"/>
  <c r="T18" i="40"/>
  <c r="T16" i="40"/>
  <c r="T15" i="40"/>
  <c r="T14" i="40"/>
  <c r="I18" i="40"/>
  <c r="I16" i="40"/>
  <c r="I15" i="40"/>
  <c r="I14" i="40"/>
  <c r="G16" i="40"/>
  <c r="E16" i="40"/>
  <c r="E14" i="40"/>
  <c r="E7" i="40"/>
  <c r="E49" i="40" s="1"/>
  <c r="AO4" i="62"/>
  <c r="AB57" i="63" l="1"/>
  <c r="F405" i="62"/>
  <c r="N2" i="62" s="1"/>
  <c r="AZ403" i="62"/>
  <c r="AZ19" i="62"/>
  <c r="AZ21" i="62"/>
  <c r="AZ23" i="62"/>
  <c r="AZ25" i="62"/>
  <c r="AZ27" i="62"/>
  <c r="AZ29" i="62"/>
  <c r="AZ31" i="62"/>
  <c r="AZ33" i="62"/>
  <c r="AZ35" i="62"/>
  <c r="AZ37" i="62"/>
  <c r="AZ39" i="62"/>
  <c r="AZ41" i="62"/>
  <c r="AZ43" i="62"/>
  <c r="AZ45" i="62"/>
  <c r="AZ47" i="62"/>
  <c r="AZ49" i="62"/>
  <c r="AZ51" i="62"/>
  <c r="AZ53" i="62"/>
  <c r="AZ55" i="62"/>
  <c r="AZ57" i="62"/>
  <c r="AZ59" i="62"/>
  <c r="AZ61" i="62"/>
  <c r="AZ63" i="62"/>
  <c r="AZ65" i="62"/>
  <c r="AZ67" i="62"/>
  <c r="AZ69" i="62"/>
  <c r="AZ71" i="62"/>
  <c r="AZ73" i="62"/>
  <c r="AZ75" i="62"/>
  <c r="AZ77" i="62"/>
  <c r="AZ79" i="62"/>
  <c r="AZ81" i="62"/>
  <c r="AZ83" i="62"/>
  <c r="AZ85" i="62"/>
  <c r="AZ87" i="62"/>
  <c r="AZ89" i="62"/>
  <c r="AZ91" i="62"/>
  <c r="AZ93" i="62"/>
  <c r="AZ95" i="62"/>
  <c r="AZ97" i="62"/>
  <c r="AZ99" i="62"/>
  <c r="AZ101" i="62"/>
  <c r="AZ103" i="62"/>
  <c r="AZ105" i="62"/>
  <c r="AZ107" i="62"/>
  <c r="AZ109" i="62"/>
  <c r="AZ111" i="62"/>
  <c r="AZ113" i="62"/>
  <c r="AZ115" i="62"/>
  <c r="AZ117" i="62"/>
  <c r="AZ119" i="62"/>
  <c r="AZ121" i="62"/>
  <c r="AZ123" i="62"/>
  <c r="AZ125" i="62"/>
  <c r="AZ127" i="62"/>
  <c r="AZ129" i="62"/>
  <c r="AZ131" i="62"/>
  <c r="AZ133" i="62"/>
  <c r="AZ135" i="62"/>
  <c r="AZ137" i="62"/>
  <c r="AZ139" i="62"/>
  <c r="AZ141" i="62"/>
  <c r="AZ143" i="62"/>
  <c r="AZ145" i="62"/>
  <c r="AZ147" i="62"/>
  <c r="AZ149" i="62"/>
  <c r="AZ151" i="62"/>
  <c r="AZ153" i="62"/>
  <c r="AZ155" i="62"/>
  <c r="AZ157" i="62"/>
  <c r="AZ159" i="62"/>
  <c r="AZ161" i="62"/>
  <c r="AZ163" i="62"/>
  <c r="AZ165" i="62"/>
  <c r="AZ167" i="62"/>
  <c r="AZ169" i="62"/>
  <c r="AZ171" i="62"/>
  <c r="AZ173" i="62"/>
  <c r="AZ175" i="62"/>
  <c r="AZ177" i="62"/>
  <c r="AZ179" i="62"/>
  <c r="AZ181" i="62"/>
  <c r="AZ183" i="62"/>
  <c r="AZ185" i="62"/>
  <c r="AZ187" i="62"/>
  <c r="AZ189" i="62"/>
  <c r="AZ191" i="62"/>
  <c r="AZ193" i="62"/>
  <c r="AZ195" i="62"/>
  <c r="AZ197" i="62"/>
  <c r="AZ199" i="62"/>
  <c r="AZ201" i="62"/>
  <c r="AZ203" i="62"/>
  <c r="AZ205" i="62"/>
  <c r="AZ207" i="62"/>
  <c r="AZ209" i="62"/>
  <c r="AZ211" i="62"/>
  <c r="AZ213" i="62"/>
  <c r="AZ215" i="62"/>
  <c r="AZ217" i="62"/>
  <c r="AZ219" i="62"/>
  <c r="AZ221" i="62"/>
  <c r="AZ223" i="62"/>
  <c r="AZ225" i="62"/>
  <c r="AZ227" i="62"/>
  <c r="AZ229" i="62"/>
  <c r="AZ231" i="62"/>
  <c r="AZ233" i="62"/>
  <c r="AZ235" i="62"/>
  <c r="AZ237" i="62"/>
  <c r="AZ239" i="62"/>
  <c r="AZ241" i="62"/>
  <c r="AZ243" i="62"/>
  <c r="AZ245" i="62"/>
  <c r="AZ247" i="62"/>
  <c r="AZ249" i="62"/>
  <c r="AZ251" i="62"/>
  <c r="AZ253" i="62"/>
  <c r="AZ255" i="62"/>
  <c r="AZ257" i="62"/>
  <c r="AZ259" i="62"/>
  <c r="AZ261" i="62"/>
  <c r="AZ263" i="62"/>
  <c r="AZ265" i="62"/>
  <c r="AZ267" i="62"/>
  <c r="AZ269" i="62"/>
  <c r="AZ271" i="62"/>
  <c r="AZ273" i="62"/>
  <c r="AZ275" i="62"/>
  <c r="AZ277" i="62"/>
  <c r="AZ279" i="62"/>
  <c r="AZ281" i="62"/>
  <c r="AZ283" i="62"/>
  <c r="AZ285" i="62"/>
  <c r="AZ287" i="62"/>
  <c r="AZ289" i="62"/>
  <c r="AZ291" i="62"/>
  <c r="AZ293" i="62"/>
  <c r="AZ295" i="62"/>
  <c r="AZ297" i="62"/>
  <c r="AZ299" i="62"/>
  <c r="AZ301" i="62"/>
  <c r="AZ303" i="62"/>
  <c r="AZ305" i="62"/>
  <c r="AZ307" i="62"/>
  <c r="AZ309" i="62"/>
  <c r="AZ311" i="62"/>
  <c r="AZ313" i="62"/>
  <c r="AZ315" i="62"/>
  <c r="AZ317" i="62"/>
  <c r="AZ319" i="62"/>
  <c r="AZ321" i="62"/>
  <c r="AZ323" i="62"/>
  <c r="AZ325" i="62"/>
  <c r="AZ327" i="62"/>
  <c r="AZ329" i="62"/>
  <c r="AZ331" i="62"/>
  <c r="AZ333" i="62"/>
  <c r="AZ335" i="62"/>
  <c r="AZ337" i="62"/>
  <c r="AZ339" i="62"/>
  <c r="AZ341" i="62"/>
  <c r="AZ343" i="62"/>
  <c r="AZ345" i="62"/>
  <c r="AZ347" i="62"/>
  <c r="AZ349" i="62"/>
  <c r="AZ351" i="62"/>
  <c r="AZ353" i="62"/>
  <c r="AZ355" i="62"/>
  <c r="AZ357" i="62"/>
  <c r="AZ359" i="62"/>
  <c r="AZ361" i="62"/>
  <c r="AZ363" i="62"/>
  <c r="AZ365" i="62"/>
  <c r="AZ367" i="62"/>
  <c r="AZ369" i="62"/>
  <c r="AZ371" i="62"/>
  <c r="AZ373" i="62"/>
  <c r="AZ375" i="62"/>
  <c r="AZ377" i="62"/>
  <c r="AZ379" i="62"/>
  <c r="AZ381" i="62"/>
  <c r="AZ383" i="62"/>
  <c r="AZ385" i="62"/>
  <c r="AZ387" i="62"/>
  <c r="AZ389" i="62"/>
  <c r="AZ391" i="62"/>
  <c r="AZ393" i="62"/>
  <c r="AZ395" i="62"/>
  <c r="AZ397" i="62"/>
  <c r="AZ399" i="62"/>
  <c r="AZ401" i="62"/>
  <c r="AZ17" i="62"/>
  <c r="AZ15" i="62"/>
  <c r="BB403" i="62"/>
  <c r="BB17" i="62"/>
  <c r="BB19" i="62"/>
  <c r="BB21" i="62"/>
  <c r="BB23" i="62"/>
  <c r="BB25" i="62"/>
  <c r="BB27" i="62"/>
  <c r="BB29" i="62"/>
  <c r="BB31" i="62"/>
  <c r="BB33" i="62"/>
  <c r="BB35" i="62"/>
  <c r="BB37" i="62"/>
  <c r="BB39" i="62"/>
  <c r="BB41" i="62"/>
  <c r="BB43" i="62"/>
  <c r="BB45" i="62"/>
  <c r="BB47" i="62"/>
  <c r="BB49" i="62"/>
  <c r="BB51" i="62"/>
  <c r="BB53" i="62"/>
  <c r="BB55" i="62"/>
  <c r="BB57" i="62"/>
  <c r="BB59" i="62"/>
  <c r="BB61" i="62"/>
  <c r="BB63" i="62"/>
  <c r="BB65" i="62"/>
  <c r="BB67" i="62"/>
  <c r="BB69" i="62"/>
  <c r="BB71" i="62"/>
  <c r="BB73" i="62"/>
  <c r="BB75" i="62"/>
  <c r="BB77" i="62"/>
  <c r="BB79" i="62"/>
  <c r="BB81" i="62"/>
  <c r="BB83" i="62"/>
  <c r="BB85" i="62"/>
  <c r="BB87" i="62"/>
  <c r="BB89" i="62"/>
  <c r="BB91" i="62"/>
  <c r="BB93" i="62"/>
  <c r="BB95" i="62"/>
  <c r="BB97" i="62"/>
  <c r="BB99" i="62"/>
  <c r="BB101" i="62"/>
  <c r="BB103" i="62"/>
  <c r="BB105" i="62"/>
  <c r="BB107" i="62"/>
  <c r="BB109" i="62"/>
  <c r="BB111" i="62"/>
  <c r="BB113" i="62"/>
  <c r="BB115" i="62"/>
  <c r="BB117" i="62"/>
  <c r="BB119" i="62"/>
  <c r="BB121" i="62"/>
  <c r="BB123" i="62"/>
  <c r="BB125" i="62"/>
  <c r="BB127" i="62"/>
  <c r="BB129" i="62"/>
  <c r="BB131" i="62"/>
  <c r="BB133" i="62"/>
  <c r="BB135" i="62"/>
  <c r="BB137" i="62"/>
  <c r="BB139" i="62"/>
  <c r="BB141" i="62"/>
  <c r="BB143" i="62"/>
  <c r="BB145" i="62"/>
  <c r="BB147" i="62"/>
  <c r="BB149" i="62"/>
  <c r="BB151" i="62"/>
  <c r="BB153" i="62"/>
  <c r="BB155" i="62"/>
  <c r="BB157" i="62"/>
  <c r="BB159" i="62"/>
  <c r="BB161" i="62"/>
  <c r="BB163" i="62"/>
  <c r="BB165" i="62"/>
  <c r="BB167" i="62"/>
  <c r="BB169" i="62"/>
  <c r="BB171" i="62"/>
  <c r="BB173" i="62"/>
  <c r="BB175" i="62"/>
  <c r="BB177" i="62"/>
  <c r="BB179" i="62"/>
  <c r="BB181" i="62"/>
  <c r="BB183" i="62"/>
  <c r="BB185" i="62"/>
  <c r="BB187" i="62"/>
  <c r="BB189" i="62"/>
  <c r="BB191" i="62"/>
  <c r="BB193" i="62"/>
  <c r="BB195" i="62"/>
  <c r="BB197" i="62"/>
  <c r="BB199" i="62"/>
  <c r="BB201" i="62"/>
  <c r="BB203" i="62"/>
  <c r="BB205" i="62"/>
  <c r="BB207" i="62"/>
  <c r="BB209" i="62"/>
  <c r="BB211" i="62"/>
  <c r="BB213" i="62"/>
  <c r="BB215" i="62"/>
  <c r="BB217" i="62"/>
  <c r="BB219" i="62"/>
  <c r="BB221" i="62"/>
  <c r="BB223" i="62"/>
  <c r="BB225" i="62"/>
  <c r="BB227" i="62"/>
  <c r="BB229" i="62"/>
  <c r="BB231" i="62"/>
  <c r="BB233" i="62"/>
  <c r="BB235" i="62"/>
  <c r="BB237" i="62"/>
  <c r="BB239" i="62"/>
  <c r="BB241" i="62"/>
  <c r="BB243" i="62"/>
  <c r="BB245" i="62"/>
  <c r="BB247" i="62"/>
  <c r="BB249" i="62"/>
  <c r="BB251" i="62"/>
  <c r="BB253" i="62"/>
  <c r="BB255" i="62"/>
  <c r="BB257" i="62"/>
  <c r="BB259" i="62"/>
  <c r="BB261" i="62"/>
  <c r="BB263" i="62"/>
  <c r="BB265" i="62"/>
  <c r="BB267" i="62"/>
  <c r="BB269" i="62"/>
  <c r="BB271" i="62"/>
  <c r="BB273" i="62"/>
  <c r="BB275" i="62"/>
  <c r="BB277" i="62"/>
  <c r="BB279" i="62"/>
  <c r="BB281" i="62"/>
  <c r="BB283" i="62"/>
  <c r="BB285" i="62"/>
  <c r="BB287" i="62"/>
  <c r="BB289" i="62"/>
  <c r="BB291" i="62"/>
  <c r="BB293" i="62"/>
  <c r="BB295" i="62"/>
  <c r="BB297" i="62"/>
  <c r="BB299" i="62"/>
  <c r="BB301" i="62"/>
  <c r="BB303" i="62"/>
  <c r="BB305" i="62"/>
  <c r="BB307" i="62"/>
  <c r="BB309" i="62"/>
  <c r="BB311" i="62"/>
  <c r="BB313" i="62"/>
  <c r="BB315" i="62"/>
  <c r="BB317" i="62"/>
  <c r="BB319" i="62"/>
  <c r="BB321" i="62"/>
  <c r="BB323" i="62"/>
  <c r="BB325" i="62"/>
  <c r="BB327" i="62"/>
  <c r="BB329" i="62"/>
  <c r="BB331" i="62"/>
  <c r="BB333" i="62"/>
  <c r="BB335" i="62"/>
  <c r="BB337" i="62"/>
  <c r="BB339" i="62"/>
  <c r="BB341" i="62"/>
  <c r="BB343" i="62"/>
  <c r="BB345" i="62"/>
  <c r="BB347" i="62"/>
  <c r="BB349" i="62"/>
  <c r="BB351" i="62"/>
  <c r="BB353" i="62"/>
  <c r="BB355" i="62"/>
  <c r="BB357" i="62"/>
  <c r="BB359" i="62"/>
  <c r="BB361" i="62"/>
  <c r="BB363" i="62"/>
  <c r="BB365" i="62"/>
  <c r="BB367" i="62"/>
  <c r="BB369" i="62"/>
  <c r="BB371" i="62"/>
  <c r="BB373" i="62"/>
  <c r="BB375" i="62"/>
  <c r="BB377" i="62"/>
  <c r="BB379" i="62"/>
  <c r="BB381" i="62"/>
  <c r="BB383" i="62"/>
  <c r="BB385" i="62"/>
  <c r="BB387" i="62"/>
  <c r="BB389" i="62"/>
  <c r="BB391" i="62"/>
  <c r="BB393" i="62"/>
  <c r="BB395" i="62"/>
  <c r="BB397" i="62"/>
  <c r="BB399" i="62"/>
  <c r="BB401" i="62"/>
  <c r="BB15" i="62"/>
  <c r="B22" i="67"/>
  <c r="AT17" i="62" l="1"/>
  <c r="L10" i="62"/>
  <c r="L406" i="62" s="1"/>
  <c r="AK75" i="67" l="1"/>
  <c r="AT403" i="62"/>
  <c r="AT19" i="62"/>
  <c r="AT21" i="62"/>
  <c r="AT23" i="62"/>
  <c r="AT25" i="62"/>
  <c r="AT27" i="62"/>
  <c r="AT29" i="62"/>
  <c r="AT31" i="62"/>
  <c r="AT33" i="62"/>
  <c r="AT35" i="62"/>
  <c r="AT37" i="62"/>
  <c r="AT39" i="62"/>
  <c r="AT41" i="62"/>
  <c r="AT43" i="62"/>
  <c r="AT45" i="62"/>
  <c r="AT47" i="62"/>
  <c r="AT49" i="62"/>
  <c r="AT51" i="62"/>
  <c r="AT53" i="62"/>
  <c r="AT55" i="62"/>
  <c r="AT57" i="62"/>
  <c r="AT59" i="62"/>
  <c r="AT61" i="62"/>
  <c r="AT63" i="62"/>
  <c r="AT65" i="62"/>
  <c r="AT67" i="62"/>
  <c r="AT69" i="62"/>
  <c r="AT71" i="62"/>
  <c r="AT73" i="62"/>
  <c r="AT75" i="62"/>
  <c r="AT77" i="62"/>
  <c r="AT79" i="62"/>
  <c r="AT81" i="62"/>
  <c r="AT83" i="62"/>
  <c r="AT85" i="62"/>
  <c r="AT87" i="62"/>
  <c r="AT89" i="62"/>
  <c r="AT91" i="62"/>
  <c r="AT93" i="62"/>
  <c r="AT95" i="62"/>
  <c r="AT97" i="62"/>
  <c r="AT99" i="62"/>
  <c r="AT101" i="62"/>
  <c r="AT103" i="62"/>
  <c r="AT105" i="62"/>
  <c r="AT107" i="62"/>
  <c r="AT109" i="62"/>
  <c r="AT111" i="62"/>
  <c r="AT113" i="62"/>
  <c r="AT115" i="62"/>
  <c r="AT117" i="62"/>
  <c r="AT119" i="62"/>
  <c r="AT121" i="62"/>
  <c r="AT123" i="62"/>
  <c r="AT125" i="62"/>
  <c r="AT127" i="62"/>
  <c r="AT129" i="62"/>
  <c r="AT131" i="62"/>
  <c r="AT133" i="62"/>
  <c r="AT135" i="62"/>
  <c r="AT137" i="62"/>
  <c r="AT139" i="62"/>
  <c r="AT141" i="62"/>
  <c r="AT143" i="62"/>
  <c r="AT145" i="62"/>
  <c r="AT147" i="62"/>
  <c r="AT149" i="62"/>
  <c r="AT151" i="62"/>
  <c r="AT153" i="62"/>
  <c r="AT155" i="62"/>
  <c r="AT157" i="62"/>
  <c r="AT159" i="62"/>
  <c r="AT161" i="62"/>
  <c r="AT163" i="62"/>
  <c r="AT165" i="62"/>
  <c r="AT167" i="62"/>
  <c r="AT169" i="62"/>
  <c r="AT171" i="62"/>
  <c r="AT173" i="62"/>
  <c r="AT175" i="62"/>
  <c r="AT177" i="62"/>
  <c r="AT179" i="62"/>
  <c r="AT181" i="62"/>
  <c r="AT183" i="62"/>
  <c r="AT185" i="62"/>
  <c r="AT187" i="62"/>
  <c r="AT189" i="62"/>
  <c r="AT191" i="62"/>
  <c r="AT193" i="62"/>
  <c r="AT195" i="62"/>
  <c r="AT197" i="62"/>
  <c r="AT199" i="62"/>
  <c r="AT201" i="62"/>
  <c r="AT203" i="62"/>
  <c r="AT205" i="62"/>
  <c r="AT207" i="62"/>
  <c r="AT209" i="62"/>
  <c r="AT211" i="62"/>
  <c r="AT213" i="62"/>
  <c r="AT215" i="62"/>
  <c r="AT217" i="62"/>
  <c r="AT219" i="62"/>
  <c r="AT221" i="62"/>
  <c r="AT223" i="62"/>
  <c r="AT225" i="62"/>
  <c r="AT227" i="62"/>
  <c r="AT229" i="62"/>
  <c r="AT231" i="62"/>
  <c r="AT233" i="62"/>
  <c r="AT235" i="62"/>
  <c r="AT237" i="62"/>
  <c r="AT239" i="62"/>
  <c r="AT241" i="62"/>
  <c r="AT243" i="62"/>
  <c r="AT245" i="62"/>
  <c r="AT247" i="62"/>
  <c r="AT249" i="62"/>
  <c r="AT251" i="62"/>
  <c r="AT253" i="62"/>
  <c r="AT255" i="62"/>
  <c r="AT257" i="62"/>
  <c r="AT259" i="62"/>
  <c r="AT261" i="62"/>
  <c r="AT263" i="62"/>
  <c r="AT265" i="62"/>
  <c r="AT267" i="62"/>
  <c r="AT269" i="62"/>
  <c r="AT271" i="62"/>
  <c r="AT273" i="62"/>
  <c r="AT275" i="62"/>
  <c r="AT277" i="62"/>
  <c r="AT279" i="62"/>
  <c r="AT281" i="62"/>
  <c r="AT283" i="62"/>
  <c r="AT285" i="62"/>
  <c r="AT287" i="62"/>
  <c r="AT289" i="62"/>
  <c r="AT291" i="62"/>
  <c r="AT293" i="62"/>
  <c r="AT295" i="62"/>
  <c r="AT297" i="62"/>
  <c r="AT299" i="62"/>
  <c r="AT301" i="62"/>
  <c r="AT303" i="62"/>
  <c r="AT305" i="62"/>
  <c r="AT307" i="62"/>
  <c r="AT309" i="62"/>
  <c r="AT311" i="62"/>
  <c r="AT313" i="62"/>
  <c r="AT315" i="62"/>
  <c r="AT317" i="62"/>
  <c r="AT319" i="62"/>
  <c r="AT321" i="62"/>
  <c r="AT323" i="62"/>
  <c r="AT325" i="62"/>
  <c r="AT327" i="62"/>
  <c r="AT329" i="62"/>
  <c r="AT331" i="62"/>
  <c r="AT333" i="62"/>
  <c r="AT335" i="62"/>
  <c r="AT337" i="62"/>
  <c r="AT339" i="62"/>
  <c r="AT341" i="62"/>
  <c r="AT343" i="62"/>
  <c r="AT345" i="62"/>
  <c r="AT347" i="62"/>
  <c r="AT349" i="62"/>
  <c r="AT351" i="62"/>
  <c r="AT353" i="62"/>
  <c r="AT355" i="62"/>
  <c r="AT357" i="62"/>
  <c r="AT359" i="62"/>
  <c r="AT361" i="62"/>
  <c r="AT363" i="62"/>
  <c r="AT365" i="62"/>
  <c r="AT367" i="62"/>
  <c r="AT369" i="62"/>
  <c r="AT371" i="62"/>
  <c r="AT373" i="62"/>
  <c r="AT375" i="62"/>
  <c r="AT377" i="62"/>
  <c r="AT379" i="62"/>
  <c r="AT381" i="62"/>
  <c r="AT383" i="62"/>
  <c r="AT385" i="62"/>
  <c r="AT387" i="62"/>
  <c r="AT389" i="62"/>
  <c r="AT391" i="62"/>
  <c r="AT393" i="62"/>
  <c r="AT395" i="62"/>
  <c r="AT397" i="62"/>
  <c r="AT399" i="62"/>
  <c r="AT401" i="62"/>
  <c r="AT15" i="62"/>
  <c r="AV19" i="62"/>
  <c r="AV21" i="62"/>
  <c r="AV23" i="62"/>
  <c r="AV25" i="62"/>
  <c r="AV27" i="62"/>
  <c r="AV29" i="62"/>
  <c r="AV31" i="62"/>
  <c r="AV33" i="62"/>
  <c r="AV35" i="62"/>
  <c r="AV37" i="62"/>
  <c r="AV39" i="62"/>
  <c r="AV41" i="62"/>
  <c r="AV43" i="62"/>
  <c r="AV45" i="62"/>
  <c r="AV47" i="62"/>
  <c r="AV49" i="62"/>
  <c r="AV51" i="62"/>
  <c r="AV53" i="62"/>
  <c r="AV55" i="62"/>
  <c r="AV57" i="62"/>
  <c r="AV59" i="62"/>
  <c r="AV61" i="62"/>
  <c r="AV63" i="62"/>
  <c r="AV65" i="62"/>
  <c r="AV67" i="62"/>
  <c r="AV69" i="62"/>
  <c r="AV71" i="62"/>
  <c r="AV73" i="62"/>
  <c r="AV75" i="62"/>
  <c r="AV77" i="62"/>
  <c r="AV79" i="62"/>
  <c r="AV81" i="62"/>
  <c r="AV83" i="62"/>
  <c r="AV85" i="62"/>
  <c r="AV87" i="62"/>
  <c r="AV89" i="62"/>
  <c r="AV91" i="62"/>
  <c r="AV93" i="62"/>
  <c r="AV95" i="62"/>
  <c r="AV97" i="62"/>
  <c r="AV99" i="62"/>
  <c r="AV101" i="62"/>
  <c r="AV103" i="62"/>
  <c r="AV105" i="62"/>
  <c r="AV107" i="62"/>
  <c r="AV109" i="62"/>
  <c r="AV111" i="62"/>
  <c r="AV113" i="62"/>
  <c r="AV115" i="62"/>
  <c r="AV117" i="62"/>
  <c r="AV119" i="62"/>
  <c r="AV121" i="62"/>
  <c r="AV123" i="62"/>
  <c r="AV125" i="62"/>
  <c r="AV127" i="62"/>
  <c r="AV129" i="62"/>
  <c r="AV131" i="62"/>
  <c r="AV133" i="62"/>
  <c r="AV135" i="62"/>
  <c r="AV137" i="62"/>
  <c r="AV139" i="62"/>
  <c r="AV141" i="62"/>
  <c r="AV143" i="62"/>
  <c r="AV145" i="62"/>
  <c r="AV147" i="62"/>
  <c r="AV149" i="62"/>
  <c r="AV151" i="62"/>
  <c r="AV153" i="62"/>
  <c r="AV155" i="62"/>
  <c r="AV157" i="62"/>
  <c r="AV159" i="62"/>
  <c r="AV161" i="62"/>
  <c r="AV163" i="62"/>
  <c r="AV165" i="62"/>
  <c r="AV167" i="62"/>
  <c r="AV169" i="62"/>
  <c r="AV171" i="62"/>
  <c r="AV173" i="62"/>
  <c r="AV175" i="62"/>
  <c r="AV177" i="62"/>
  <c r="AV179" i="62"/>
  <c r="AV181" i="62"/>
  <c r="AV183" i="62"/>
  <c r="AV185" i="62"/>
  <c r="AV187" i="62"/>
  <c r="AV189" i="62"/>
  <c r="AV191" i="62"/>
  <c r="AV193" i="62"/>
  <c r="AV195" i="62"/>
  <c r="AV197" i="62"/>
  <c r="AV199" i="62"/>
  <c r="AV201" i="62"/>
  <c r="AV203" i="62"/>
  <c r="AV205" i="62"/>
  <c r="AV207" i="62"/>
  <c r="AV209" i="62"/>
  <c r="AV211" i="62"/>
  <c r="AV213" i="62"/>
  <c r="AV215" i="62"/>
  <c r="AV217" i="62"/>
  <c r="AV219" i="62"/>
  <c r="AV221" i="62"/>
  <c r="AV223" i="62"/>
  <c r="AV225" i="62"/>
  <c r="AV227" i="62"/>
  <c r="AV229" i="62"/>
  <c r="AV231" i="62"/>
  <c r="AV233" i="62"/>
  <c r="AV235" i="62"/>
  <c r="AV237" i="62"/>
  <c r="AV239" i="62"/>
  <c r="AV241" i="62"/>
  <c r="AV243" i="62"/>
  <c r="AV245" i="62"/>
  <c r="AV247" i="62"/>
  <c r="AV249" i="62"/>
  <c r="AV251" i="62"/>
  <c r="AV253" i="62"/>
  <c r="AV255" i="62"/>
  <c r="AV257" i="62"/>
  <c r="AV259" i="62"/>
  <c r="AV261" i="62"/>
  <c r="AV263" i="62"/>
  <c r="AV265" i="62"/>
  <c r="AV267" i="62"/>
  <c r="AV269" i="62"/>
  <c r="AV271" i="62"/>
  <c r="AV273" i="62"/>
  <c r="AV275" i="62"/>
  <c r="AV277" i="62"/>
  <c r="AV279" i="62"/>
  <c r="AV281" i="62"/>
  <c r="AV283" i="62"/>
  <c r="AV285" i="62"/>
  <c r="AV287" i="62"/>
  <c r="AV289" i="62"/>
  <c r="AV291" i="62"/>
  <c r="AV293" i="62"/>
  <c r="AV295" i="62"/>
  <c r="AV297" i="62"/>
  <c r="AV299" i="62"/>
  <c r="AV301" i="62"/>
  <c r="AV303" i="62"/>
  <c r="AV305" i="62"/>
  <c r="AV307" i="62"/>
  <c r="AV309" i="62"/>
  <c r="AV311" i="62"/>
  <c r="AV313" i="62"/>
  <c r="AV315" i="62"/>
  <c r="AV317" i="62"/>
  <c r="AV319" i="62"/>
  <c r="AV321" i="62"/>
  <c r="AV323" i="62"/>
  <c r="AV325" i="62"/>
  <c r="AV327" i="62"/>
  <c r="AV329" i="62"/>
  <c r="AV331" i="62"/>
  <c r="AV333" i="62"/>
  <c r="AV335" i="62"/>
  <c r="AV337" i="62"/>
  <c r="AV339" i="62"/>
  <c r="AV341" i="62"/>
  <c r="AV343" i="62"/>
  <c r="AV345" i="62"/>
  <c r="AV347" i="62"/>
  <c r="AV349" i="62"/>
  <c r="AV351" i="62"/>
  <c r="AV353" i="62"/>
  <c r="AV355" i="62"/>
  <c r="AV357" i="62"/>
  <c r="AV359" i="62"/>
  <c r="AV361" i="62"/>
  <c r="AV363" i="62"/>
  <c r="AV365" i="62"/>
  <c r="AV367" i="62"/>
  <c r="AV369" i="62"/>
  <c r="AV371" i="62"/>
  <c r="AV373" i="62"/>
  <c r="AV375" i="62"/>
  <c r="AV377" i="62"/>
  <c r="AV379" i="62"/>
  <c r="AV381" i="62"/>
  <c r="AV383" i="62"/>
  <c r="AV385" i="62"/>
  <c r="AV387" i="62"/>
  <c r="AV389" i="62"/>
  <c r="AV391" i="62"/>
  <c r="AV393" i="62"/>
  <c r="AV395" i="62"/>
  <c r="AV397" i="62"/>
  <c r="AV399" i="62"/>
  <c r="AV401" i="62"/>
  <c r="AV403" i="62"/>
  <c r="AV17" i="62"/>
  <c r="AV15" i="62"/>
  <c r="AW19" i="62"/>
  <c r="AW21" i="62"/>
  <c r="AW23" i="62"/>
  <c r="AW25" i="62"/>
  <c r="AW27" i="62"/>
  <c r="AW29" i="62"/>
  <c r="AW31" i="62"/>
  <c r="AW33" i="62"/>
  <c r="AW35" i="62"/>
  <c r="AW37" i="62"/>
  <c r="AW39" i="62"/>
  <c r="AW41" i="62"/>
  <c r="AW43" i="62"/>
  <c r="AW45" i="62"/>
  <c r="AW47" i="62"/>
  <c r="AW49" i="62"/>
  <c r="AW51" i="62"/>
  <c r="AW53" i="62"/>
  <c r="AW55" i="62"/>
  <c r="AW57" i="62"/>
  <c r="AW59" i="62"/>
  <c r="AW61" i="62"/>
  <c r="AW63" i="62"/>
  <c r="AW65" i="62"/>
  <c r="AW67" i="62"/>
  <c r="AW69" i="62"/>
  <c r="AW71" i="62"/>
  <c r="AW73" i="62"/>
  <c r="AW75" i="62"/>
  <c r="AW77" i="62"/>
  <c r="AW79" i="62"/>
  <c r="AW81" i="62"/>
  <c r="AW83" i="62"/>
  <c r="AW85" i="62"/>
  <c r="AW87" i="62"/>
  <c r="AW89" i="62"/>
  <c r="AW91" i="62"/>
  <c r="AW93" i="62"/>
  <c r="AW95" i="62"/>
  <c r="AW97" i="62"/>
  <c r="AW99" i="62"/>
  <c r="AW101" i="62"/>
  <c r="AW103" i="62"/>
  <c r="AW105" i="62"/>
  <c r="AW107" i="62"/>
  <c r="AW109" i="62"/>
  <c r="AW111" i="62"/>
  <c r="AW113" i="62"/>
  <c r="AW115" i="62"/>
  <c r="AW117" i="62"/>
  <c r="AW119" i="62"/>
  <c r="AW121" i="62"/>
  <c r="AW123" i="62"/>
  <c r="AW125" i="62"/>
  <c r="AW127" i="62"/>
  <c r="AW129" i="62"/>
  <c r="AW131" i="62"/>
  <c r="AW133" i="62"/>
  <c r="AW135" i="62"/>
  <c r="AW137" i="62"/>
  <c r="AW139" i="62"/>
  <c r="AW141" i="62"/>
  <c r="AW143" i="62"/>
  <c r="AW145" i="62"/>
  <c r="AW147" i="62"/>
  <c r="AW149" i="62"/>
  <c r="AW151" i="62"/>
  <c r="AW153" i="62"/>
  <c r="AW155" i="62"/>
  <c r="AW157" i="62"/>
  <c r="AW159" i="62"/>
  <c r="AW161" i="62"/>
  <c r="AW163" i="62"/>
  <c r="AW165" i="62"/>
  <c r="AW167" i="62"/>
  <c r="AW169" i="62"/>
  <c r="AW171" i="62"/>
  <c r="AW173" i="62"/>
  <c r="AW175" i="62"/>
  <c r="AW177" i="62"/>
  <c r="AW179" i="62"/>
  <c r="AW181" i="62"/>
  <c r="AW183" i="62"/>
  <c r="AW185" i="62"/>
  <c r="AW187" i="62"/>
  <c r="AW189" i="62"/>
  <c r="AW191" i="62"/>
  <c r="AW193" i="62"/>
  <c r="AW195" i="62"/>
  <c r="AW197" i="62"/>
  <c r="AW199" i="62"/>
  <c r="AW201" i="62"/>
  <c r="AW203" i="62"/>
  <c r="AW205" i="62"/>
  <c r="AW207" i="62"/>
  <c r="AW209" i="62"/>
  <c r="AW211" i="62"/>
  <c r="AW213" i="62"/>
  <c r="AW215" i="62"/>
  <c r="AW217" i="62"/>
  <c r="AW219" i="62"/>
  <c r="AW221" i="62"/>
  <c r="AW223" i="62"/>
  <c r="AW225" i="62"/>
  <c r="AW227" i="62"/>
  <c r="AW229" i="62"/>
  <c r="AW231" i="62"/>
  <c r="AW233" i="62"/>
  <c r="AW235" i="62"/>
  <c r="AW237" i="62"/>
  <c r="AW239" i="62"/>
  <c r="AW241" i="62"/>
  <c r="AW243" i="62"/>
  <c r="AW245" i="62"/>
  <c r="AW247" i="62"/>
  <c r="AW249" i="62"/>
  <c r="AW251" i="62"/>
  <c r="AW253" i="62"/>
  <c r="AW255" i="62"/>
  <c r="AW257" i="62"/>
  <c r="AW259" i="62"/>
  <c r="AW261" i="62"/>
  <c r="AW263" i="62"/>
  <c r="AW265" i="62"/>
  <c r="AW267" i="62"/>
  <c r="AW269" i="62"/>
  <c r="AW271" i="62"/>
  <c r="AW273" i="62"/>
  <c r="AW275" i="62"/>
  <c r="AW277" i="62"/>
  <c r="AW279" i="62"/>
  <c r="AW281" i="62"/>
  <c r="AW283" i="62"/>
  <c r="AW285" i="62"/>
  <c r="AW287" i="62"/>
  <c r="AW289" i="62"/>
  <c r="AW291" i="62"/>
  <c r="AW293" i="62"/>
  <c r="AW295" i="62"/>
  <c r="AW297" i="62"/>
  <c r="AW299" i="62"/>
  <c r="AW301" i="62"/>
  <c r="AW303" i="62"/>
  <c r="AW305" i="62"/>
  <c r="AW307" i="62"/>
  <c r="AW309" i="62"/>
  <c r="AW311" i="62"/>
  <c r="AW313" i="62"/>
  <c r="AW315" i="62"/>
  <c r="AW317" i="62"/>
  <c r="AW319" i="62"/>
  <c r="AW321" i="62"/>
  <c r="AW323" i="62"/>
  <c r="AW325" i="62"/>
  <c r="AW327" i="62"/>
  <c r="AW329" i="62"/>
  <c r="AW331" i="62"/>
  <c r="AW333" i="62"/>
  <c r="AW335" i="62"/>
  <c r="AW337" i="62"/>
  <c r="AW339" i="62"/>
  <c r="AW341" i="62"/>
  <c r="AW343" i="62"/>
  <c r="AW345" i="62"/>
  <c r="AW347" i="62"/>
  <c r="AW349" i="62"/>
  <c r="AW351" i="62"/>
  <c r="AW353" i="62"/>
  <c r="AW355" i="62"/>
  <c r="AW357" i="62"/>
  <c r="AW359" i="62"/>
  <c r="AW361" i="62"/>
  <c r="AW363" i="62"/>
  <c r="AW365" i="62"/>
  <c r="AW367" i="62"/>
  <c r="AW369" i="62"/>
  <c r="AW371" i="62"/>
  <c r="AW373" i="62"/>
  <c r="AW375" i="62"/>
  <c r="AW377" i="62"/>
  <c r="AW379" i="62"/>
  <c r="AW381" i="62"/>
  <c r="AW383" i="62"/>
  <c r="AW385" i="62"/>
  <c r="AW387" i="62"/>
  <c r="AW389" i="62"/>
  <c r="AW391" i="62"/>
  <c r="AW393" i="62"/>
  <c r="AW395" i="62"/>
  <c r="AW397" i="62"/>
  <c r="AW399" i="62"/>
  <c r="AW401" i="62"/>
  <c r="AW403" i="62"/>
  <c r="AW17" i="62"/>
  <c r="AW15" i="62"/>
  <c r="AY19" i="62"/>
  <c r="AY21" i="62"/>
  <c r="AY23" i="62"/>
  <c r="AY25" i="62"/>
  <c r="AY27" i="62"/>
  <c r="AY29" i="62"/>
  <c r="AY31" i="62"/>
  <c r="AY33" i="62"/>
  <c r="AY35" i="62"/>
  <c r="AY37" i="62"/>
  <c r="AY39" i="62"/>
  <c r="AY41" i="62"/>
  <c r="AY43" i="62"/>
  <c r="AY45" i="62"/>
  <c r="AY47" i="62"/>
  <c r="AY49" i="62"/>
  <c r="AY51" i="62"/>
  <c r="AY53" i="62"/>
  <c r="AY55" i="62"/>
  <c r="AY57" i="62"/>
  <c r="AY59" i="62"/>
  <c r="AY61" i="62"/>
  <c r="AY63" i="62"/>
  <c r="AY65" i="62"/>
  <c r="AY67" i="62"/>
  <c r="AY69" i="62"/>
  <c r="AY71" i="62"/>
  <c r="AY73" i="62"/>
  <c r="AY75" i="62"/>
  <c r="AY77" i="62"/>
  <c r="AY79" i="62"/>
  <c r="AY81" i="62"/>
  <c r="AY83" i="62"/>
  <c r="AY85" i="62"/>
  <c r="AY87" i="62"/>
  <c r="AY89" i="62"/>
  <c r="AY91" i="62"/>
  <c r="AY93" i="62"/>
  <c r="AY95" i="62"/>
  <c r="AY97" i="62"/>
  <c r="AY99" i="62"/>
  <c r="AY101" i="62"/>
  <c r="AY103" i="62"/>
  <c r="AY105" i="62"/>
  <c r="AY107" i="62"/>
  <c r="AY109" i="62"/>
  <c r="AY111" i="62"/>
  <c r="AY113" i="62"/>
  <c r="AY115" i="62"/>
  <c r="AY117" i="62"/>
  <c r="AY119" i="62"/>
  <c r="AY121" i="62"/>
  <c r="AY123" i="62"/>
  <c r="AY125" i="62"/>
  <c r="AY127" i="62"/>
  <c r="AY129" i="62"/>
  <c r="AY131" i="62"/>
  <c r="AY133" i="62"/>
  <c r="AY135" i="62"/>
  <c r="AY137" i="62"/>
  <c r="AY139" i="62"/>
  <c r="AY141" i="62"/>
  <c r="AY143" i="62"/>
  <c r="AY145" i="62"/>
  <c r="AY147" i="62"/>
  <c r="AY149" i="62"/>
  <c r="AY151" i="62"/>
  <c r="AY153" i="62"/>
  <c r="AY155" i="62"/>
  <c r="AY157" i="62"/>
  <c r="AY159" i="62"/>
  <c r="AY161" i="62"/>
  <c r="AY163" i="62"/>
  <c r="AY165" i="62"/>
  <c r="AY167" i="62"/>
  <c r="AY169" i="62"/>
  <c r="AY171" i="62"/>
  <c r="AY173" i="62"/>
  <c r="AY175" i="62"/>
  <c r="AY177" i="62"/>
  <c r="AY179" i="62"/>
  <c r="AY181" i="62"/>
  <c r="AY183" i="62"/>
  <c r="AY185" i="62"/>
  <c r="AY187" i="62"/>
  <c r="AY189" i="62"/>
  <c r="AY191" i="62"/>
  <c r="AY193" i="62"/>
  <c r="AY195" i="62"/>
  <c r="AY197" i="62"/>
  <c r="AY199" i="62"/>
  <c r="AY201" i="62"/>
  <c r="AY203" i="62"/>
  <c r="AY205" i="62"/>
  <c r="AY207" i="62"/>
  <c r="AY209" i="62"/>
  <c r="AY211" i="62"/>
  <c r="AY213" i="62"/>
  <c r="AY215" i="62"/>
  <c r="AY217" i="62"/>
  <c r="AY219" i="62"/>
  <c r="AY221" i="62"/>
  <c r="AY223" i="62"/>
  <c r="AY225" i="62"/>
  <c r="AY227" i="62"/>
  <c r="AY229" i="62"/>
  <c r="AY231" i="62"/>
  <c r="AY233" i="62"/>
  <c r="AY235" i="62"/>
  <c r="AY237" i="62"/>
  <c r="AY239" i="62"/>
  <c r="AY241" i="62"/>
  <c r="AY243" i="62"/>
  <c r="AY245" i="62"/>
  <c r="AY247" i="62"/>
  <c r="AY249" i="62"/>
  <c r="AY251" i="62"/>
  <c r="AY253" i="62"/>
  <c r="AY255" i="62"/>
  <c r="AY257" i="62"/>
  <c r="AY259" i="62"/>
  <c r="AY261" i="62"/>
  <c r="AY263" i="62"/>
  <c r="AY265" i="62"/>
  <c r="AY267" i="62"/>
  <c r="AY269" i="62"/>
  <c r="AY271" i="62"/>
  <c r="AY273" i="62"/>
  <c r="AY275" i="62"/>
  <c r="AY277" i="62"/>
  <c r="AY279" i="62"/>
  <c r="AY281" i="62"/>
  <c r="AY283" i="62"/>
  <c r="AY285" i="62"/>
  <c r="AY287" i="62"/>
  <c r="AY289" i="62"/>
  <c r="AY291" i="62"/>
  <c r="AY293" i="62"/>
  <c r="AY295" i="62"/>
  <c r="AY297" i="62"/>
  <c r="AY299" i="62"/>
  <c r="AY301" i="62"/>
  <c r="AY303" i="62"/>
  <c r="AY305" i="62"/>
  <c r="AY307" i="62"/>
  <c r="AY309" i="62"/>
  <c r="AY311" i="62"/>
  <c r="AY313" i="62"/>
  <c r="AY315" i="62"/>
  <c r="AY317" i="62"/>
  <c r="AY319" i="62"/>
  <c r="AY321" i="62"/>
  <c r="AY323" i="62"/>
  <c r="AY325" i="62"/>
  <c r="AY327" i="62"/>
  <c r="AY329" i="62"/>
  <c r="AY331" i="62"/>
  <c r="AY333" i="62"/>
  <c r="AY335" i="62"/>
  <c r="AY337" i="62"/>
  <c r="AY339" i="62"/>
  <c r="AY341" i="62"/>
  <c r="AY343" i="62"/>
  <c r="AY345" i="62"/>
  <c r="AY347" i="62"/>
  <c r="AY349" i="62"/>
  <c r="AY351" i="62"/>
  <c r="AY353" i="62"/>
  <c r="AY355" i="62"/>
  <c r="AY357" i="62"/>
  <c r="AY359" i="62"/>
  <c r="AY361" i="62"/>
  <c r="AY363" i="62"/>
  <c r="AY365" i="62"/>
  <c r="AY367" i="62"/>
  <c r="AY369" i="62"/>
  <c r="AY371" i="62"/>
  <c r="AY373" i="62"/>
  <c r="AY375" i="62"/>
  <c r="AY377" i="62"/>
  <c r="AY379" i="62"/>
  <c r="AY381" i="62"/>
  <c r="AY383" i="62"/>
  <c r="AY385" i="62"/>
  <c r="AY387" i="62"/>
  <c r="AY389" i="62"/>
  <c r="AY391" i="62"/>
  <c r="AY393" i="62"/>
  <c r="AY395" i="62"/>
  <c r="AY397" i="62"/>
  <c r="AY399" i="62"/>
  <c r="AY401" i="62"/>
  <c r="AY403" i="62"/>
  <c r="AY17" i="62"/>
  <c r="AY15" i="62"/>
  <c r="AX19" i="62" l="1"/>
  <c r="AX21" i="62"/>
  <c r="AX23" i="62"/>
  <c r="AX25" i="62"/>
  <c r="AX27" i="62"/>
  <c r="AX29" i="62"/>
  <c r="AX31" i="62"/>
  <c r="AX33" i="62"/>
  <c r="AX35" i="62"/>
  <c r="AX37" i="62"/>
  <c r="AX39" i="62"/>
  <c r="AX41" i="62"/>
  <c r="AX43" i="62"/>
  <c r="AX45" i="62"/>
  <c r="AX47" i="62"/>
  <c r="AX49" i="62"/>
  <c r="AX51" i="62"/>
  <c r="AX53" i="62"/>
  <c r="AX55" i="62"/>
  <c r="AX57" i="62"/>
  <c r="AX59" i="62"/>
  <c r="AX61" i="62"/>
  <c r="AX63" i="62"/>
  <c r="AX65" i="62"/>
  <c r="AX67" i="62"/>
  <c r="AX69" i="62"/>
  <c r="AX71" i="62"/>
  <c r="AX73" i="62"/>
  <c r="AX75" i="62"/>
  <c r="AX77" i="62"/>
  <c r="AX79" i="62"/>
  <c r="AX81" i="62"/>
  <c r="AX83" i="62"/>
  <c r="AX85" i="62"/>
  <c r="AX87" i="62"/>
  <c r="AX89" i="62"/>
  <c r="AX91" i="62"/>
  <c r="AX93" i="62"/>
  <c r="AX95" i="62"/>
  <c r="AX97" i="62"/>
  <c r="AX99" i="62"/>
  <c r="AX101" i="62"/>
  <c r="AX103" i="62"/>
  <c r="AX105" i="62"/>
  <c r="AX107" i="62"/>
  <c r="AX109" i="62"/>
  <c r="AX111" i="62"/>
  <c r="AX113" i="62"/>
  <c r="AX115" i="62"/>
  <c r="AX117" i="62"/>
  <c r="AX119" i="62"/>
  <c r="AX121" i="62"/>
  <c r="AX123" i="62"/>
  <c r="AX125" i="62"/>
  <c r="AX127" i="62"/>
  <c r="AX129" i="62"/>
  <c r="AX131" i="62"/>
  <c r="AX133" i="62"/>
  <c r="AX135" i="62"/>
  <c r="AX137" i="62"/>
  <c r="AX139" i="62"/>
  <c r="AX141" i="62"/>
  <c r="AX143" i="62"/>
  <c r="AX145" i="62"/>
  <c r="AX147" i="62"/>
  <c r="AX149" i="62"/>
  <c r="AX151" i="62"/>
  <c r="AX153" i="62"/>
  <c r="AX155" i="62"/>
  <c r="AX157" i="62"/>
  <c r="AX159" i="62"/>
  <c r="AX161" i="62"/>
  <c r="AX163" i="62"/>
  <c r="AX165" i="62"/>
  <c r="AX167" i="62"/>
  <c r="AX169" i="62"/>
  <c r="AX171" i="62"/>
  <c r="AX173" i="62"/>
  <c r="AX175" i="62"/>
  <c r="AX177" i="62"/>
  <c r="AX179" i="62"/>
  <c r="AX181" i="62"/>
  <c r="AX183" i="62"/>
  <c r="AX185" i="62"/>
  <c r="AX187" i="62"/>
  <c r="AX189" i="62"/>
  <c r="AX191" i="62"/>
  <c r="AX193" i="62"/>
  <c r="AX195" i="62"/>
  <c r="AX197" i="62"/>
  <c r="AX199" i="62"/>
  <c r="AX201" i="62"/>
  <c r="AX203" i="62"/>
  <c r="AX205" i="62"/>
  <c r="AX207" i="62"/>
  <c r="AX209" i="62"/>
  <c r="AX211" i="62"/>
  <c r="AX213" i="62"/>
  <c r="AX215" i="62"/>
  <c r="AX217" i="62"/>
  <c r="AX219" i="62"/>
  <c r="AX221" i="62"/>
  <c r="AX223" i="62"/>
  <c r="AX225" i="62"/>
  <c r="AX227" i="62"/>
  <c r="AX229" i="62"/>
  <c r="AX231" i="62"/>
  <c r="AX233" i="62"/>
  <c r="AX235" i="62"/>
  <c r="AX237" i="62"/>
  <c r="AX239" i="62"/>
  <c r="AX241" i="62"/>
  <c r="AX243" i="62"/>
  <c r="AX245" i="62"/>
  <c r="AX247" i="62"/>
  <c r="AX249" i="62"/>
  <c r="AX251" i="62"/>
  <c r="AX253" i="62"/>
  <c r="AX255" i="62"/>
  <c r="AX257" i="62"/>
  <c r="AX259" i="62"/>
  <c r="AX261" i="62"/>
  <c r="AX263" i="62"/>
  <c r="AX265" i="62"/>
  <c r="AX267" i="62"/>
  <c r="AX269" i="62"/>
  <c r="AX271" i="62"/>
  <c r="AX273" i="62"/>
  <c r="AX275" i="62"/>
  <c r="AX277" i="62"/>
  <c r="AX279" i="62"/>
  <c r="AX281" i="62"/>
  <c r="AX283" i="62"/>
  <c r="AX285" i="62"/>
  <c r="AX287" i="62"/>
  <c r="AX289" i="62"/>
  <c r="AX291" i="62"/>
  <c r="AX293" i="62"/>
  <c r="AX295" i="62"/>
  <c r="AX297" i="62"/>
  <c r="AX299" i="62"/>
  <c r="AX301" i="62"/>
  <c r="AX303" i="62"/>
  <c r="AX305" i="62"/>
  <c r="AX307" i="62"/>
  <c r="AX309" i="62"/>
  <c r="AX311" i="62"/>
  <c r="AX313" i="62"/>
  <c r="AX315" i="62"/>
  <c r="AX317" i="62"/>
  <c r="AX319" i="62"/>
  <c r="AX321" i="62"/>
  <c r="AX323" i="62"/>
  <c r="AX325" i="62"/>
  <c r="AX327" i="62"/>
  <c r="AX329" i="62"/>
  <c r="AX331" i="62"/>
  <c r="AX333" i="62"/>
  <c r="AX335" i="62"/>
  <c r="AX337" i="62"/>
  <c r="AX339" i="62"/>
  <c r="AX341" i="62"/>
  <c r="AX343" i="62"/>
  <c r="AX345" i="62"/>
  <c r="AX347" i="62"/>
  <c r="AX349" i="62"/>
  <c r="AX351" i="62"/>
  <c r="AX353" i="62"/>
  <c r="AX355" i="62"/>
  <c r="AX357" i="62"/>
  <c r="AX359" i="62"/>
  <c r="AX361" i="62"/>
  <c r="AX363" i="62"/>
  <c r="AX365" i="62"/>
  <c r="AX367" i="62"/>
  <c r="AX369" i="62"/>
  <c r="AX371" i="62"/>
  <c r="AX373" i="62"/>
  <c r="AX375" i="62"/>
  <c r="AX377" i="62"/>
  <c r="AX379" i="62"/>
  <c r="AX381" i="62"/>
  <c r="AX383" i="62"/>
  <c r="AX385" i="62"/>
  <c r="AX387" i="62"/>
  <c r="AX389" i="62"/>
  <c r="AX391" i="62"/>
  <c r="AX393" i="62"/>
  <c r="AX395" i="62"/>
  <c r="AX397" i="62"/>
  <c r="AX399" i="62"/>
  <c r="AX401" i="62"/>
  <c r="AX403" i="62"/>
  <c r="AX17" i="62"/>
  <c r="AX15" i="62"/>
  <c r="AU17" i="62" l="1"/>
  <c r="AU19" i="62"/>
  <c r="AU21" i="62"/>
  <c r="AU23" i="62"/>
  <c r="AU25" i="62"/>
  <c r="AU27" i="62"/>
  <c r="AU29" i="62"/>
  <c r="AU31" i="62"/>
  <c r="AU33" i="62"/>
  <c r="AU35" i="62"/>
  <c r="AU37" i="62"/>
  <c r="AU39" i="62"/>
  <c r="AU41" i="62"/>
  <c r="AU43" i="62"/>
  <c r="AU45" i="62"/>
  <c r="AU47" i="62"/>
  <c r="AU49" i="62"/>
  <c r="AU51" i="62"/>
  <c r="AU53" i="62"/>
  <c r="AU55" i="62"/>
  <c r="AU57" i="62"/>
  <c r="AU59" i="62"/>
  <c r="AU61" i="62"/>
  <c r="AU63" i="62"/>
  <c r="AU65" i="62"/>
  <c r="AU67" i="62"/>
  <c r="AU69" i="62"/>
  <c r="AU71" i="62"/>
  <c r="AU73" i="62"/>
  <c r="AU75" i="62"/>
  <c r="AU77" i="62"/>
  <c r="AU79" i="62"/>
  <c r="AU81" i="62"/>
  <c r="AU83" i="62"/>
  <c r="AU85" i="62"/>
  <c r="AU87" i="62"/>
  <c r="AU89" i="62"/>
  <c r="AU91" i="62"/>
  <c r="AU93" i="62"/>
  <c r="AU95" i="62"/>
  <c r="AU97" i="62"/>
  <c r="AU99" i="62"/>
  <c r="AU101" i="62"/>
  <c r="AU103" i="62"/>
  <c r="AU105" i="62"/>
  <c r="AU107" i="62"/>
  <c r="AU109" i="62"/>
  <c r="AU111" i="62"/>
  <c r="AU113" i="62"/>
  <c r="AU115" i="62"/>
  <c r="AU117" i="62"/>
  <c r="AU119" i="62"/>
  <c r="AU121" i="62"/>
  <c r="AU123" i="62"/>
  <c r="AU125" i="62"/>
  <c r="AU127" i="62"/>
  <c r="AU129" i="62"/>
  <c r="AU131" i="62"/>
  <c r="AU133" i="62"/>
  <c r="AU135" i="62"/>
  <c r="AU137" i="62"/>
  <c r="AU139" i="62"/>
  <c r="AU141" i="62"/>
  <c r="AU143" i="62"/>
  <c r="AU145" i="62"/>
  <c r="AU147" i="62"/>
  <c r="AU149" i="62"/>
  <c r="AU151" i="62"/>
  <c r="AU153" i="62"/>
  <c r="AU155" i="62"/>
  <c r="AU157" i="62"/>
  <c r="AU159" i="62"/>
  <c r="AU161" i="62"/>
  <c r="AU163" i="62"/>
  <c r="AU165" i="62"/>
  <c r="AU167" i="62"/>
  <c r="AU169" i="62"/>
  <c r="AU171" i="62"/>
  <c r="AU173" i="62"/>
  <c r="AU175" i="62"/>
  <c r="AU177" i="62"/>
  <c r="AU179" i="62"/>
  <c r="AU181" i="62"/>
  <c r="AU183" i="62"/>
  <c r="AU185" i="62"/>
  <c r="AU187" i="62"/>
  <c r="AU189" i="62"/>
  <c r="AU191" i="62"/>
  <c r="AU193" i="62"/>
  <c r="AU195" i="62"/>
  <c r="AU197" i="62"/>
  <c r="AU199" i="62"/>
  <c r="AU201" i="62"/>
  <c r="AU203" i="62"/>
  <c r="AU205" i="62"/>
  <c r="AU207" i="62"/>
  <c r="AU209" i="62"/>
  <c r="AU211" i="62"/>
  <c r="AU213" i="62"/>
  <c r="AU215" i="62"/>
  <c r="AU217" i="62"/>
  <c r="AU219" i="62"/>
  <c r="AU221" i="62"/>
  <c r="AU223" i="62"/>
  <c r="AU225" i="62"/>
  <c r="AU227" i="62"/>
  <c r="AU229" i="62"/>
  <c r="AU231" i="62"/>
  <c r="AU233" i="62"/>
  <c r="AU235" i="62"/>
  <c r="AU237" i="62"/>
  <c r="AU239" i="62"/>
  <c r="AU241" i="62"/>
  <c r="AU243" i="62"/>
  <c r="AU245" i="62"/>
  <c r="AU247" i="62"/>
  <c r="AU249" i="62"/>
  <c r="AU251" i="62"/>
  <c r="AU253" i="62"/>
  <c r="AU255" i="62"/>
  <c r="AU257" i="62"/>
  <c r="AU259" i="62"/>
  <c r="AU261" i="62"/>
  <c r="AU263" i="62"/>
  <c r="AU265" i="62"/>
  <c r="AU267" i="62"/>
  <c r="AU269" i="62"/>
  <c r="AU271" i="62"/>
  <c r="AU273" i="62"/>
  <c r="AU275" i="62"/>
  <c r="AU277" i="62"/>
  <c r="AU279" i="62"/>
  <c r="AU281" i="62"/>
  <c r="AU283" i="62"/>
  <c r="AU285" i="62"/>
  <c r="AU287" i="62"/>
  <c r="AU289" i="62"/>
  <c r="AU291" i="62"/>
  <c r="AU293" i="62"/>
  <c r="AU295" i="62"/>
  <c r="AU297" i="62"/>
  <c r="AU299" i="62"/>
  <c r="AU301" i="62"/>
  <c r="AU303" i="62"/>
  <c r="AU305" i="62"/>
  <c r="AU307" i="62"/>
  <c r="AU309" i="62"/>
  <c r="AU311" i="62"/>
  <c r="AU313" i="62"/>
  <c r="AU315" i="62"/>
  <c r="AU317" i="62"/>
  <c r="AU319" i="62"/>
  <c r="AU321" i="62"/>
  <c r="AU323" i="62"/>
  <c r="AU325" i="62"/>
  <c r="AU327" i="62"/>
  <c r="AU329" i="62"/>
  <c r="AU331" i="62"/>
  <c r="AU333" i="62"/>
  <c r="AU335" i="62"/>
  <c r="AU337" i="62"/>
  <c r="AU339" i="62"/>
  <c r="AU341" i="62"/>
  <c r="AU343" i="62"/>
  <c r="AU345" i="62"/>
  <c r="AU347" i="62"/>
  <c r="AU349" i="62"/>
  <c r="AU351" i="62"/>
  <c r="AU353" i="62"/>
  <c r="AU355" i="62"/>
  <c r="AU357" i="62"/>
  <c r="AU359" i="62"/>
  <c r="AU361" i="62"/>
  <c r="AU363" i="62"/>
  <c r="AU365" i="62"/>
  <c r="AU367" i="62"/>
  <c r="AU369" i="62"/>
  <c r="AU371" i="62"/>
  <c r="AU373" i="62"/>
  <c r="AU375" i="62"/>
  <c r="AU377" i="62"/>
  <c r="AU379" i="62"/>
  <c r="AU381" i="62"/>
  <c r="AU383" i="62"/>
  <c r="AU385" i="62"/>
  <c r="AU387" i="62"/>
  <c r="AU389" i="62"/>
  <c r="AU391" i="62"/>
  <c r="AU393" i="62"/>
  <c r="AU395" i="62"/>
  <c r="AU397" i="62"/>
  <c r="AU399" i="62"/>
  <c r="AU401" i="62"/>
  <c r="AU403" i="62"/>
  <c r="AU15" i="62"/>
  <c r="AE115" i="67"/>
  <c r="AE154" i="67" l="1"/>
  <c r="AE153" i="67"/>
  <c r="AE152" i="67"/>
  <c r="AE151" i="67"/>
  <c r="AA151" i="67"/>
  <c r="AD150" i="67"/>
  <c r="AC150" i="67"/>
  <c r="AB150" i="67"/>
  <c r="AE148" i="67"/>
  <c r="AE147" i="67"/>
  <c r="AE146" i="67"/>
  <c r="AE145" i="67"/>
  <c r="AA145" i="67"/>
  <c r="AD144" i="67"/>
  <c r="AC144" i="67"/>
  <c r="AB144" i="67"/>
  <c r="AE142" i="67"/>
  <c r="AE141" i="67"/>
  <c r="AE140" i="67"/>
  <c r="AE139" i="67"/>
  <c r="AA139" i="67"/>
  <c r="AD138" i="67"/>
  <c r="AC138" i="67"/>
  <c r="AB138" i="67"/>
  <c r="AE136" i="67"/>
  <c r="AE135" i="67"/>
  <c r="AE134" i="67"/>
  <c r="AE133" i="67"/>
  <c r="AA133" i="67"/>
  <c r="AD132" i="67"/>
  <c r="AC132" i="67"/>
  <c r="AB132" i="67"/>
  <c r="AE130" i="67"/>
  <c r="AE129" i="67"/>
  <c r="AE128" i="67"/>
  <c r="AE127" i="67"/>
  <c r="AA127" i="67"/>
  <c r="AD126" i="67"/>
  <c r="AC126" i="67"/>
  <c r="AB126" i="67"/>
  <c r="AE124" i="67"/>
  <c r="AE123" i="67"/>
  <c r="AE122" i="67"/>
  <c r="AE121" i="67"/>
  <c r="AA121" i="67"/>
  <c r="AD120" i="67"/>
  <c r="AC120" i="67"/>
  <c r="AB120" i="67"/>
  <c r="AA115" i="67"/>
  <c r="AE118" i="67"/>
  <c r="AE117" i="67"/>
  <c r="AE116" i="67"/>
  <c r="AD114" i="67"/>
  <c r="AC114" i="67"/>
  <c r="AB114" i="67"/>
  <c r="AA132" i="67" l="1"/>
  <c r="AA144" i="67"/>
  <c r="B144" i="67" s="1"/>
  <c r="AA138" i="67"/>
  <c r="B138" i="67" s="1"/>
  <c r="B132" i="67"/>
  <c r="AA120" i="67"/>
  <c r="B120" i="67" s="1"/>
  <c r="AA126" i="67"/>
  <c r="B126" i="67" s="1"/>
  <c r="AA150" i="67"/>
  <c r="B150" i="67" s="1"/>
  <c r="AA114" i="67"/>
  <c r="B114" i="67" s="1"/>
  <c r="X154" i="67"/>
  <c r="Y75" i="40" s="1"/>
  <c r="X153" i="67"/>
  <c r="Y73" i="40" s="1"/>
  <c r="X151" i="67"/>
  <c r="Y71" i="40" s="1"/>
  <c r="X148" i="67"/>
  <c r="Y70" i="40" s="1"/>
  <c r="X147" i="67"/>
  <c r="Y68" i="40" s="1"/>
  <c r="X145" i="67"/>
  <c r="Y66" i="40" s="1"/>
  <c r="X142" i="67"/>
  <c r="Y65" i="40" s="1"/>
  <c r="X141" i="67"/>
  <c r="Y63" i="40" s="1"/>
  <c r="X139" i="67"/>
  <c r="Y61" i="40" s="1"/>
  <c r="X136" i="67"/>
  <c r="Y60" i="40" s="1"/>
  <c r="X135" i="67"/>
  <c r="Y58" i="40" s="1"/>
  <c r="X133" i="67"/>
  <c r="Y56" i="40" s="1"/>
  <c r="X130" i="67"/>
  <c r="Y33" i="40" s="1"/>
  <c r="X129" i="67"/>
  <c r="Y31" i="40" s="1"/>
  <c r="X127" i="67"/>
  <c r="Y29" i="40" s="1"/>
  <c r="X124" i="67"/>
  <c r="Y28" i="40" s="1"/>
  <c r="X123" i="67"/>
  <c r="Y26" i="40" s="1"/>
  <c r="X121" i="67"/>
  <c r="Y24" i="40" s="1"/>
  <c r="X118" i="67"/>
  <c r="Y23" i="40" s="1"/>
  <c r="X117" i="67"/>
  <c r="Y21" i="40" s="1"/>
  <c r="X115" i="67"/>
  <c r="Y19" i="40" s="1"/>
  <c r="AA109" i="67"/>
  <c r="AD108" i="67"/>
  <c r="AC108" i="67"/>
  <c r="AB108" i="67"/>
  <c r="Z46" i="67"/>
  <c r="Y46" i="67"/>
  <c r="X46" i="67"/>
  <c r="R87" i="67"/>
  <c r="Q87" i="67"/>
  <c r="V102" i="67"/>
  <c r="U102" i="67"/>
  <c r="AE112" i="67"/>
  <c r="AE111" i="67"/>
  <c r="AE110" i="67"/>
  <c r="AE109" i="67"/>
  <c r="AA154" i="67" l="1"/>
  <c r="AA136" i="67"/>
  <c r="AA130" i="67"/>
  <c r="AA148" i="67"/>
  <c r="AA118" i="67"/>
  <c r="AA124" i="67"/>
  <c r="AA142" i="67"/>
  <c r="AA108" i="67"/>
  <c r="B108" i="67" s="1"/>
  <c r="T105" i="67"/>
  <c r="T104" i="67"/>
  <c r="T103" i="67"/>
  <c r="L60" i="67"/>
  <c r="B82" i="67"/>
  <c r="P90" i="67"/>
  <c r="P89" i="67"/>
  <c r="P88" i="67"/>
  <c r="W47" i="67"/>
  <c r="B60" i="67"/>
  <c r="B30" i="67"/>
  <c r="L61" i="67"/>
  <c r="B53" i="67"/>
  <c r="T102" i="67" l="1"/>
  <c r="B102" i="67" s="1"/>
  <c r="W46" i="67"/>
  <c r="P87" i="67"/>
  <c r="B87" i="67" s="1"/>
  <c r="B29" i="67"/>
  <c r="B28" i="67"/>
  <c r="B11" i="67"/>
  <c r="M25" i="67"/>
  <c r="H21" i="67" l="1"/>
  <c r="B21" i="67"/>
  <c r="B19" i="67"/>
  <c r="B13" i="67"/>
  <c r="B94" i="67"/>
  <c r="T405" i="62" l="1"/>
  <c r="T10" i="62" s="1"/>
  <c r="T406" i="62" s="1"/>
  <c r="AE25" i="67"/>
  <c r="AR87" i="63" s="1"/>
  <c r="AA25" i="67"/>
  <c r="AR30" i="63" s="1"/>
  <c r="AD405" i="62"/>
  <c r="AD10" i="62" s="1"/>
  <c r="AD406" i="62" s="1"/>
  <c r="AD25" i="67"/>
  <c r="AR75" i="63" s="1"/>
  <c r="O405" i="62"/>
  <c r="O10" i="62" s="1"/>
  <c r="AC25" i="67"/>
  <c r="AR63" i="63" s="1"/>
  <c r="Y405" i="62"/>
  <c r="Y10" i="62" s="1"/>
  <c r="Y406" i="62" s="1"/>
  <c r="AB25" i="67"/>
  <c r="AR42" i="63" s="1"/>
  <c r="AI405" i="62"/>
  <c r="AI10" i="62" s="1"/>
  <c r="AI406" i="62" s="1"/>
  <c r="AI5" i="63"/>
  <c r="AI7" i="63" s="1"/>
  <c r="AE5" i="63"/>
  <c r="AE7" i="63" s="1"/>
  <c r="AG5" i="63"/>
  <c r="AG7" i="63" s="1"/>
  <c r="AM5" i="63"/>
  <c r="AM7" i="63" s="1"/>
  <c r="AK5" i="63"/>
  <c r="AK7" i="63" s="1"/>
  <c r="J97" i="67"/>
  <c r="J98" i="67"/>
  <c r="B17" i="67"/>
  <c r="Z5" i="63" l="1"/>
  <c r="M2" i="63" s="1"/>
  <c r="K6" i="67" s="1"/>
  <c r="AO73" i="67"/>
  <c r="AP73" i="67"/>
  <c r="AN73" i="67"/>
  <c r="AM73" i="67"/>
  <c r="AL73" i="67"/>
  <c r="O406" i="62"/>
  <c r="G14" i="40"/>
  <c r="V45" i="40"/>
  <c r="D7" i="34"/>
  <c r="L6" i="40"/>
  <c r="L48" i="40" s="1"/>
  <c r="J6" i="40"/>
  <c r="J48" i="40" s="1"/>
  <c r="E6" i="40"/>
  <c r="E48" i="40" s="1"/>
  <c r="E4" i="68"/>
  <c r="AP534" i="61"/>
  <c r="AP536" i="61"/>
  <c r="AP538" i="61"/>
  <c r="AP540" i="61"/>
  <c r="AP542" i="61"/>
  <c r="AP544" i="61"/>
  <c r="AP546" i="61"/>
  <c r="AP548" i="61"/>
  <c r="AP550" i="61"/>
  <c r="AP552" i="61"/>
  <c r="AP554" i="61"/>
  <c r="AP556" i="61"/>
  <c r="AP558" i="61"/>
  <c r="AP532" i="61"/>
  <c r="AP530" i="61"/>
  <c r="AJ532" i="61"/>
  <c r="AJ533" i="61"/>
  <c r="AJ534" i="61"/>
  <c r="AJ535" i="61"/>
  <c r="AJ536" i="61"/>
  <c r="AJ537" i="61"/>
  <c r="AJ538" i="61"/>
  <c r="AJ539" i="61"/>
  <c r="AJ540" i="61"/>
  <c r="AJ541" i="61"/>
  <c r="AJ542" i="61"/>
  <c r="AJ543" i="61"/>
  <c r="AJ544" i="61"/>
  <c r="AJ545" i="61"/>
  <c r="AJ546" i="61"/>
  <c r="AJ547" i="61"/>
  <c r="AJ548" i="61"/>
  <c r="AJ549" i="61"/>
  <c r="AJ550" i="61"/>
  <c r="AJ551" i="61"/>
  <c r="AJ552" i="61"/>
  <c r="AJ553" i="61"/>
  <c r="AJ554" i="61"/>
  <c r="AJ555" i="61"/>
  <c r="AJ556" i="61"/>
  <c r="AJ557" i="61"/>
  <c r="AJ558" i="61"/>
  <c r="AJ559" i="61"/>
  <c r="AJ531" i="61"/>
  <c r="AJ530" i="61"/>
  <c r="AH534" i="61"/>
  <c r="AI534" i="61"/>
  <c r="AH536" i="61"/>
  <c r="AI536" i="61"/>
  <c r="AH538" i="61"/>
  <c r="AI538" i="61"/>
  <c r="AH540" i="61"/>
  <c r="AI540" i="61"/>
  <c r="AH542" i="61"/>
  <c r="AI542" i="61"/>
  <c r="AH544" i="61"/>
  <c r="AI544" i="61"/>
  <c r="AH546" i="61"/>
  <c r="AI546" i="61"/>
  <c r="AH548" i="61"/>
  <c r="AI548" i="61"/>
  <c r="AH550" i="61"/>
  <c r="AI550" i="61"/>
  <c r="AH552" i="61"/>
  <c r="AI552" i="61"/>
  <c r="AH554" i="61"/>
  <c r="AI554" i="61"/>
  <c r="AH556" i="61"/>
  <c r="AI556" i="61"/>
  <c r="AH558" i="61"/>
  <c r="AI558" i="61"/>
  <c r="AF534" i="61"/>
  <c r="AF536" i="61"/>
  <c r="AF538" i="61"/>
  <c r="AF540" i="61"/>
  <c r="AF542" i="61"/>
  <c r="AF544" i="61"/>
  <c r="AF546" i="61"/>
  <c r="AF548" i="61"/>
  <c r="AF550" i="61"/>
  <c r="AF552" i="61"/>
  <c r="AF554" i="61"/>
  <c r="AF556" i="61"/>
  <c r="AF558" i="61"/>
  <c r="AC534" i="61"/>
  <c r="AD534" i="61"/>
  <c r="AE534" i="61"/>
  <c r="AC536" i="61"/>
  <c r="AD536" i="61"/>
  <c r="AE536" i="61"/>
  <c r="AC538" i="61"/>
  <c r="AD538" i="61"/>
  <c r="AE538" i="61"/>
  <c r="AC540" i="61"/>
  <c r="AD540" i="61"/>
  <c r="AE540" i="61"/>
  <c r="AC542" i="61"/>
  <c r="AD542" i="61"/>
  <c r="AE542" i="61"/>
  <c r="AC544" i="61"/>
  <c r="AD544" i="61"/>
  <c r="AE544" i="61"/>
  <c r="AC546" i="61"/>
  <c r="AD546" i="61"/>
  <c r="AE546" i="61"/>
  <c r="AC548" i="61"/>
  <c r="AD548" i="61"/>
  <c r="AE548" i="61"/>
  <c r="AC550" i="61"/>
  <c r="AD550" i="61"/>
  <c r="AE550" i="61"/>
  <c r="AC552" i="61"/>
  <c r="AD552" i="61"/>
  <c r="AE552" i="61"/>
  <c r="AC554" i="61"/>
  <c r="AD554" i="61"/>
  <c r="AE554" i="61"/>
  <c r="AC556" i="61"/>
  <c r="AD556" i="61"/>
  <c r="AE556" i="61"/>
  <c r="AC558" i="61"/>
  <c r="AD558" i="61"/>
  <c r="AE558" i="61"/>
  <c r="AA534" i="61"/>
  <c r="AA536" i="61"/>
  <c r="AA538" i="61"/>
  <c r="AA540" i="61"/>
  <c r="AA542" i="61"/>
  <c r="AA544" i="61"/>
  <c r="AA546" i="61"/>
  <c r="AA548" i="61"/>
  <c r="AA550" i="61"/>
  <c r="AA552" i="61"/>
  <c r="AA554" i="61"/>
  <c r="AA556" i="61"/>
  <c r="AA558" i="61"/>
  <c r="X534" i="61"/>
  <c r="Y534" i="61"/>
  <c r="Z534" i="61"/>
  <c r="X536" i="61"/>
  <c r="Y536" i="61"/>
  <c r="Z536" i="61"/>
  <c r="X538" i="61"/>
  <c r="Y538" i="61"/>
  <c r="Z538" i="61"/>
  <c r="X540" i="61"/>
  <c r="Y540" i="61"/>
  <c r="Z540" i="61"/>
  <c r="X542" i="61"/>
  <c r="Y542" i="61"/>
  <c r="Z542" i="61"/>
  <c r="X544" i="61"/>
  <c r="Y544" i="61"/>
  <c r="Z544" i="61"/>
  <c r="X546" i="61"/>
  <c r="Y546" i="61"/>
  <c r="Z546" i="61"/>
  <c r="X548" i="61"/>
  <c r="Y548" i="61"/>
  <c r="Z548" i="61"/>
  <c r="X550" i="61"/>
  <c r="Y550" i="61"/>
  <c r="Z550" i="61"/>
  <c r="X552" i="61"/>
  <c r="Y552" i="61"/>
  <c r="Z552" i="61"/>
  <c r="X554" i="61"/>
  <c r="Y554" i="61"/>
  <c r="Z554" i="61"/>
  <c r="X556" i="61"/>
  <c r="Y556" i="61"/>
  <c r="Z556" i="61"/>
  <c r="X558" i="61"/>
  <c r="Y558" i="61"/>
  <c r="Z558" i="61"/>
  <c r="V534" i="61"/>
  <c r="V536" i="61"/>
  <c r="V538" i="61"/>
  <c r="V540" i="61"/>
  <c r="V542" i="61"/>
  <c r="V544" i="61"/>
  <c r="V546" i="61"/>
  <c r="V548" i="61"/>
  <c r="V550" i="61"/>
  <c r="V552" i="61"/>
  <c r="V554" i="61"/>
  <c r="V556" i="61"/>
  <c r="V558" i="61"/>
  <c r="S534" i="61"/>
  <c r="T534" i="61"/>
  <c r="U534" i="61"/>
  <c r="S536" i="61"/>
  <c r="T536" i="61"/>
  <c r="U536" i="61"/>
  <c r="S538" i="61"/>
  <c r="T538" i="61"/>
  <c r="U538" i="61"/>
  <c r="S540" i="61"/>
  <c r="T540" i="61"/>
  <c r="U540" i="61"/>
  <c r="S542" i="61"/>
  <c r="T542" i="61"/>
  <c r="U542" i="61"/>
  <c r="S544" i="61"/>
  <c r="T544" i="61"/>
  <c r="U544" i="61"/>
  <c r="S546" i="61"/>
  <c r="T546" i="61"/>
  <c r="U546" i="61"/>
  <c r="S548" i="61"/>
  <c r="T548" i="61"/>
  <c r="U548" i="61"/>
  <c r="S550" i="61"/>
  <c r="T550" i="61"/>
  <c r="U550" i="61"/>
  <c r="S552" i="61"/>
  <c r="T552" i="61"/>
  <c r="U552" i="61"/>
  <c r="S554" i="61"/>
  <c r="T554" i="61"/>
  <c r="U554" i="61"/>
  <c r="S556" i="61"/>
  <c r="T556" i="61"/>
  <c r="U556" i="61"/>
  <c r="S558" i="61"/>
  <c r="T558" i="61"/>
  <c r="U558" i="61"/>
  <c r="Q534" i="61"/>
  <c r="Q536" i="61"/>
  <c r="Q538" i="61"/>
  <c r="Q540" i="61"/>
  <c r="Q542" i="61"/>
  <c r="Q544" i="61"/>
  <c r="Q546" i="61"/>
  <c r="Q548" i="61"/>
  <c r="Q550" i="61"/>
  <c r="Q552" i="61"/>
  <c r="Q554" i="61"/>
  <c r="Q556" i="61"/>
  <c r="Q558" i="61"/>
  <c r="N534" i="61"/>
  <c r="O534" i="61"/>
  <c r="P534" i="61"/>
  <c r="N536" i="61"/>
  <c r="O536" i="61"/>
  <c r="P536" i="61"/>
  <c r="N538" i="61"/>
  <c r="O538" i="61"/>
  <c r="P538" i="61"/>
  <c r="N540" i="61"/>
  <c r="O540" i="61"/>
  <c r="P540" i="61"/>
  <c r="N542" i="61"/>
  <c r="O542" i="61"/>
  <c r="P542" i="61"/>
  <c r="N544" i="61"/>
  <c r="O544" i="61"/>
  <c r="P544" i="61"/>
  <c r="N546" i="61"/>
  <c r="O546" i="61"/>
  <c r="P546" i="61"/>
  <c r="N548" i="61"/>
  <c r="O548" i="61"/>
  <c r="P548" i="61"/>
  <c r="N550" i="61"/>
  <c r="O550" i="61"/>
  <c r="P550" i="61"/>
  <c r="N552" i="61"/>
  <c r="O552" i="61"/>
  <c r="P552" i="61"/>
  <c r="N554" i="61"/>
  <c r="O554" i="61"/>
  <c r="P554" i="61"/>
  <c r="N556" i="61"/>
  <c r="O556" i="61"/>
  <c r="P556" i="61"/>
  <c r="N558" i="61"/>
  <c r="O558" i="61"/>
  <c r="P558" i="61"/>
  <c r="L534" i="61"/>
  <c r="L536" i="61"/>
  <c r="L538" i="61"/>
  <c r="L540" i="61"/>
  <c r="L542" i="61"/>
  <c r="L544" i="61"/>
  <c r="L546" i="61"/>
  <c r="L548" i="61"/>
  <c r="L550" i="61"/>
  <c r="L552" i="61"/>
  <c r="L554" i="61"/>
  <c r="L556" i="61"/>
  <c r="L558" i="61"/>
  <c r="J534" i="61"/>
  <c r="K534" i="61"/>
  <c r="J536" i="61"/>
  <c r="K536" i="61"/>
  <c r="J538" i="61"/>
  <c r="K538" i="61"/>
  <c r="J540" i="61"/>
  <c r="K540" i="61"/>
  <c r="J542" i="61"/>
  <c r="K542" i="61"/>
  <c r="J544" i="61"/>
  <c r="K544" i="61"/>
  <c r="J546" i="61"/>
  <c r="K546" i="61"/>
  <c r="J548" i="61"/>
  <c r="K548" i="61"/>
  <c r="J550" i="61"/>
  <c r="K550" i="61"/>
  <c r="J552" i="61"/>
  <c r="K552" i="61"/>
  <c r="J554" i="61"/>
  <c r="K554" i="61"/>
  <c r="J556" i="61"/>
  <c r="K556" i="61"/>
  <c r="J558" i="61"/>
  <c r="K558" i="61"/>
  <c r="H534" i="61"/>
  <c r="H536" i="61"/>
  <c r="H538" i="61"/>
  <c r="H540" i="61"/>
  <c r="H542" i="61"/>
  <c r="H544" i="61"/>
  <c r="H546" i="61"/>
  <c r="H548" i="61"/>
  <c r="H550" i="61"/>
  <c r="H552" i="61"/>
  <c r="H554" i="61"/>
  <c r="H556" i="61"/>
  <c r="H558" i="61"/>
  <c r="F534" i="61"/>
  <c r="G534" i="61"/>
  <c r="F536" i="61"/>
  <c r="G536" i="61"/>
  <c r="F538" i="61"/>
  <c r="G538" i="61"/>
  <c r="F540" i="61"/>
  <c r="G540" i="61"/>
  <c r="F542" i="61"/>
  <c r="G542" i="61"/>
  <c r="F544" i="61"/>
  <c r="G544" i="61"/>
  <c r="F546" i="61"/>
  <c r="G546" i="61"/>
  <c r="F548" i="61"/>
  <c r="G548" i="61"/>
  <c r="F550" i="61"/>
  <c r="G550" i="61"/>
  <c r="F552" i="61"/>
  <c r="G552" i="61"/>
  <c r="F554" i="61"/>
  <c r="G554" i="61"/>
  <c r="F556" i="61"/>
  <c r="G556" i="61"/>
  <c r="F558" i="61"/>
  <c r="G558" i="61"/>
  <c r="E534" i="61"/>
  <c r="E536" i="61"/>
  <c r="E538" i="61"/>
  <c r="E540" i="61"/>
  <c r="E542" i="61"/>
  <c r="E544" i="61"/>
  <c r="E546" i="61"/>
  <c r="E548" i="61"/>
  <c r="E550" i="61"/>
  <c r="E552" i="61"/>
  <c r="E554" i="61"/>
  <c r="E556" i="61"/>
  <c r="E558" i="61"/>
  <c r="AI532" i="61"/>
  <c r="AH532" i="61"/>
  <c r="AF532" i="61"/>
  <c r="AE532" i="61"/>
  <c r="AD532" i="61"/>
  <c r="AC532" i="61"/>
  <c r="AA532" i="61"/>
  <c r="Z532" i="61"/>
  <c r="Y532" i="61"/>
  <c r="X532" i="61"/>
  <c r="V532" i="61"/>
  <c r="U532" i="61"/>
  <c r="T532" i="61"/>
  <c r="S532" i="61"/>
  <c r="Q532" i="61"/>
  <c r="P532" i="61"/>
  <c r="O532" i="61"/>
  <c r="N532" i="61"/>
  <c r="L532" i="61"/>
  <c r="K532" i="61"/>
  <c r="J532" i="61"/>
  <c r="H532" i="61"/>
  <c r="G532" i="61"/>
  <c r="F532" i="61"/>
  <c r="E532" i="61"/>
  <c r="AI530" i="61"/>
  <c r="AH530" i="61"/>
  <c r="AF530" i="61"/>
  <c r="AE530" i="61"/>
  <c r="AD530" i="61"/>
  <c r="AC530" i="61"/>
  <c r="AA530" i="61"/>
  <c r="Z530" i="61"/>
  <c r="Y530" i="61"/>
  <c r="X530" i="61"/>
  <c r="V530" i="61"/>
  <c r="U530" i="61"/>
  <c r="T530" i="61"/>
  <c r="S530" i="61"/>
  <c r="Q530" i="61"/>
  <c r="P530" i="61"/>
  <c r="O530" i="61"/>
  <c r="N530" i="61"/>
  <c r="L530" i="61"/>
  <c r="K530" i="61"/>
  <c r="J530" i="61"/>
  <c r="H530" i="61"/>
  <c r="G530" i="61"/>
  <c r="F530" i="61"/>
  <c r="E530" i="61"/>
  <c r="AP491" i="61"/>
  <c r="AP493" i="61"/>
  <c r="AP495" i="61"/>
  <c r="AP497" i="61"/>
  <c r="AP499" i="61"/>
  <c r="AP501" i="61"/>
  <c r="AP503" i="61"/>
  <c r="AP505" i="61"/>
  <c r="AP507" i="61"/>
  <c r="AP509" i="61"/>
  <c r="AP511" i="61"/>
  <c r="AP513" i="61"/>
  <c r="AP515" i="61"/>
  <c r="AP489" i="61"/>
  <c r="AP487" i="61"/>
  <c r="AJ489" i="61"/>
  <c r="AJ490" i="61"/>
  <c r="AJ491" i="61"/>
  <c r="AJ492" i="61"/>
  <c r="AJ493" i="61"/>
  <c r="AJ494" i="61"/>
  <c r="AJ495" i="61"/>
  <c r="AJ496" i="61"/>
  <c r="AJ497" i="61"/>
  <c r="AJ498" i="61"/>
  <c r="AJ499" i="61"/>
  <c r="AJ500" i="61"/>
  <c r="AJ501" i="61"/>
  <c r="AJ502" i="61"/>
  <c r="AJ503" i="61"/>
  <c r="AJ504" i="61"/>
  <c r="AJ505" i="61"/>
  <c r="AJ506" i="61"/>
  <c r="AJ507" i="61"/>
  <c r="AJ508" i="61"/>
  <c r="AJ509" i="61"/>
  <c r="AJ510" i="61"/>
  <c r="AJ511" i="61"/>
  <c r="AJ512" i="61"/>
  <c r="AJ513" i="61"/>
  <c r="AJ514" i="61"/>
  <c r="AJ515" i="61"/>
  <c r="AJ516" i="61"/>
  <c r="AJ488" i="61"/>
  <c r="AJ487" i="61"/>
  <c r="AH491" i="61"/>
  <c r="AI491" i="61"/>
  <c r="AH493" i="61"/>
  <c r="AI493" i="61"/>
  <c r="AH495" i="61"/>
  <c r="AI495" i="61"/>
  <c r="AH497" i="61"/>
  <c r="AI497" i="61"/>
  <c r="AH499" i="61"/>
  <c r="AI499" i="61"/>
  <c r="AH501" i="61"/>
  <c r="AI501" i="61"/>
  <c r="AH503" i="61"/>
  <c r="AI503" i="61"/>
  <c r="AH505" i="61"/>
  <c r="AI505" i="61"/>
  <c r="AH507" i="61"/>
  <c r="AI507" i="61"/>
  <c r="AH509" i="61"/>
  <c r="AI509" i="61"/>
  <c r="AH511" i="61"/>
  <c r="AI511" i="61"/>
  <c r="AH513" i="61"/>
  <c r="AI513" i="61"/>
  <c r="AH515" i="61"/>
  <c r="AI515" i="61"/>
  <c r="AF491" i="61"/>
  <c r="AF493" i="61"/>
  <c r="AF495" i="61"/>
  <c r="AF497" i="61"/>
  <c r="AF499" i="61"/>
  <c r="AF501" i="61"/>
  <c r="AF503" i="61"/>
  <c r="AF505" i="61"/>
  <c r="AF507" i="61"/>
  <c r="AF509" i="61"/>
  <c r="AF511" i="61"/>
  <c r="AF513" i="61"/>
  <c r="AF515" i="61"/>
  <c r="AC491" i="61"/>
  <c r="AD491" i="61"/>
  <c r="AE491" i="61"/>
  <c r="AC493" i="61"/>
  <c r="AD493" i="61"/>
  <c r="AE493" i="61"/>
  <c r="AC495" i="61"/>
  <c r="AD495" i="61"/>
  <c r="AE495" i="61"/>
  <c r="AC497" i="61"/>
  <c r="AD497" i="61"/>
  <c r="AE497" i="61"/>
  <c r="AC499" i="61"/>
  <c r="AD499" i="61"/>
  <c r="AE499" i="61"/>
  <c r="AC501" i="61"/>
  <c r="AD501" i="61"/>
  <c r="AE501" i="61"/>
  <c r="AC503" i="61"/>
  <c r="AD503" i="61"/>
  <c r="AE503" i="61"/>
  <c r="AC505" i="61"/>
  <c r="AD505" i="61"/>
  <c r="AE505" i="61"/>
  <c r="AC507" i="61"/>
  <c r="AD507" i="61"/>
  <c r="AE507" i="61"/>
  <c r="AC509" i="61"/>
  <c r="AD509" i="61"/>
  <c r="AE509" i="61"/>
  <c r="AC511" i="61"/>
  <c r="AD511" i="61"/>
  <c r="AE511" i="61"/>
  <c r="AC513" i="61"/>
  <c r="AD513" i="61"/>
  <c r="AE513" i="61"/>
  <c r="AC515" i="61"/>
  <c r="AD515" i="61"/>
  <c r="AE515" i="61"/>
  <c r="AA491" i="61"/>
  <c r="AA493" i="61"/>
  <c r="AA495" i="61"/>
  <c r="AA497" i="61"/>
  <c r="AA499" i="61"/>
  <c r="AA501" i="61"/>
  <c r="AA503" i="61"/>
  <c r="AA505" i="61"/>
  <c r="AA507" i="61"/>
  <c r="AA509" i="61"/>
  <c r="AA511" i="61"/>
  <c r="AA513" i="61"/>
  <c r="AA515" i="61"/>
  <c r="X491" i="61"/>
  <c r="Y491" i="61"/>
  <c r="Z491" i="61"/>
  <c r="X493" i="61"/>
  <c r="Y493" i="61"/>
  <c r="Z493" i="61"/>
  <c r="X495" i="61"/>
  <c r="Y495" i="61"/>
  <c r="Z495" i="61"/>
  <c r="X497" i="61"/>
  <c r="Y497" i="61"/>
  <c r="Z497" i="61"/>
  <c r="X499" i="61"/>
  <c r="Y499" i="61"/>
  <c r="Z499" i="61"/>
  <c r="X501" i="61"/>
  <c r="Y501" i="61"/>
  <c r="Z501" i="61"/>
  <c r="X503" i="61"/>
  <c r="Y503" i="61"/>
  <c r="Z503" i="61"/>
  <c r="X505" i="61"/>
  <c r="Y505" i="61"/>
  <c r="Z505" i="61"/>
  <c r="X507" i="61"/>
  <c r="Y507" i="61"/>
  <c r="Z507" i="61"/>
  <c r="X509" i="61"/>
  <c r="Y509" i="61"/>
  <c r="Z509" i="61"/>
  <c r="X511" i="61"/>
  <c r="Y511" i="61"/>
  <c r="Z511" i="61"/>
  <c r="X513" i="61"/>
  <c r="Y513" i="61"/>
  <c r="Z513" i="61"/>
  <c r="X515" i="61"/>
  <c r="Y515" i="61"/>
  <c r="Z515" i="61"/>
  <c r="V491" i="61"/>
  <c r="V493" i="61"/>
  <c r="V495" i="61"/>
  <c r="V497" i="61"/>
  <c r="V499" i="61"/>
  <c r="V501" i="61"/>
  <c r="V503" i="61"/>
  <c r="V505" i="61"/>
  <c r="V507" i="61"/>
  <c r="V509" i="61"/>
  <c r="V511" i="61"/>
  <c r="V513" i="61"/>
  <c r="V515" i="61"/>
  <c r="S491" i="61"/>
  <c r="T491" i="61"/>
  <c r="U491" i="61"/>
  <c r="S493" i="61"/>
  <c r="T493" i="61"/>
  <c r="U493" i="61"/>
  <c r="S495" i="61"/>
  <c r="T495" i="61"/>
  <c r="U495" i="61"/>
  <c r="S497" i="61"/>
  <c r="T497" i="61"/>
  <c r="U497" i="61"/>
  <c r="S499" i="61"/>
  <c r="T499" i="61"/>
  <c r="U499" i="61"/>
  <c r="S501" i="61"/>
  <c r="T501" i="61"/>
  <c r="U501" i="61"/>
  <c r="S503" i="61"/>
  <c r="T503" i="61"/>
  <c r="U503" i="61"/>
  <c r="S505" i="61"/>
  <c r="T505" i="61"/>
  <c r="U505" i="61"/>
  <c r="S507" i="61"/>
  <c r="T507" i="61"/>
  <c r="U507" i="61"/>
  <c r="S509" i="61"/>
  <c r="T509" i="61"/>
  <c r="U509" i="61"/>
  <c r="S511" i="61"/>
  <c r="T511" i="61"/>
  <c r="U511" i="61"/>
  <c r="S513" i="61"/>
  <c r="T513" i="61"/>
  <c r="U513" i="61"/>
  <c r="S515" i="61"/>
  <c r="T515" i="61"/>
  <c r="U515" i="61"/>
  <c r="Q491" i="61"/>
  <c r="Q493" i="61"/>
  <c r="Q495" i="61"/>
  <c r="Q497" i="61"/>
  <c r="Q499" i="61"/>
  <c r="Q501" i="61"/>
  <c r="Q503" i="61"/>
  <c r="Q505" i="61"/>
  <c r="Q507" i="61"/>
  <c r="Q509" i="61"/>
  <c r="Q511" i="61"/>
  <c r="Q513" i="61"/>
  <c r="Q515" i="61"/>
  <c r="N491" i="61"/>
  <c r="O491" i="61"/>
  <c r="P491" i="61"/>
  <c r="N493" i="61"/>
  <c r="O493" i="61"/>
  <c r="P493" i="61"/>
  <c r="N495" i="61"/>
  <c r="O495" i="61"/>
  <c r="P495" i="61"/>
  <c r="N497" i="61"/>
  <c r="O497" i="61"/>
  <c r="P497" i="61"/>
  <c r="N499" i="61"/>
  <c r="O499" i="61"/>
  <c r="P499" i="61"/>
  <c r="N501" i="61"/>
  <c r="O501" i="61"/>
  <c r="P501" i="61"/>
  <c r="N503" i="61"/>
  <c r="O503" i="61"/>
  <c r="P503" i="61"/>
  <c r="N505" i="61"/>
  <c r="O505" i="61"/>
  <c r="P505" i="61"/>
  <c r="N507" i="61"/>
  <c r="O507" i="61"/>
  <c r="P507" i="61"/>
  <c r="N509" i="61"/>
  <c r="O509" i="61"/>
  <c r="P509" i="61"/>
  <c r="N511" i="61"/>
  <c r="O511" i="61"/>
  <c r="P511" i="61"/>
  <c r="N513" i="61"/>
  <c r="O513" i="61"/>
  <c r="P513" i="61"/>
  <c r="N515" i="61"/>
  <c r="O515" i="61"/>
  <c r="P515" i="61"/>
  <c r="L491" i="61"/>
  <c r="L493" i="61"/>
  <c r="L495" i="61"/>
  <c r="L497" i="61"/>
  <c r="L499" i="61"/>
  <c r="L501" i="61"/>
  <c r="L503" i="61"/>
  <c r="L505" i="61"/>
  <c r="L507" i="61"/>
  <c r="L509" i="61"/>
  <c r="L511" i="61"/>
  <c r="L513" i="61"/>
  <c r="L515" i="61"/>
  <c r="J491" i="61"/>
  <c r="K491" i="61"/>
  <c r="J493" i="61"/>
  <c r="K493" i="61"/>
  <c r="J495" i="61"/>
  <c r="K495" i="61"/>
  <c r="J497" i="61"/>
  <c r="K497" i="61"/>
  <c r="J499" i="61"/>
  <c r="K499" i="61"/>
  <c r="J501" i="61"/>
  <c r="K501" i="61"/>
  <c r="J503" i="61"/>
  <c r="K503" i="61"/>
  <c r="J505" i="61"/>
  <c r="K505" i="61"/>
  <c r="J507" i="61"/>
  <c r="K507" i="61"/>
  <c r="J509" i="61"/>
  <c r="K509" i="61"/>
  <c r="J511" i="61"/>
  <c r="K511" i="61"/>
  <c r="J513" i="61"/>
  <c r="K513" i="61"/>
  <c r="J515" i="61"/>
  <c r="K515" i="61"/>
  <c r="H491" i="61"/>
  <c r="H493" i="61"/>
  <c r="H495" i="61"/>
  <c r="H497" i="61"/>
  <c r="H499" i="61"/>
  <c r="H501" i="61"/>
  <c r="H503" i="61"/>
  <c r="H505" i="61"/>
  <c r="H507" i="61"/>
  <c r="H509" i="61"/>
  <c r="H511" i="61"/>
  <c r="H513" i="61"/>
  <c r="H515" i="61"/>
  <c r="F491" i="61"/>
  <c r="G491" i="61"/>
  <c r="F493" i="61"/>
  <c r="G493" i="61"/>
  <c r="F495" i="61"/>
  <c r="G495" i="61"/>
  <c r="F497" i="61"/>
  <c r="G497" i="61"/>
  <c r="F499" i="61"/>
  <c r="G499" i="61"/>
  <c r="F501" i="61"/>
  <c r="G501" i="61"/>
  <c r="F503" i="61"/>
  <c r="G503" i="61"/>
  <c r="F505" i="61"/>
  <c r="G505" i="61"/>
  <c r="F507" i="61"/>
  <c r="G507" i="61"/>
  <c r="F509" i="61"/>
  <c r="G509" i="61"/>
  <c r="F511" i="61"/>
  <c r="G511" i="61"/>
  <c r="F513" i="61"/>
  <c r="G513" i="61"/>
  <c r="F515" i="61"/>
  <c r="G515" i="61"/>
  <c r="E491" i="61"/>
  <c r="E493" i="61"/>
  <c r="E495" i="61"/>
  <c r="E497" i="61"/>
  <c r="E499" i="61"/>
  <c r="E501" i="61"/>
  <c r="E503" i="61"/>
  <c r="E505" i="61"/>
  <c r="E507" i="61"/>
  <c r="E509" i="61"/>
  <c r="E511" i="61"/>
  <c r="E513" i="61"/>
  <c r="E515" i="61"/>
  <c r="AI489" i="61"/>
  <c r="AH489" i="61"/>
  <c r="AF489" i="61"/>
  <c r="AE489" i="61"/>
  <c r="AD489" i="61"/>
  <c r="AC489" i="61"/>
  <c r="AA489" i="61"/>
  <c r="Y489" i="61"/>
  <c r="Z489" i="61"/>
  <c r="X489" i="61"/>
  <c r="V489" i="61"/>
  <c r="U489" i="61"/>
  <c r="T489" i="61"/>
  <c r="S489" i="61"/>
  <c r="Q489" i="61"/>
  <c r="P489" i="61"/>
  <c r="O489" i="61"/>
  <c r="N489" i="61"/>
  <c r="L489" i="61"/>
  <c r="K489" i="61"/>
  <c r="J489" i="61"/>
  <c r="H489" i="61"/>
  <c r="G489" i="61"/>
  <c r="F489" i="61"/>
  <c r="E489" i="61"/>
  <c r="AI487" i="61"/>
  <c r="AH487" i="61"/>
  <c r="AF487" i="61"/>
  <c r="AE487" i="61"/>
  <c r="AD487" i="61"/>
  <c r="AC487" i="61"/>
  <c r="AA487" i="61"/>
  <c r="Z487" i="61"/>
  <c r="Y487" i="61"/>
  <c r="X487" i="61"/>
  <c r="V487" i="61"/>
  <c r="U487" i="61"/>
  <c r="T487" i="61"/>
  <c r="S487" i="61"/>
  <c r="Q487" i="61"/>
  <c r="P487" i="61"/>
  <c r="O487" i="61"/>
  <c r="N487" i="61"/>
  <c r="L487" i="61"/>
  <c r="K487" i="61"/>
  <c r="J487" i="61"/>
  <c r="H487" i="61"/>
  <c r="G487" i="61"/>
  <c r="F487" i="61"/>
  <c r="E487" i="61"/>
  <c r="AP448" i="61"/>
  <c r="AP450" i="61"/>
  <c r="AP452" i="61"/>
  <c r="AP454" i="61"/>
  <c r="AP456" i="61"/>
  <c r="AP458" i="61"/>
  <c r="AP460" i="61"/>
  <c r="AP462" i="61"/>
  <c r="AP464" i="61"/>
  <c r="AP466" i="61"/>
  <c r="AP468" i="61"/>
  <c r="AP470" i="61"/>
  <c r="AP472" i="61"/>
  <c r="AP446" i="61"/>
  <c r="AP444" i="61"/>
  <c r="AJ446" i="61"/>
  <c r="AJ447" i="61"/>
  <c r="AJ448" i="61"/>
  <c r="AJ449" i="61"/>
  <c r="AJ450" i="61"/>
  <c r="AJ451" i="61"/>
  <c r="AJ452" i="61"/>
  <c r="AJ453" i="61"/>
  <c r="AJ454" i="61"/>
  <c r="AJ455" i="61"/>
  <c r="AJ456" i="61"/>
  <c r="AJ457" i="61"/>
  <c r="AJ458" i="61"/>
  <c r="AJ459" i="61"/>
  <c r="AJ460" i="61"/>
  <c r="AJ461" i="61"/>
  <c r="AJ462" i="61"/>
  <c r="AJ463" i="61"/>
  <c r="AJ464" i="61"/>
  <c r="AJ465" i="61"/>
  <c r="AJ466" i="61"/>
  <c r="AJ467" i="61"/>
  <c r="AJ468" i="61"/>
  <c r="AJ469" i="61"/>
  <c r="AJ470" i="61"/>
  <c r="AJ471" i="61"/>
  <c r="AJ472" i="61"/>
  <c r="AJ473" i="61"/>
  <c r="AJ445" i="61"/>
  <c r="AJ444" i="61"/>
  <c r="AH448" i="61"/>
  <c r="AI448" i="61"/>
  <c r="AH450" i="61"/>
  <c r="AI450" i="61"/>
  <c r="AH452" i="61"/>
  <c r="AI452" i="61"/>
  <c r="AH454" i="61"/>
  <c r="AI454" i="61"/>
  <c r="AH456" i="61"/>
  <c r="AI456" i="61"/>
  <c r="AH458" i="61"/>
  <c r="AI458" i="61"/>
  <c r="AH460" i="61"/>
  <c r="AI460" i="61"/>
  <c r="AH462" i="61"/>
  <c r="AI462" i="61"/>
  <c r="AH464" i="61"/>
  <c r="AI464" i="61"/>
  <c r="AH466" i="61"/>
  <c r="AI466" i="61"/>
  <c r="AH468" i="61"/>
  <c r="AI468" i="61"/>
  <c r="AH470" i="61"/>
  <c r="AI470" i="61"/>
  <c r="AH472" i="61"/>
  <c r="AI472" i="61"/>
  <c r="AF448" i="61"/>
  <c r="AF450" i="61"/>
  <c r="AF452" i="61"/>
  <c r="AF454" i="61"/>
  <c r="AF456" i="61"/>
  <c r="AF458" i="61"/>
  <c r="AF460" i="61"/>
  <c r="AF462" i="61"/>
  <c r="AF464" i="61"/>
  <c r="AF466" i="61"/>
  <c r="AF468" i="61"/>
  <c r="AF470" i="61"/>
  <c r="AF472" i="61"/>
  <c r="AC448" i="61"/>
  <c r="AD448" i="61"/>
  <c r="AE448" i="61"/>
  <c r="AC450" i="61"/>
  <c r="AD450" i="61"/>
  <c r="AE450" i="61"/>
  <c r="AC452" i="61"/>
  <c r="AD452" i="61"/>
  <c r="AE452" i="61"/>
  <c r="AC454" i="61"/>
  <c r="AD454" i="61"/>
  <c r="AE454" i="61"/>
  <c r="AC456" i="61"/>
  <c r="AD456" i="61"/>
  <c r="AE456" i="61"/>
  <c r="AC458" i="61"/>
  <c r="AD458" i="61"/>
  <c r="AE458" i="61"/>
  <c r="AC460" i="61"/>
  <c r="AD460" i="61"/>
  <c r="AE460" i="61"/>
  <c r="AC462" i="61"/>
  <c r="AD462" i="61"/>
  <c r="AE462" i="61"/>
  <c r="AC464" i="61"/>
  <c r="AD464" i="61"/>
  <c r="AE464" i="61"/>
  <c r="AC466" i="61"/>
  <c r="AD466" i="61"/>
  <c r="AE466" i="61"/>
  <c r="AC468" i="61"/>
  <c r="AD468" i="61"/>
  <c r="AE468" i="61"/>
  <c r="AC470" i="61"/>
  <c r="AD470" i="61"/>
  <c r="AE470" i="61"/>
  <c r="AC472" i="61"/>
  <c r="AD472" i="61"/>
  <c r="AE472" i="61"/>
  <c r="AA448" i="61"/>
  <c r="AA450" i="61"/>
  <c r="AA452" i="61"/>
  <c r="AA454" i="61"/>
  <c r="AA456" i="61"/>
  <c r="AA458" i="61"/>
  <c r="AA460" i="61"/>
  <c r="AA462" i="61"/>
  <c r="AA464" i="61"/>
  <c r="AA466" i="61"/>
  <c r="AA468" i="61"/>
  <c r="AA470" i="61"/>
  <c r="AA472" i="61"/>
  <c r="X448" i="61"/>
  <c r="Y448" i="61"/>
  <c r="Z448" i="61"/>
  <c r="X450" i="61"/>
  <c r="Y450" i="61"/>
  <c r="Z450" i="61"/>
  <c r="X452" i="61"/>
  <c r="Y452" i="61"/>
  <c r="Z452" i="61"/>
  <c r="X454" i="61"/>
  <c r="Y454" i="61"/>
  <c r="Z454" i="61"/>
  <c r="X456" i="61"/>
  <c r="Y456" i="61"/>
  <c r="Z456" i="61"/>
  <c r="X458" i="61"/>
  <c r="Y458" i="61"/>
  <c r="Z458" i="61"/>
  <c r="X460" i="61"/>
  <c r="Y460" i="61"/>
  <c r="Z460" i="61"/>
  <c r="X462" i="61"/>
  <c r="Y462" i="61"/>
  <c r="Z462" i="61"/>
  <c r="X464" i="61"/>
  <c r="Y464" i="61"/>
  <c r="Z464" i="61"/>
  <c r="X466" i="61"/>
  <c r="Y466" i="61"/>
  <c r="Z466" i="61"/>
  <c r="X468" i="61"/>
  <c r="Y468" i="61"/>
  <c r="Z468" i="61"/>
  <c r="X470" i="61"/>
  <c r="Y470" i="61"/>
  <c r="Z470" i="61"/>
  <c r="X472" i="61"/>
  <c r="Y472" i="61"/>
  <c r="Z472" i="61"/>
  <c r="V448" i="61"/>
  <c r="V450" i="61"/>
  <c r="V452" i="61"/>
  <c r="V454" i="61"/>
  <c r="V456" i="61"/>
  <c r="V458" i="61"/>
  <c r="V460" i="61"/>
  <c r="V462" i="61"/>
  <c r="V464" i="61"/>
  <c r="V466" i="61"/>
  <c r="V468" i="61"/>
  <c r="V470" i="61"/>
  <c r="V472" i="61"/>
  <c r="S448" i="61"/>
  <c r="T448" i="61"/>
  <c r="U448" i="61"/>
  <c r="S450" i="61"/>
  <c r="T450" i="61"/>
  <c r="U450" i="61"/>
  <c r="S452" i="61"/>
  <c r="T452" i="61"/>
  <c r="U452" i="61"/>
  <c r="S454" i="61"/>
  <c r="T454" i="61"/>
  <c r="U454" i="61"/>
  <c r="S456" i="61"/>
  <c r="T456" i="61"/>
  <c r="U456" i="61"/>
  <c r="S458" i="61"/>
  <c r="T458" i="61"/>
  <c r="U458" i="61"/>
  <c r="S460" i="61"/>
  <c r="T460" i="61"/>
  <c r="U460" i="61"/>
  <c r="S462" i="61"/>
  <c r="T462" i="61"/>
  <c r="U462" i="61"/>
  <c r="S464" i="61"/>
  <c r="T464" i="61"/>
  <c r="U464" i="61"/>
  <c r="S466" i="61"/>
  <c r="T466" i="61"/>
  <c r="U466" i="61"/>
  <c r="S468" i="61"/>
  <c r="T468" i="61"/>
  <c r="U468" i="61"/>
  <c r="S470" i="61"/>
  <c r="T470" i="61"/>
  <c r="U470" i="61"/>
  <c r="S472" i="61"/>
  <c r="T472" i="61"/>
  <c r="U472" i="61"/>
  <c r="Q448" i="61"/>
  <c r="Q450" i="61"/>
  <c r="Q452" i="61"/>
  <c r="Q454" i="61"/>
  <c r="Q456" i="61"/>
  <c r="Q458" i="61"/>
  <c r="Q460" i="61"/>
  <c r="Q462" i="61"/>
  <c r="Q464" i="61"/>
  <c r="Q466" i="61"/>
  <c r="Q468" i="61"/>
  <c r="Q470" i="61"/>
  <c r="Q472" i="61"/>
  <c r="N448" i="61"/>
  <c r="O448" i="61"/>
  <c r="P448" i="61"/>
  <c r="N450" i="61"/>
  <c r="O450" i="61"/>
  <c r="P450" i="61"/>
  <c r="N452" i="61"/>
  <c r="O452" i="61"/>
  <c r="P452" i="61"/>
  <c r="N454" i="61"/>
  <c r="O454" i="61"/>
  <c r="P454" i="61"/>
  <c r="N456" i="61"/>
  <c r="O456" i="61"/>
  <c r="P456" i="61"/>
  <c r="N458" i="61"/>
  <c r="O458" i="61"/>
  <c r="P458" i="61"/>
  <c r="N460" i="61"/>
  <c r="O460" i="61"/>
  <c r="P460" i="61"/>
  <c r="N462" i="61"/>
  <c r="O462" i="61"/>
  <c r="P462" i="61"/>
  <c r="N464" i="61"/>
  <c r="O464" i="61"/>
  <c r="P464" i="61"/>
  <c r="N466" i="61"/>
  <c r="O466" i="61"/>
  <c r="P466" i="61"/>
  <c r="N468" i="61"/>
  <c r="O468" i="61"/>
  <c r="P468" i="61"/>
  <c r="N470" i="61"/>
  <c r="O470" i="61"/>
  <c r="P470" i="61"/>
  <c r="N472" i="61"/>
  <c r="O472" i="61"/>
  <c r="P472" i="61"/>
  <c r="L448" i="61"/>
  <c r="L450" i="61"/>
  <c r="L452" i="61"/>
  <c r="L454" i="61"/>
  <c r="L456" i="61"/>
  <c r="L458" i="61"/>
  <c r="L460" i="61"/>
  <c r="L462" i="61"/>
  <c r="L464" i="61"/>
  <c r="L466" i="61"/>
  <c r="L468" i="61"/>
  <c r="L470" i="61"/>
  <c r="L472" i="61"/>
  <c r="J448" i="61"/>
  <c r="K448" i="61"/>
  <c r="J450" i="61"/>
  <c r="K450" i="61"/>
  <c r="J452" i="61"/>
  <c r="K452" i="61"/>
  <c r="J454" i="61"/>
  <c r="K454" i="61"/>
  <c r="J456" i="61"/>
  <c r="K456" i="61"/>
  <c r="J458" i="61"/>
  <c r="K458" i="61"/>
  <c r="J460" i="61"/>
  <c r="K460" i="61"/>
  <c r="J462" i="61"/>
  <c r="K462" i="61"/>
  <c r="J464" i="61"/>
  <c r="K464" i="61"/>
  <c r="J466" i="61"/>
  <c r="K466" i="61"/>
  <c r="J468" i="61"/>
  <c r="K468" i="61"/>
  <c r="J470" i="61"/>
  <c r="K470" i="61"/>
  <c r="J472" i="61"/>
  <c r="K472" i="61"/>
  <c r="H448" i="61"/>
  <c r="H450" i="61"/>
  <c r="H452" i="61"/>
  <c r="H454" i="61"/>
  <c r="H456" i="61"/>
  <c r="H458" i="61"/>
  <c r="H460" i="61"/>
  <c r="H462" i="61"/>
  <c r="H464" i="61"/>
  <c r="H466" i="61"/>
  <c r="H468" i="61"/>
  <c r="H470" i="61"/>
  <c r="H472" i="61"/>
  <c r="F448" i="61"/>
  <c r="G448" i="61"/>
  <c r="F450" i="61"/>
  <c r="G450" i="61"/>
  <c r="F452" i="61"/>
  <c r="G452" i="61"/>
  <c r="F454" i="61"/>
  <c r="G454" i="61"/>
  <c r="F456" i="61"/>
  <c r="G456" i="61"/>
  <c r="F458" i="61"/>
  <c r="G458" i="61"/>
  <c r="F460" i="61"/>
  <c r="G460" i="61"/>
  <c r="F462" i="61"/>
  <c r="G462" i="61"/>
  <c r="F464" i="61"/>
  <c r="G464" i="61"/>
  <c r="F466" i="61"/>
  <c r="G466" i="61"/>
  <c r="F468" i="61"/>
  <c r="G468" i="61"/>
  <c r="F470" i="61"/>
  <c r="G470" i="61"/>
  <c r="F472" i="61"/>
  <c r="G472" i="61"/>
  <c r="E448" i="61"/>
  <c r="E450" i="61"/>
  <c r="E452" i="61"/>
  <c r="E454" i="61"/>
  <c r="E456" i="61"/>
  <c r="E458" i="61"/>
  <c r="E460" i="61"/>
  <c r="E462" i="61"/>
  <c r="E464" i="61"/>
  <c r="E466" i="61"/>
  <c r="E468" i="61"/>
  <c r="E470" i="61"/>
  <c r="E472" i="61"/>
  <c r="AI446" i="61"/>
  <c r="AH446" i="61"/>
  <c r="AF446" i="61"/>
  <c r="AE446" i="61"/>
  <c r="AD446" i="61"/>
  <c r="AC446" i="61"/>
  <c r="AA446" i="61"/>
  <c r="Z446" i="61"/>
  <c r="Y446" i="61"/>
  <c r="X446" i="61"/>
  <c r="V446" i="61"/>
  <c r="U446" i="61"/>
  <c r="T446" i="61"/>
  <c r="S446" i="61"/>
  <c r="Q446" i="61"/>
  <c r="P446" i="61"/>
  <c r="O446" i="61"/>
  <c r="N446" i="61"/>
  <c r="L446" i="61"/>
  <c r="K446" i="61"/>
  <c r="J446" i="61"/>
  <c r="H446" i="61"/>
  <c r="G446" i="61"/>
  <c r="F446" i="61"/>
  <c r="E446" i="61"/>
  <c r="AI444" i="61"/>
  <c r="AH444" i="61"/>
  <c r="AF444" i="61"/>
  <c r="AE444" i="61"/>
  <c r="AD444" i="61"/>
  <c r="AC444" i="61"/>
  <c r="AA444" i="61"/>
  <c r="Z444" i="61"/>
  <c r="Y444" i="61"/>
  <c r="X444" i="61"/>
  <c r="V444" i="61"/>
  <c r="U444" i="61"/>
  <c r="T444" i="61"/>
  <c r="S444" i="61"/>
  <c r="Q444" i="61"/>
  <c r="P444" i="61"/>
  <c r="O444" i="61"/>
  <c r="N444" i="61"/>
  <c r="L444" i="61"/>
  <c r="K444" i="61"/>
  <c r="J444" i="61"/>
  <c r="H444" i="61"/>
  <c r="G444" i="61"/>
  <c r="F444" i="61"/>
  <c r="E444" i="61"/>
  <c r="AP405" i="61"/>
  <c r="AP407" i="61"/>
  <c r="AP409" i="61"/>
  <c r="AP411" i="61"/>
  <c r="AP413" i="61"/>
  <c r="AP415" i="61"/>
  <c r="AP417" i="61"/>
  <c r="AP419" i="61"/>
  <c r="AP421" i="61"/>
  <c r="AP423" i="61"/>
  <c r="AP425" i="61"/>
  <c r="AP427" i="61"/>
  <c r="AP429" i="61"/>
  <c r="AP403" i="61"/>
  <c r="AP401" i="61"/>
  <c r="AJ403" i="61"/>
  <c r="AJ404" i="61"/>
  <c r="AJ405" i="61"/>
  <c r="AJ406" i="61"/>
  <c r="AJ407" i="61"/>
  <c r="AJ408" i="61"/>
  <c r="AJ409" i="61"/>
  <c r="AJ410" i="61"/>
  <c r="AJ411" i="61"/>
  <c r="AJ412" i="61"/>
  <c r="AJ413" i="61"/>
  <c r="AJ414" i="61"/>
  <c r="AJ415" i="61"/>
  <c r="AJ416" i="61"/>
  <c r="AJ417" i="61"/>
  <c r="AJ418" i="61"/>
  <c r="AJ419" i="61"/>
  <c r="AJ420" i="61"/>
  <c r="AJ421" i="61"/>
  <c r="AJ422" i="61"/>
  <c r="AJ423" i="61"/>
  <c r="AJ424" i="61"/>
  <c r="AJ425" i="61"/>
  <c r="AJ426" i="61"/>
  <c r="AJ427" i="61"/>
  <c r="AJ428" i="61"/>
  <c r="AJ429" i="61"/>
  <c r="AJ430" i="61"/>
  <c r="AJ402" i="61"/>
  <c r="AJ401" i="61"/>
  <c r="AH405" i="61"/>
  <c r="AI405" i="61"/>
  <c r="AH407" i="61"/>
  <c r="AI407" i="61"/>
  <c r="AH409" i="61"/>
  <c r="AI409" i="61"/>
  <c r="AH411" i="61"/>
  <c r="AI411" i="61"/>
  <c r="AH413" i="61"/>
  <c r="AI413" i="61"/>
  <c r="AH415" i="61"/>
  <c r="AI415" i="61"/>
  <c r="AH417" i="61"/>
  <c r="AI417" i="61"/>
  <c r="AH419" i="61"/>
  <c r="AI419" i="61"/>
  <c r="AH421" i="61"/>
  <c r="AI421" i="61"/>
  <c r="AH423" i="61"/>
  <c r="AI423" i="61"/>
  <c r="AH425" i="61"/>
  <c r="AI425" i="61"/>
  <c r="AH427" i="61"/>
  <c r="AI427" i="61"/>
  <c r="AH429" i="61"/>
  <c r="AI429" i="61"/>
  <c r="AF405" i="61"/>
  <c r="AF407" i="61"/>
  <c r="AF409" i="61"/>
  <c r="AF411" i="61"/>
  <c r="AF413" i="61"/>
  <c r="AF415" i="61"/>
  <c r="AF417" i="61"/>
  <c r="AF419" i="61"/>
  <c r="AF421" i="61"/>
  <c r="AF423" i="61"/>
  <c r="AF425" i="61"/>
  <c r="AF427" i="61"/>
  <c r="AF429" i="61"/>
  <c r="AC405" i="61"/>
  <c r="AD405" i="61"/>
  <c r="AE405" i="61"/>
  <c r="AC407" i="61"/>
  <c r="AD407" i="61"/>
  <c r="AE407" i="61"/>
  <c r="AC409" i="61"/>
  <c r="AD409" i="61"/>
  <c r="AE409" i="61"/>
  <c r="AC411" i="61"/>
  <c r="AD411" i="61"/>
  <c r="AE411" i="61"/>
  <c r="AC413" i="61"/>
  <c r="AD413" i="61"/>
  <c r="AE413" i="61"/>
  <c r="AC415" i="61"/>
  <c r="AD415" i="61"/>
  <c r="AE415" i="61"/>
  <c r="AC417" i="61"/>
  <c r="AD417" i="61"/>
  <c r="AE417" i="61"/>
  <c r="AC419" i="61"/>
  <c r="AD419" i="61"/>
  <c r="AE419" i="61"/>
  <c r="AC421" i="61"/>
  <c r="AD421" i="61"/>
  <c r="AE421" i="61"/>
  <c r="AC423" i="61"/>
  <c r="AD423" i="61"/>
  <c r="AE423" i="61"/>
  <c r="AC425" i="61"/>
  <c r="AD425" i="61"/>
  <c r="AE425" i="61"/>
  <c r="AC427" i="61"/>
  <c r="AD427" i="61"/>
  <c r="AE427" i="61"/>
  <c r="AC429" i="61"/>
  <c r="AD429" i="61"/>
  <c r="AE429" i="61"/>
  <c r="AA405" i="61"/>
  <c r="AA407" i="61"/>
  <c r="AA409" i="61"/>
  <c r="AA411" i="61"/>
  <c r="AA413" i="61"/>
  <c r="AA415" i="61"/>
  <c r="AA417" i="61"/>
  <c r="AA419" i="61"/>
  <c r="AA421" i="61"/>
  <c r="AA423" i="61"/>
  <c r="AA425" i="61"/>
  <c r="AA427" i="61"/>
  <c r="AA429" i="61"/>
  <c r="X405" i="61"/>
  <c r="Y405" i="61"/>
  <c r="Z405" i="61"/>
  <c r="X407" i="61"/>
  <c r="Y407" i="61"/>
  <c r="Z407" i="61"/>
  <c r="X409" i="61"/>
  <c r="Y409" i="61"/>
  <c r="Z409" i="61"/>
  <c r="X411" i="61"/>
  <c r="Y411" i="61"/>
  <c r="Z411" i="61"/>
  <c r="X413" i="61"/>
  <c r="Y413" i="61"/>
  <c r="Z413" i="61"/>
  <c r="X415" i="61"/>
  <c r="Y415" i="61"/>
  <c r="Z415" i="61"/>
  <c r="X417" i="61"/>
  <c r="Y417" i="61"/>
  <c r="Z417" i="61"/>
  <c r="X419" i="61"/>
  <c r="Y419" i="61"/>
  <c r="Z419" i="61"/>
  <c r="X421" i="61"/>
  <c r="Y421" i="61"/>
  <c r="Z421" i="61"/>
  <c r="X423" i="61"/>
  <c r="Y423" i="61"/>
  <c r="Z423" i="61"/>
  <c r="X425" i="61"/>
  <c r="Y425" i="61"/>
  <c r="Z425" i="61"/>
  <c r="X427" i="61"/>
  <c r="Y427" i="61"/>
  <c r="Z427" i="61"/>
  <c r="X429" i="61"/>
  <c r="Y429" i="61"/>
  <c r="Z429" i="61"/>
  <c r="V405" i="61"/>
  <c r="V407" i="61"/>
  <c r="V409" i="61"/>
  <c r="V411" i="61"/>
  <c r="V413" i="61"/>
  <c r="V415" i="61"/>
  <c r="V417" i="61"/>
  <c r="V419" i="61"/>
  <c r="V421" i="61"/>
  <c r="V423" i="61"/>
  <c r="V425" i="61"/>
  <c r="V427" i="61"/>
  <c r="V429" i="61"/>
  <c r="S405" i="61"/>
  <c r="T405" i="61"/>
  <c r="U405" i="61"/>
  <c r="S407" i="61"/>
  <c r="T407" i="61"/>
  <c r="U407" i="61"/>
  <c r="S409" i="61"/>
  <c r="T409" i="61"/>
  <c r="U409" i="61"/>
  <c r="S411" i="61"/>
  <c r="T411" i="61"/>
  <c r="U411" i="61"/>
  <c r="S413" i="61"/>
  <c r="T413" i="61"/>
  <c r="U413" i="61"/>
  <c r="S415" i="61"/>
  <c r="T415" i="61"/>
  <c r="U415" i="61"/>
  <c r="S417" i="61"/>
  <c r="T417" i="61"/>
  <c r="U417" i="61"/>
  <c r="S419" i="61"/>
  <c r="T419" i="61"/>
  <c r="U419" i="61"/>
  <c r="S421" i="61"/>
  <c r="T421" i="61"/>
  <c r="U421" i="61"/>
  <c r="S423" i="61"/>
  <c r="T423" i="61"/>
  <c r="U423" i="61"/>
  <c r="S425" i="61"/>
  <c r="T425" i="61"/>
  <c r="U425" i="61"/>
  <c r="S427" i="61"/>
  <c r="T427" i="61"/>
  <c r="U427" i="61"/>
  <c r="S429" i="61"/>
  <c r="T429" i="61"/>
  <c r="U429" i="61"/>
  <c r="Q405" i="61"/>
  <c r="Q407" i="61"/>
  <c r="Q409" i="61"/>
  <c r="Q411" i="61"/>
  <c r="Q413" i="61"/>
  <c r="Q415" i="61"/>
  <c r="Q417" i="61"/>
  <c r="Q419" i="61"/>
  <c r="Q421" i="61"/>
  <c r="Q423" i="61"/>
  <c r="Q425" i="61"/>
  <c r="Q427" i="61"/>
  <c r="Q429" i="61"/>
  <c r="N405" i="61"/>
  <c r="O405" i="61"/>
  <c r="P405" i="61"/>
  <c r="N407" i="61"/>
  <c r="O407" i="61"/>
  <c r="P407" i="61"/>
  <c r="N409" i="61"/>
  <c r="O409" i="61"/>
  <c r="P409" i="61"/>
  <c r="N411" i="61"/>
  <c r="O411" i="61"/>
  <c r="P411" i="61"/>
  <c r="N413" i="61"/>
  <c r="O413" i="61"/>
  <c r="P413" i="61"/>
  <c r="N415" i="61"/>
  <c r="O415" i="61"/>
  <c r="P415" i="61"/>
  <c r="N417" i="61"/>
  <c r="O417" i="61"/>
  <c r="P417" i="61"/>
  <c r="N419" i="61"/>
  <c r="O419" i="61"/>
  <c r="P419" i="61"/>
  <c r="N421" i="61"/>
  <c r="O421" i="61"/>
  <c r="P421" i="61"/>
  <c r="N423" i="61"/>
  <c r="O423" i="61"/>
  <c r="P423" i="61"/>
  <c r="N425" i="61"/>
  <c r="O425" i="61"/>
  <c r="P425" i="61"/>
  <c r="N427" i="61"/>
  <c r="O427" i="61"/>
  <c r="P427" i="61"/>
  <c r="N429" i="61"/>
  <c r="O429" i="61"/>
  <c r="P429" i="61"/>
  <c r="L405" i="61"/>
  <c r="L407" i="61"/>
  <c r="L409" i="61"/>
  <c r="L411" i="61"/>
  <c r="L413" i="61"/>
  <c r="L415" i="61"/>
  <c r="L417" i="61"/>
  <c r="L419" i="61"/>
  <c r="L421" i="61"/>
  <c r="L423" i="61"/>
  <c r="L425" i="61"/>
  <c r="L427" i="61"/>
  <c r="L429" i="61"/>
  <c r="J405" i="61"/>
  <c r="K405" i="61"/>
  <c r="J407" i="61"/>
  <c r="K407" i="61"/>
  <c r="J409" i="61"/>
  <c r="K409" i="61"/>
  <c r="J411" i="61"/>
  <c r="K411" i="61"/>
  <c r="J413" i="61"/>
  <c r="K413" i="61"/>
  <c r="J415" i="61"/>
  <c r="K415" i="61"/>
  <c r="J417" i="61"/>
  <c r="K417" i="61"/>
  <c r="J419" i="61"/>
  <c r="K419" i="61"/>
  <c r="J421" i="61"/>
  <c r="K421" i="61"/>
  <c r="J423" i="61"/>
  <c r="K423" i="61"/>
  <c r="J425" i="61"/>
  <c r="K425" i="61"/>
  <c r="J427" i="61"/>
  <c r="K427" i="61"/>
  <c r="J429" i="61"/>
  <c r="K429" i="61"/>
  <c r="H405" i="61"/>
  <c r="H407" i="61"/>
  <c r="H409" i="61"/>
  <c r="H411" i="61"/>
  <c r="H413" i="61"/>
  <c r="H415" i="61"/>
  <c r="H417" i="61"/>
  <c r="H419" i="61"/>
  <c r="H421" i="61"/>
  <c r="H423" i="61"/>
  <c r="H425" i="61"/>
  <c r="H427" i="61"/>
  <c r="H429" i="61"/>
  <c r="F405" i="61"/>
  <c r="G405" i="61"/>
  <c r="F407" i="61"/>
  <c r="G407" i="61"/>
  <c r="F409" i="61"/>
  <c r="G409" i="61"/>
  <c r="F411" i="61"/>
  <c r="G411" i="61"/>
  <c r="F413" i="61"/>
  <c r="G413" i="61"/>
  <c r="F415" i="61"/>
  <c r="G415" i="61"/>
  <c r="F417" i="61"/>
  <c r="G417" i="61"/>
  <c r="F419" i="61"/>
  <c r="G419" i="61"/>
  <c r="F421" i="61"/>
  <c r="G421" i="61"/>
  <c r="F423" i="61"/>
  <c r="G423" i="61"/>
  <c r="F425" i="61"/>
  <c r="G425" i="61"/>
  <c r="F427" i="61"/>
  <c r="G427" i="61"/>
  <c r="F429" i="61"/>
  <c r="G429" i="61"/>
  <c r="E405" i="61"/>
  <c r="E407" i="61"/>
  <c r="E409" i="61"/>
  <c r="E411" i="61"/>
  <c r="E413" i="61"/>
  <c r="E415" i="61"/>
  <c r="E417" i="61"/>
  <c r="E419" i="61"/>
  <c r="E421" i="61"/>
  <c r="E423" i="61"/>
  <c r="E425" i="61"/>
  <c r="E427" i="61"/>
  <c r="E429" i="61"/>
  <c r="AI403" i="61"/>
  <c r="AH403" i="61"/>
  <c r="AF403" i="61"/>
  <c r="AE403" i="61"/>
  <c r="AD403" i="61"/>
  <c r="AC403" i="61"/>
  <c r="AA403" i="61"/>
  <c r="Z403" i="61"/>
  <c r="Y403" i="61"/>
  <c r="X403" i="61"/>
  <c r="V403" i="61"/>
  <c r="U403" i="61"/>
  <c r="T403" i="61"/>
  <c r="S403" i="61"/>
  <c r="Q403" i="61"/>
  <c r="P403" i="61"/>
  <c r="O403" i="61"/>
  <c r="N403" i="61"/>
  <c r="L403" i="61"/>
  <c r="K403" i="61"/>
  <c r="J403" i="61"/>
  <c r="H403" i="61"/>
  <c r="G403" i="61"/>
  <c r="F403" i="61"/>
  <c r="E403" i="61"/>
  <c r="AI401" i="61"/>
  <c r="AH401" i="61"/>
  <c r="AF401" i="61"/>
  <c r="AE401" i="61"/>
  <c r="AD401" i="61"/>
  <c r="AC401" i="61"/>
  <c r="AA401" i="61"/>
  <c r="Z401" i="61"/>
  <c r="Y401" i="61"/>
  <c r="X401" i="61"/>
  <c r="V401" i="61"/>
  <c r="U401" i="61"/>
  <c r="T401" i="61"/>
  <c r="S401" i="61"/>
  <c r="Q401" i="61"/>
  <c r="P401" i="61"/>
  <c r="O401" i="61"/>
  <c r="N401" i="61"/>
  <c r="L401" i="61"/>
  <c r="K401" i="61"/>
  <c r="J401" i="61"/>
  <c r="H401" i="61"/>
  <c r="G401" i="61"/>
  <c r="F401" i="61"/>
  <c r="E401" i="61"/>
  <c r="AP362" i="61"/>
  <c r="AP364" i="61"/>
  <c r="AP366" i="61"/>
  <c r="AP368" i="61"/>
  <c r="AP370" i="61"/>
  <c r="AP372" i="61"/>
  <c r="AP374" i="61"/>
  <c r="AP376" i="61"/>
  <c r="AP378" i="61"/>
  <c r="AP380" i="61"/>
  <c r="AP382" i="61"/>
  <c r="AP384" i="61"/>
  <c r="AP386" i="61"/>
  <c r="AP360" i="61"/>
  <c r="AP358" i="61"/>
  <c r="AJ360" i="61"/>
  <c r="AJ361" i="61"/>
  <c r="AJ362" i="61"/>
  <c r="AJ363" i="61"/>
  <c r="AJ364" i="61"/>
  <c r="AJ365" i="61"/>
  <c r="AJ366" i="61"/>
  <c r="AJ367" i="61"/>
  <c r="AJ368" i="61"/>
  <c r="AJ369" i="61"/>
  <c r="AJ370" i="61"/>
  <c r="AJ371" i="61"/>
  <c r="AJ372" i="61"/>
  <c r="AJ373" i="61"/>
  <c r="AJ374" i="61"/>
  <c r="AJ375" i="61"/>
  <c r="AJ376" i="61"/>
  <c r="AJ377" i="61"/>
  <c r="AJ378" i="61"/>
  <c r="AJ379" i="61"/>
  <c r="AJ380" i="61"/>
  <c r="AJ381" i="61"/>
  <c r="AJ382" i="61"/>
  <c r="AJ383" i="61"/>
  <c r="AJ384" i="61"/>
  <c r="AJ385" i="61"/>
  <c r="AJ386" i="61"/>
  <c r="AJ387" i="61"/>
  <c r="AJ359" i="61"/>
  <c r="AJ358" i="61"/>
  <c r="AH362" i="61"/>
  <c r="AI362" i="61"/>
  <c r="AH364" i="61"/>
  <c r="AI364" i="61"/>
  <c r="AH366" i="61"/>
  <c r="AI366" i="61"/>
  <c r="AH368" i="61"/>
  <c r="AI368" i="61"/>
  <c r="AH370" i="61"/>
  <c r="AI370" i="61"/>
  <c r="AH372" i="61"/>
  <c r="AI372" i="61"/>
  <c r="AH374" i="61"/>
  <c r="AI374" i="61"/>
  <c r="AH376" i="61"/>
  <c r="AI376" i="61"/>
  <c r="AH378" i="61"/>
  <c r="AI378" i="61"/>
  <c r="AH380" i="61"/>
  <c r="AI380" i="61"/>
  <c r="AH382" i="61"/>
  <c r="AI382" i="61"/>
  <c r="AH384" i="61"/>
  <c r="AI384" i="61"/>
  <c r="AH386" i="61"/>
  <c r="AI386" i="61"/>
  <c r="AF362" i="61"/>
  <c r="AF364" i="61"/>
  <c r="AF366" i="61"/>
  <c r="AF368" i="61"/>
  <c r="AF370" i="61"/>
  <c r="AF372" i="61"/>
  <c r="AF374" i="61"/>
  <c r="AF376" i="61"/>
  <c r="AF378" i="61"/>
  <c r="AF380" i="61"/>
  <c r="AF382" i="61"/>
  <c r="AF384" i="61"/>
  <c r="AF386" i="61"/>
  <c r="AC362" i="61"/>
  <c r="AD362" i="61"/>
  <c r="AE362" i="61"/>
  <c r="AC364" i="61"/>
  <c r="AD364" i="61"/>
  <c r="AE364" i="61"/>
  <c r="AC366" i="61"/>
  <c r="AD366" i="61"/>
  <c r="AE366" i="61"/>
  <c r="AC368" i="61"/>
  <c r="AD368" i="61"/>
  <c r="AE368" i="61"/>
  <c r="AC370" i="61"/>
  <c r="AD370" i="61"/>
  <c r="AE370" i="61"/>
  <c r="AC372" i="61"/>
  <c r="AD372" i="61"/>
  <c r="AE372" i="61"/>
  <c r="AC374" i="61"/>
  <c r="AD374" i="61"/>
  <c r="AE374" i="61"/>
  <c r="AC376" i="61"/>
  <c r="AD376" i="61"/>
  <c r="AE376" i="61"/>
  <c r="AC378" i="61"/>
  <c r="AD378" i="61"/>
  <c r="AE378" i="61"/>
  <c r="AC380" i="61"/>
  <c r="AD380" i="61"/>
  <c r="AE380" i="61"/>
  <c r="AC382" i="61"/>
  <c r="AD382" i="61"/>
  <c r="AE382" i="61"/>
  <c r="AC384" i="61"/>
  <c r="AD384" i="61"/>
  <c r="AE384" i="61"/>
  <c r="AC386" i="61"/>
  <c r="AD386" i="61"/>
  <c r="AE386" i="61"/>
  <c r="AA362" i="61"/>
  <c r="AA364" i="61"/>
  <c r="AA366" i="61"/>
  <c r="AA368" i="61"/>
  <c r="AA370" i="61"/>
  <c r="AA372" i="61"/>
  <c r="AA374" i="61"/>
  <c r="AA376" i="61"/>
  <c r="AA378" i="61"/>
  <c r="AA380" i="61"/>
  <c r="AA382" i="61"/>
  <c r="AA384" i="61"/>
  <c r="AA386" i="61"/>
  <c r="X362" i="61"/>
  <c r="Y362" i="61"/>
  <c r="Z362" i="61"/>
  <c r="X364" i="61"/>
  <c r="Y364" i="61"/>
  <c r="Z364" i="61"/>
  <c r="X366" i="61"/>
  <c r="Y366" i="61"/>
  <c r="Z366" i="61"/>
  <c r="X368" i="61"/>
  <c r="Y368" i="61"/>
  <c r="Z368" i="61"/>
  <c r="X370" i="61"/>
  <c r="Y370" i="61"/>
  <c r="Z370" i="61"/>
  <c r="X372" i="61"/>
  <c r="Y372" i="61"/>
  <c r="Z372" i="61"/>
  <c r="X374" i="61"/>
  <c r="Y374" i="61"/>
  <c r="Z374" i="61"/>
  <c r="X376" i="61"/>
  <c r="Y376" i="61"/>
  <c r="Z376" i="61"/>
  <c r="X378" i="61"/>
  <c r="Y378" i="61"/>
  <c r="Z378" i="61"/>
  <c r="X380" i="61"/>
  <c r="Y380" i="61"/>
  <c r="Z380" i="61"/>
  <c r="X382" i="61"/>
  <c r="Y382" i="61"/>
  <c r="Z382" i="61"/>
  <c r="X384" i="61"/>
  <c r="Y384" i="61"/>
  <c r="Z384" i="61"/>
  <c r="X386" i="61"/>
  <c r="Y386" i="61"/>
  <c r="Z386" i="61"/>
  <c r="V362" i="61"/>
  <c r="V364" i="61"/>
  <c r="V366" i="61"/>
  <c r="V368" i="61"/>
  <c r="V370" i="61"/>
  <c r="V372" i="61"/>
  <c r="V374" i="61"/>
  <c r="V376" i="61"/>
  <c r="V378" i="61"/>
  <c r="V380" i="61"/>
  <c r="V382" i="61"/>
  <c r="V384" i="61"/>
  <c r="V386" i="61"/>
  <c r="S362" i="61"/>
  <c r="T362" i="61"/>
  <c r="U362" i="61"/>
  <c r="S364" i="61"/>
  <c r="T364" i="61"/>
  <c r="U364" i="61"/>
  <c r="S366" i="61"/>
  <c r="T366" i="61"/>
  <c r="U366" i="61"/>
  <c r="S368" i="61"/>
  <c r="T368" i="61"/>
  <c r="U368" i="61"/>
  <c r="S370" i="61"/>
  <c r="T370" i="61"/>
  <c r="U370" i="61"/>
  <c r="S372" i="61"/>
  <c r="T372" i="61"/>
  <c r="U372" i="61"/>
  <c r="S374" i="61"/>
  <c r="T374" i="61"/>
  <c r="U374" i="61"/>
  <c r="S376" i="61"/>
  <c r="T376" i="61"/>
  <c r="U376" i="61"/>
  <c r="S378" i="61"/>
  <c r="T378" i="61"/>
  <c r="U378" i="61"/>
  <c r="S380" i="61"/>
  <c r="T380" i="61"/>
  <c r="U380" i="61"/>
  <c r="S382" i="61"/>
  <c r="T382" i="61"/>
  <c r="U382" i="61"/>
  <c r="S384" i="61"/>
  <c r="T384" i="61"/>
  <c r="U384" i="61"/>
  <c r="S386" i="61"/>
  <c r="T386" i="61"/>
  <c r="U386" i="61"/>
  <c r="Q362" i="61"/>
  <c r="Q364" i="61"/>
  <c r="Q366" i="61"/>
  <c r="Q368" i="61"/>
  <c r="Q370" i="61"/>
  <c r="Q372" i="61"/>
  <c r="Q374" i="61"/>
  <c r="Q376" i="61"/>
  <c r="Q378" i="61"/>
  <c r="Q380" i="61"/>
  <c r="Q382" i="61"/>
  <c r="Q384" i="61"/>
  <c r="Q386" i="61"/>
  <c r="N362" i="61"/>
  <c r="O362" i="61"/>
  <c r="P362" i="61"/>
  <c r="N364" i="61"/>
  <c r="O364" i="61"/>
  <c r="P364" i="61"/>
  <c r="N366" i="61"/>
  <c r="O366" i="61"/>
  <c r="P366" i="61"/>
  <c r="N368" i="61"/>
  <c r="O368" i="61"/>
  <c r="P368" i="61"/>
  <c r="N370" i="61"/>
  <c r="O370" i="61"/>
  <c r="P370" i="61"/>
  <c r="N372" i="61"/>
  <c r="O372" i="61"/>
  <c r="P372" i="61"/>
  <c r="N374" i="61"/>
  <c r="O374" i="61"/>
  <c r="P374" i="61"/>
  <c r="N376" i="61"/>
  <c r="O376" i="61"/>
  <c r="P376" i="61"/>
  <c r="N378" i="61"/>
  <c r="O378" i="61"/>
  <c r="P378" i="61"/>
  <c r="N380" i="61"/>
  <c r="O380" i="61"/>
  <c r="P380" i="61"/>
  <c r="N382" i="61"/>
  <c r="O382" i="61"/>
  <c r="P382" i="61"/>
  <c r="N384" i="61"/>
  <c r="O384" i="61"/>
  <c r="P384" i="61"/>
  <c r="N386" i="61"/>
  <c r="O386" i="61"/>
  <c r="P386" i="61"/>
  <c r="L362" i="61"/>
  <c r="L364" i="61"/>
  <c r="L366" i="61"/>
  <c r="L368" i="61"/>
  <c r="L370" i="61"/>
  <c r="L372" i="61"/>
  <c r="L374" i="61"/>
  <c r="L376" i="61"/>
  <c r="L378" i="61"/>
  <c r="L380" i="61"/>
  <c r="L382" i="61"/>
  <c r="L384" i="61"/>
  <c r="L386" i="61"/>
  <c r="J362" i="61"/>
  <c r="K362" i="61"/>
  <c r="J364" i="61"/>
  <c r="K364" i="61"/>
  <c r="J366" i="61"/>
  <c r="K366" i="61"/>
  <c r="J368" i="61"/>
  <c r="K368" i="61"/>
  <c r="J370" i="61"/>
  <c r="K370" i="61"/>
  <c r="J372" i="61"/>
  <c r="K372" i="61"/>
  <c r="J374" i="61"/>
  <c r="K374" i="61"/>
  <c r="J376" i="61"/>
  <c r="K376" i="61"/>
  <c r="J378" i="61"/>
  <c r="K378" i="61"/>
  <c r="J380" i="61"/>
  <c r="K380" i="61"/>
  <c r="J382" i="61"/>
  <c r="K382" i="61"/>
  <c r="J384" i="61"/>
  <c r="K384" i="61"/>
  <c r="J386" i="61"/>
  <c r="K386" i="61"/>
  <c r="H362" i="61"/>
  <c r="H364" i="61"/>
  <c r="H366" i="61"/>
  <c r="H368" i="61"/>
  <c r="H370" i="61"/>
  <c r="H372" i="61"/>
  <c r="H374" i="61"/>
  <c r="H376" i="61"/>
  <c r="H378" i="61"/>
  <c r="H380" i="61"/>
  <c r="H382" i="61"/>
  <c r="H384" i="61"/>
  <c r="H386" i="61"/>
  <c r="F362" i="61"/>
  <c r="G362" i="61"/>
  <c r="F364" i="61"/>
  <c r="G364" i="61"/>
  <c r="F366" i="61"/>
  <c r="G366" i="61"/>
  <c r="F368" i="61"/>
  <c r="G368" i="61"/>
  <c r="F370" i="61"/>
  <c r="G370" i="61"/>
  <c r="F372" i="61"/>
  <c r="G372" i="61"/>
  <c r="F374" i="61"/>
  <c r="G374" i="61"/>
  <c r="F376" i="61"/>
  <c r="G376" i="61"/>
  <c r="F378" i="61"/>
  <c r="G378" i="61"/>
  <c r="F380" i="61"/>
  <c r="G380" i="61"/>
  <c r="F382" i="61"/>
  <c r="G382" i="61"/>
  <c r="F384" i="61"/>
  <c r="G384" i="61"/>
  <c r="F386" i="61"/>
  <c r="G386" i="61"/>
  <c r="E362" i="61"/>
  <c r="E364" i="61"/>
  <c r="E366" i="61"/>
  <c r="E368" i="61"/>
  <c r="E370" i="61"/>
  <c r="E372" i="61"/>
  <c r="E374" i="61"/>
  <c r="E376" i="61"/>
  <c r="E378" i="61"/>
  <c r="E380" i="61"/>
  <c r="E382" i="61"/>
  <c r="E384" i="61"/>
  <c r="E386" i="61"/>
  <c r="AI360" i="61"/>
  <c r="AH360" i="61"/>
  <c r="AF360" i="61"/>
  <c r="AE360" i="61"/>
  <c r="AD360" i="61"/>
  <c r="AC360" i="61"/>
  <c r="AA360" i="61"/>
  <c r="Z360" i="61"/>
  <c r="Y360" i="61"/>
  <c r="X360" i="61"/>
  <c r="V360" i="61"/>
  <c r="U360" i="61"/>
  <c r="T360" i="61"/>
  <c r="S360" i="61"/>
  <c r="Q360" i="61"/>
  <c r="P360" i="61"/>
  <c r="O360" i="61"/>
  <c r="N360" i="61"/>
  <c r="L360" i="61"/>
  <c r="K360" i="61"/>
  <c r="J360" i="61"/>
  <c r="H360" i="61"/>
  <c r="G360" i="61"/>
  <c r="F360" i="61"/>
  <c r="E360" i="61"/>
  <c r="AI358" i="61"/>
  <c r="AH358" i="61"/>
  <c r="AF358" i="61"/>
  <c r="AE358" i="61"/>
  <c r="AD358" i="61"/>
  <c r="AC358" i="61"/>
  <c r="AA358" i="61"/>
  <c r="Z358" i="61"/>
  <c r="Y358" i="61"/>
  <c r="X358" i="61"/>
  <c r="V358" i="61"/>
  <c r="U358" i="61"/>
  <c r="T358" i="61"/>
  <c r="S358" i="61"/>
  <c r="Q358" i="61"/>
  <c r="P358" i="61"/>
  <c r="O358" i="61"/>
  <c r="N358" i="61"/>
  <c r="L358" i="61"/>
  <c r="K358" i="61"/>
  <c r="J358" i="61"/>
  <c r="H358" i="61"/>
  <c r="G358" i="61"/>
  <c r="F358" i="61"/>
  <c r="E358" i="61"/>
  <c r="AP319" i="61"/>
  <c r="AP321" i="61"/>
  <c r="AP323" i="61"/>
  <c r="AP325" i="61"/>
  <c r="AP327" i="61"/>
  <c r="AP329" i="61"/>
  <c r="AP331" i="61"/>
  <c r="AP333" i="61"/>
  <c r="AP335" i="61"/>
  <c r="AP337" i="61"/>
  <c r="AP339" i="61"/>
  <c r="AP341" i="61"/>
  <c r="AP343" i="61"/>
  <c r="AP317" i="61"/>
  <c r="AP315" i="61"/>
  <c r="AJ317" i="61"/>
  <c r="AJ318" i="61"/>
  <c r="AJ319" i="61"/>
  <c r="AJ320" i="61"/>
  <c r="AJ321" i="61"/>
  <c r="AJ322" i="61"/>
  <c r="AJ323" i="61"/>
  <c r="AJ324" i="61"/>
  <c r="AJ325" i="61"/>
  <c r="AJ326" i="61"/>
  <c r="AJ327" i="61"/>
  <c r="AJ328" i="61"/>
  <c r="AJ329" i="61"/>
  <c r="AJ330" i="61"/>
  <c r="AJ331" i="61"/>
  <c r="AJ332" i="61"/>
  <c r="AJ333" i="61"/>
  <c r="AJ334" i="61"/>
  <c r="AJ335" i="61"/>
  <c r="AJ336" i="61"/>
  <c r="AJ337" i="61"/>
  <c r="AJ338" i="61"/>
  <c r="AJ339" i="61"/>
  <c r="AJ340" i="61"/>
  <c r="AJ341" i="61"/>
  <c r="AJ342" i="61"/>
  <c r="AJ343" i="61"/>
  <c r="AJ344" i="61"/>
  <c r="AJ316" i="61"/>
  <c r="AJ315" i="61"/>
  <c r="E319" i="61"/>
  <c r="E321" i="61"/>
  <c r="E323" i="61"/>
  <c r="E325" i="61"/>
  <c r="E327" i="61"/>
  <c r="E329" i="61"/>
  <c r="E331" i="61"/>
  <c r="E333" i="61"/>
  <c r="E335" i="61"/>
  <c r="E337" i="61"/>
  <c r="E339" i="61"/>
  <c r="E341" i="61"/>
  <c r="E343" i="61"/>
  <c r="AH319" i="61"/>
  <c r="AI319" i="61"/>
  <c r="AH321" i="61"/>
  <c r="AI321" i="61"/>
  <c r="AH323" i="61"/>
  <c r="AI323" i="61"/>
  <c r="AH325" i="61"/>
  <c r="AI325" i="61"/>
  <c r="AH327" i="61"/>
  <c r="AI327" i="61"/>
  <c r="AH329" i="61"/>
  <c r="AI329" i="61"/>
  <c r="AH331" i="61"/>
  <c r="AI331" i="61"/>
  <c r="AH333" i="61"/>
  <c r="AI333" i="61"/>
  <c r="AH335" i="61"/>
  <c r="AI335" i="61"/>
  <c r="AH337" i="61"/>
  <c r="AI337" i="61"/>
  <c r="AH339" i="61"/>
  <c r="AI339" i="61"/>
  <c r="AH341" i="61"/>
  <c r="AI341" i="61"/>
  <c r="AH343" i="61"/>
  <c r="AI343" i="61"/>
  <c r="AF319" i="61"/>
  <c r="AF321" i="61"/>
  <c r="AF323" i="61"/>
  <c r="AF325" i="61"/>
  <c r="AF327" i="61"/>
  <c r="AF329" i="61"/>
  <c r="AF331" i="61"/>
  <c r="AF333" i="61"/>
  <c r="AF335" i="61"/>
  <c r="AF337" i="61"/>
  <c r="AF339" i="61"/>
  <c r="AF341" i="61"/>
  <c r="AF343" i="61"/>
  <c r="AC319" i="61"/>
  <c r="AD319" i="61"/>
  <c r="AE319" i="61"/>
  <c r="AC321" i="61"/>
  <c r="AD321" i="61"/>
  <c r="AE321" i="61"/>
  <c r="AC323" i="61"/>
  <c r="AD323" i="61"/>
  <c r="AE323" i="61"/>
  <c r="AC325" i="61"/>
  <c r="AD325" i="61"/>
  <c r="AE325" i="61"/>
  <c r="AC327" i="61"/>
  <c r="AD327" i="61"/>
  <c r="AE327" i="61"/>
  <c r="AC329" i="61"/>
  <c r="AD329" i="61"/>
  <c r="AE329" i="61"/>
  <c r="AC331" i="61"/>
  <c r="AD331" i="61"/>
  <c r="AE331" i="61"/>
  <c r="AC333" i="61"/>
  <c r="AD333" i="61"/>
  <c r="AE333" i="61"/>
  <c r="AC335" i="61"/>
  <c r="AD335" i="61"/>
  <c r="AE335" i="61"/>
  <c r="AC337" i="61"/>
  <c r="AD337" i="61"/>
  <c r="AE337" i="61"/>
  <c r="AC339" i="61"/>
  <c r="AD339" i="61"/>
  <c r="AE339" i="61"/>
  <c r="AC341" i="61"/>
  <c r="AD341" i="61"/>
  <c r="AE341" i="61"/>
  <c r="AC343" i="61"/>
  <c r="AD343" i="61"/>
  <c r="AE343" i="61"/>
  <c r="AA319" i="61"/>
  <c r="AA321" i="61"/>
  <c r="AA323" i="61"/>
  <c r="AA325" i="61"/>
  <c r="AA327" i="61"/>
  <c r="AA329" i="61"/>
  <c r="AA331" i="61"/>
  <c r="AA333" i="61"/>
  <c r="AA335" i="61"/>
  <c r="AA337" i="61"/>
  <c r="AA339" i="61"/>
  <c r="AA341" i="61"/>
  <c r="AA343" i="61"/>
  <c r="X319" i="61"/>
  <c r="Y319" i="61"/>
  <c r="Z319" i="61"/>
  <c r="X321" i="61"/>
  <c r="Y321" i="61"/>
  <c r="Z321" i="61"/>
  <c r="X323" i="61"/>
  <c r="Y323" i="61"/>
  <c r="Z323" i="61"/>
  <c r="X325" i="61"/>
  <c r="Y325" i="61"/>
  <c r="Z325" i="61"/>
  <c r="X327" i="61"/>
  <c r="Y327" i="61"/>
  <c r="Z327" i="61"/>
  <c r="X329" i="61"/>
  <c r="Y329" i="61"/>
  <c r="Z329" i="61"/>
  <c r="X331" i="61"/>
  <c r="Y331" i="61"/>
  <c r="Z331" i="61"/>
  <c r="X333" i="61"/>
  <c r="Y333" i="61"/>
  <c r="Z333" i="61"/>
  <c r="X335" i="61"/>
  <c r="Y335" i="61"/>
  <c r="Z335" i="61"/>
  <c r="X337" i="61"/>
  <c r="Y337" i="61"/>
  <c r="Z337" i="61"/>
  <c r="X339" i="61"/>
  <c r="Y339" i="61"/>
  <c r="Z339" i="61"/>
  <c r="X341" i="61"/>
  <c r="Y341" i="61"/>
  <c r="Z341" i="61"/>
  <c r="X343" i="61"/>
  <c r="Y343" i="61"/>
  <c r="Z343" i="61"/>
  <c r="V319" i="61"/>
  <c r="V321" i="61"/>
  <c r="V323" i="61"/>
  <c r="V325" i="61"/>
  <c r="V327" i="61"/>
  <c r="V329" i="61"/>
  <c r="V331" i="61"/>
  <c r="V333" i="61"/>
  <c r="V335" i="61"/>
  <c r="V337" i="61"/>
  <c r="V339" i="61"/>
  <c r="V341" i="61"/>
  <c r="V343" i="61"/>
  <c r="S319" i="61"/>
  <c r="T319" i="61"/>
  <c r="U319" i="61"/>
  <c r="S321" i="61"/>
  <c r="T321" i="61"/>
  <c r="U321" i="61"/>
  <c r="S323" i="61"/>
  <c r="T323" i="61"/>
  <c r="U323" i="61"/>
  <c r="S325" i="61"/>
  <c r="T325" i="61"/>
  <c r="U325" i="61"/>
  <c r="S327" i="61"/>
  <c r="T327" i="61"/>
  <c r="U327" i="61"/>
  <c r="S329" i="61"/>
  <c r="T329" i="61"/>
  <c r="U329" i="61"/>
  <c r="S331" i="61"/>
  <c r="T331" i="61"/>
  <c r="U331" i="61"/>
  <c r="S333" i="61"/>
  <c r="T333" i="61"/>
  <c r="U333" i="61"/>
  <c r="S335" i="61"/>
  <c r="T335" i="61"/>
  <c r="U335" i="61"/>
  <c r="S337" i="61"/>
  <c r="T337" i="61"/>
  <c r="U337" i="61"/>
  <c r="S339" i="61"/>
  <c r="T339" i="61"/>
  <c r="U339" i="61"/>
  <c r="S341" i="61"/>
  <c r="T341" i="61"/>
  <c r="U341" i="61"/>
  <c r="S343" i="61"/>
  <c r="T343" i="61"/>
  <c r="U343" i="61"/>
  <c r="S315" i="61"/>
  <c r="Q319" i="61"/>
  <c r="Q321" i="61"/>
  <c r="Q323" i="61"/>
  <c r="Q325" i="61"/>
  <c r="Q327" i="61"/>
  <c r="Q329" i="61"/>
  <c r="Q331" i="61"/>
  <c r="Q333" i="61"/>
  <c r="Q335" i="61"/>
  <c r="Q337" i="61"/>
  <c r="Q339" i="61"/>
  <c r="Q341" i="61"/>
  <c r="Q343" i="61"/>
  <c r="N319" i="61"/>
  <c r="O319" i="61"/>
  <c r="P319" i="61"/>
  <c r="N321" i="61"/>
  <c r="O321" i="61"/>
  <c r="P321" i="61"/>
  <c r="N323" i="61"/>
  <c r="O323" i="61"/>
  <c r="P323" i="61"/>
  <c r="N325" i="61"/>
  <c r="O325" i="61"/>
  <c r="P325" i="61"/>
  <c r="N327" i="61"/>
  <c r="O327" i="61"/>
  <c r="P327" i="61"/>
  <c r="N329" i="61"/>
  <c r="O329" i="61"/>
  <c r="P329" i="61"/>
  <c r="N331" i="61"/>
  <c r="O331" i="61"/>
  <c r="P331" i="61"/>
  <c r="N333" i="61"/>
  <c r="O333" i="61"/>
  <c r="P333" i="61"/>
  <c r="N335" i="61"/>
  <c r="O335" i="61"/>
  <c r="P335" i="61"/>
  <c r="N337" i="61"/>
  <c r="O337" i="61"/>
  <c r="P337" i="61"/>
  <c r="N339" i="61"/>
  <c r="O339" i="61"/>
  <c r="P339" i="61"/>
  <c r="N341" i="61"/>
  <c r="O341" i="61"/>
  <c r="P341" i="61"/>
  <c r="N343" i="61"/>
  <c r="O343" i="61"/>
  <c r="P343" i="61"/>
  <c r="L319" i="61"/>
  <c r="L321" i="61"/>
  <c r="L323" i="61"/>
  <c r="L325" i="61"/>
  <c r="L327" i="61"/>
  <c r="L329" i="61"/>
  <c r="L331" i="61"/>
  <c r="L333" i="61"/>
  <c r="L335" i="61"/>
  <c r="L337" i="61"/>
  <c r="L339" i="61"/>
  <c r="L341" i="61"/>
  <c r="L343" i="61"/>
  <c r="J319" i="61"/>
  <c r="K319" i="61"/>
  <c r="J321" i="61"/>
  <c r="K321" i="61"/>
  <c r="J323" i="61"/>
  <c r="K323" i="61"/>
  <c r="J325" i="61"/>
  <c r="K325" i="61"/>
  <c r="J327" i="61"/>
  <c r="K327" i="61"/>
  <c r="J329" i="61"/>
  <c r="K329" i="61"/>
  <c r="J331" i="61"/>
  <c r="K331" i="61"/>
  <c r="J333" i="61"/>
  <c r="K333" i="61"/>
  <c r="J335" i="61"/>
  <c r="K335" i="61"/>
  <c r="J337" i="61"/>
  <c r="K337" i="61"/>
  <c r="J339" i="61"/>
  <c r="K339" i="61"/>
  <c r="J341" i="61"/>
  <c r="K341" i="61"/>
  <c r="J343" i="61"/>
  <c r="K343" i="61"/>
  <c r="H319" i="61"/>
  <c r="H321" i="61"/>
  <c r="H323" i="61"/>
  <c r="H325" i="61"/>
  <c r="H327" i="61"/>
  <c r="H329" i="61"/>
  <c r="H331" i="61"/>
  <c r="H333" i="61"/>
  <c r="H335" i="61"/>
  <c r="H337" i="61"/>
  <c r="H339" i="61"/>
  <c r="H341" i="61"/>
  <c r="H343" i="61"/>
  <c r="F319" i="61"/>
  <c r="G319" i="61"/>
  <c r="F321" i="61"/>
  <c r="G321" i="61"/>
  <c r="F323" i="61"/>
  <c r="G323" i="61"/>
  <c r="F325" i="61"/>
  <c r="G325" i="61"/>
  <c r="F327" i="61"/>
  <c r="G327" i="61"/>
  <c r="F329" i="61"/>
  <c r="G329" i="61"/>
  <c r="F331" i="61"/>
  <c r="G331" i="61"/>
  <c r="F333" i="61"/>
  <c r="G333" i="61"/>
  <c r="F335" i="61"/>
  <c r="G335" i="61"/>
  <c r="F337" i="61"/>
  <c r="G337" i="61"/>
  <c r="F339" i="61"/>
  <c r="G339" i="61"/>
  <c r="F341" i="61"/>
  <c r="G341" i="61"/>
  <c r="F343" i="61"/>
  <c r="G343" i="61"/>
  <c r="AI317" i="61"/>
  <c r="AH317" i="61"/>
  <c r="AF317" i="61"/>
  <c r="AE317" i="61"/>
  <c r="AD317" i="61"/>
  <c r="AC317" i="61"/>
  <c r="AA317" i="61"/>
  <c r="Z317" i="61"/>
  <c r="Y317" i="61"/>
  <c r="X317" i="61"/>
  <c r="V317" i="61"/>
  <c r="U317" i="61"/>
  <c r="T317" i="61"/>
  <c r="S317" i="61"/>
  <c r="Q317" i="61"/>
  <c r="P317" i="61"/>
  <c r="O317" i="61"/>
  <c r="N317" i="61"/>
  <c r="L317" i="61"/>
  <c r="K317" i="61"/>
  <c r="J317" i="61"/>
  <c r="H317" i="61"/>
  <c r="G317" i="61"/>
  <c r="F317" i="61"/>
  <c r="E317" i="61"/>
  <c r="AI315" i="61"/>
  <c r="AH315" i="61"/>
  <c r="AF315" i="61"/>
  <c r="AE315" i="61"/>
  <c r="AD315" i="61"/>
  <c r="AC315" i="61"/>
  <c r="AA315" i="61"/>
  <c r="Z315" i="61"/>
  <c r="Y315" i="61"/>
  <c r="X315" i="61"/>
  <c r="V315" i="61"/>
  <c r="U315" i="61"/>
  <c r="T315" i="61"/>
  <c r="Q315" i="61"/>
  <c r="P315" i="61"/>
  <c r="O315" i="61"/>
  <c r="N315" i="61"/>
  <c r="L315" i="61"/>
  <c r="K315" i="61"/>
  <c r="J315" i="61"/>
  <c r="H315" i="61"/>
  <c r="G315" i="61"/>
  <c r="F315" i="61"/>
  <c r="E315" i="61"/>
  <c r="AP276" i="61"/>
  <c r="AP278" i="61"/>
  <c r="AP280" i="61"/>
  <c r="AP282" i="61"/>
  <c r="AP284" i="61"/>
  <c r="AP286" i="61"/>
  <c r="AP288" i="61"/>
  <c r="AP290" i="61"/>
  <c r="AP292" i="61"/>
  <c r="AP294" i="61"/>
  <c r="AP296" i="61"/>
  <c r="AP298" i="61"/>
  <c r="AP300" i="61"/>
  <c r="AP274" i="61"/>
  <c r="AP272" i="61"/>
  <c r="AJ274" i="61"/>
  <c r="AJ275" i="61"/>
  <c r="AJ276" i="61"/>
  <c r="AJ277" i="61"/>
  <c r="AJ278" i="61"/>
  <c r="AJ279" i="61"/>
  <c r="AJ280" i="61"/>
  <c r="AJ281" i="61"/>
  <c r="AJ282" i="61"/>
  <c r="AJ283" i="61"/>
  <c r="AJ284" i="61"/>
  <c r="AJ285" i="61"/>
  <c r="AJ286" i="61"/>
  <c r="AJ287" i="61"/>
  <c r="AJ288" i="61"/>
  <c r="AJ289" i="61"/>
  <c r="AJ290" i="61"/>
  <c r="AJ291" i="61"/>
  <c r="AJ292" i="61"/>
  <c r="AJ293" i="61"/>
  <c r="AJ294" i="61"/>
  <c r="AJ295" i="61"/>
  <c r="AJ296" i="61"/>
  <c r="AJ297" i="61"/>
  <c r="AJ298" i="61"/>
  <c r="AJ299" i="61"/>
  <c r="AJ300" i="61"/>
  <c r="AJ301" i="61"/>
  <c r="AJ273" i="61"/>
  <c r="AJ272" i="61"/>
  <c r="AH276" i="61"/>
  <c r="AI276" i="61"/>
  <c r="AH278" i="61"/>
  <c r="AI278" i="61"/>
  <c r="AH280" i="61"/>
  <c r="AI280" i="61"/>
  <c r="AH282" i="61"/>
  <c r="AI282" i="61"/>
  <c r="AH284" i="61"/>
  <c r="AI284" i="61"/>
  <c r="AH286" i="61"/>
  <c r="AI286" i="61"/>
  <c r="AH288" i="61"/>
  <c r="AI288" i="61"/>
  <c r="AH290" i="61"/>
  <c r="AI290" i="61"/>
  <c r="AH292" i="61"/>
  <c r="AI292" i="61"/>
  <c r="AH294" i="61"/>
  <c r="AI294" i="61"/>
  <c r="AH296" i="61"/>
  <c r="AI296" i="61"/>
  <c r="AH298" i="61"/>
  <c r="AI298" i="61"/>
  <c r="AH300" i="61"/>
  <c r="AI300" i="61"/>
  <c r="AF276" i="61"/>
  <c r="AF278" i="61"/>
  <c r="AF280" i="61"/>
  <c r="AF282" i="61"/>
  <c r="AF284" i="61"/>
  <c r="AF286" i="61"/>
  <c r="AF288" i="61"/>
  <c r="AF290" i="61"/>
  <c r="AF292" i="61"/>
  <c r="AF294" i="61"/>
  <c r="AF296" i="61"/>
  <c r="AF298" i="61"/>
  <c r="AF300" i="61"/>
  <c r="AC276" i="61"/>
  <c r="AD276" i="61"/>
  <c r="AE276" i="61"/>
  <c r="AC278" i="61"/>
  <c r="AD278" i="61"/>
  <c r="AE278" i="61"/>
  <c r="AC280" i="61"/>
  <c r="AD280" i="61"/>
  <c r="AE280" i="61"/>
  <c r="AC282" i="61"/>
  <c r="AD282" i="61"/>
  <c r="AE282" i="61"/>
  <c r="AC284" i="61"/>
  <c r="AD284" i="61"/>
  <c r="AE284" i="61"/>
  <c r="AC286" i="61"/>
  <c r="AD286" i="61"/>
  <c r="AE286" i="61"/>
  <c r="AC288" i="61"/>
  <c r="AD288" i="61"/>
  <c r="AE288" i="61"/>
  <c r="AC290" i="61"/>
  <c r="AD290" i="61"/>
  <c r="AE290" i="61"/>
  <c r="AC292" i="61"/>
  <c r="AD292" i="61"/>
  <c r="AE292" i="61"/>
  <c r="AC294" i="61"/>
  <c r="AD294" i="61"/>
  <c r="AE294" i="61"/>
  <c r="AC296" i="61"/>
  <c r="AD296" i="61"/>
  <c r="AE296" i="61"/>
  <c r="AC298" i="61"/>
  <c r="AD298" i="61"/>
  <c r="AE298" i="61"/>
  <c r="AC300" i="61"/>
  <c r="AD300" i="61"/>
  <c r="AE300" i="61"/>
  <c r="AA276" i="61"/>
  <c r="AA278" i="61"/>
  <c r="AA280" i="61"/>
  <c r="AA282" i="61"/>
  <c r="AA284" i="61"/>
  <c r="AA286" i="61"/>
  <c r="AA288" i="61"/>
  <c r="AA290" i="61"/>
  <c r="AA292" i="61"/>
  <c r="AA294" i="61"/>
  <c r="AA296" i="61"/>
  <c r="AA298" i="61"/>
  <c r="AA300" i="61"/>
  <c r="X276" i="61"/>
  <c r="Y276" i="61"/>
  <c r="Z276" i="61"/>
  <c r="X278" i="61"/>
  <c r="Y278" i="61"/>
  <c r="Z278" i="61"/>
  <c r="X280" i="61"/>
  <c r="Y280" i="61"/>
  <c r="Z280" i="61"/>
  <c r="X282" i="61"/>
  <c r="Y282" i="61"/>
  <c r="Z282" i="61"/>
  <c r="X284" i="61"/>
  <c r="Y284" i="61"/>
  <c r="Z284" i="61"/>
  <c r="X286" i="61"/>
  <c r="Y286" i="61"/>
  <c r="Z286" i="61"/>
  <c r="X288" i="61"/>
  <c r="Y288" i="61"/>
  <c r="Z288" i="61"/>
  <c r="X290" i="61"/>
  <c r="Y290" i="61"/>
  <c r="Z290" i="61"/>
  <c r="X292" i="61"/>
  <c r="Y292" i="61"/>
  <c r="Z292" i="61"/>
  <c r="X294" i="61"/>
  <c r="Y294" i="61"/>
  <c r="Z294" i="61"/>
  <c r="X296" i="61"/>
  <c r="Y296" i="61"/>
  <c r="Z296" i="61"/>
  <c r="X298" i="61"/>
  <c r="Y298" i="61"/>
  <c r="Z298" i="61"/>
  <c r="X300" i="61"/>
  <c r="Y300" i="61"/>
  <c r="Z300" i="61"/>
  <c r="V276" i="61"/>
  <c r="V278" i="61"/>
  <c r="V280" i="61"/>
  <c r="V282" i="61"/>
  <c r="V284" i="61"/>
  <c r="V286" i="61"/>
  <c r="V288" i="61"/>
  <c r="V290" i="61"/>
  <c r="V292" i="61"/>
  <c r="V294" i="61"/>
  <c r="V296" i="61"/>
  <c r="V298" i="61"/>
  <c r="V300" i="61"/>
  <c r="S276" i="61"/>
  <c r="T276" i="61"/>
  <c r="U276" i="61"/>
  <c r="S278" i="61"/>
  <c r="T278" i="61"/>
  <c r="U278" i="61"/>
  <c r="S280" i="61"/>
  <c r="T280" i="61"/>
  <c r="U280" i="61"/>
  <c r="S282" i="61"/>
  <c r="T282" i="61"/>
  <c r="U282" i="61"/>
  <c r="S284" i="61"/>
  <c r="T284" i="61"/>
  <c r="U284" i="61"/>
  <c r="S286" i="61"/>
  <c r="T286" i="61"/>
  <c r="U286" i="61"/>
  <c r="S288" i="61"/>
  <c r="T288" i="61"/>
  <c r="U288" i="61"/>
  <c r="S290" i="61"/>
  <c r="T290" i="61"/>
  <c r="U290" i="61"/>
  <c r="S292" i="61"/>
  <c r="T292" i="61"/>
  <c r="U292" i="61"/>
  <c r="S294" i="61"/>
  <c r="T294" i="61"/>
  <c r="U294" i="61"/>
  <c r="S296" i="61"/>
  <c r="T296" i="61"/>
  <c r="U296" i="61"/>
  <c r="S298" i="61"/>
  <c r="T298" i="61"/>
  <c r="U298" i="61"/>
  <c r="S300" i="61"/>
  <c r="T300" i="61"/>
  <c r="U300" i="61"/>
  <c r="Q276" i="61"/>
  <c r="Q278" i="61"/>
  <c r="Q280" i="61"/>
  <c r="Q282" i="61"/>
  <c r="Q284" i="61"/>
  <c r="Q286" i="61"/>
  <c r="Q288" i="61"/>
  <c r="Q290" i="61"/>
  <c r="Q292" i="61"/>
  <c r="Q294" i="61"/>
  <c r="Q296" i="61"/>
  <c r="Q298" i="61"/>
  <c r="Q300" i="61"/>
  <c r="N276" i="61"/>
  <c r="O276" i="61"/>
  <c r="P276" i="61"/>
  <c r="N278" i="61"/>
  <c r="O278" i="61"/>
  <c r="P278" i="61"/>
  <c r="N280" i="61"/>
  <c r="O280" i="61"/>
  <c r="P280" i="61"/>
  <c r="N282" i="61"/>
  <c r="O282" i="61"/>
  <c r="P282" i="61"/>
  <c r="N284" i="61"/>
  <c r="O284" i="61"/>
  <c r="P284" i="61"/>
  <c r="N286" i="61"/>
  <c r="O286" i="61"/>
  <c r="P286" i="61"/>
  <c r="N288" i="61"/>
  <c r="O288" i="61"/>
  <c r="P288" i="61"/>
  <c r="N290" i="61"/>
  <c r="O290" i="61"/>
  <c r="P290" i="61"/>
  <c r="N292" i="61"/>
  <c r="O292" i="61"/>
  <c r="P292" i="61"/>
  <c r="N294" i="61"/>
  <c r="O294" i="61"/>
  <c r="P294" i="61"/>
  <c r="N296" i="61"/>
  <c r="O296" i="61"/>
  <c r="P296" i="61"/>
  <c r="N298" i="61"/>
  <c r="O298" i="61"/>
  <c r="P298" i="61"/>
  <c r="N300" i="61"/>
  <c r="O300" i="61"/>
  <c r="P300" i="61"/>
  <c r="L276" i="61"/>
  <c r="L278" i="61"/>
  <c r="L280" i="61"/>
  <c r="L282" i="61"/>
  <c r="L284" i="61"/>
  <c r="L286" i="61"/>
  <c r="L288" i="61"/>
  <c r="L290" i="61"/>
  <c r="L292" i="61"/>
  <c r="L294" i="61"/>
  <c r="L296" i="61"/>
  <c r="L298" i="61"/>
  <c r="L300" i="61"/>
  <c r="J276" i="61"/>
  <c r="K276" i="61"/>
  <c r="J278" i="61"/>
  <c r="K278" i="61"/>
  <c r="J280" i="61"/>
  <c r="K280" i="61"/>
  <c r="J282" i="61"/>
  <c r="K282" i="61"/>
  <c r="J284" i="61"/>
  <c r="K284" i="61"/>
  <c r="J286" i="61"/>
  <c r="K286" i="61"/>
  <c r="J288" i="61"/>
  <c r="K288" i="61"/>
  <c r="J290" i="61"/>
  <c r="K290" i="61"/>
  <c r="J292" i="61"/>
  <c r="K292" i="61"/>
  <c r="J294" i="61"/>
  <c r="K294" i="61"/>
  <c r="J296" i="61"/>
  <c r="K296" i="61"/>
  <c r="J298" i="61"/>
  <c r="K298" i="61"/>
  <c r="J300" i="61"/>
  <c r="K300" i="61"/>
  <c r="H276" i="61"/>
  <c r="H278" i="61"/>
  <c r="H280" i="61"/>
  <c r="H282" i="61"/>
  <c r="H284" i="61"/>
  <c r="H286" i="61"/>
  <c r="H288" i="61"/>
  <c r="H290" i="61"/>
  <c r="H292" i="61"/>
  <c r="H294" i="61"/>
  <c r="H296" i="61"/>
  <c r="H298" i="61"/>
  <c r="H300" i="61"/>
  <c r="F276" i="61"/>
  <c r="G276" i="61"/>
  <c r="F278" i="61"/>
  <c r="G278" i="61"/>
  <c r="F280" i="61"/>
  <c r="G280" i="61"/>
  <c r="F282" i="61"/>
  <c r="G282" i="61"/>
  <c r="F284" i="61"/>
  <c r="G284" i="61"/>
  <c r="F286" i="61"/>
  <c r="G286" i="61"/>
  <c r="F288" i="61"/>
  <c r="G288" i="61"/>
  <c r="F290" i="61"/>
  <c r="G290" i="61"/>
  <c r="F292" i="61"/>
  <c r="G292" i="61"/>
  <c r="F294" i="61"/>
  <c r="G294" i="61"/>
  <c r="F296" i="61"/>
  <c r="G296" i="61"/>
  <c r="F298" i="61"/>
  <c r="G298" i="61"/>
  <c r="F300" i="61"/>
  <c r="G300" i="61"/>
  <c r="E276" i="61"/>
  <c r="E278" i="61"/>
  <c r="E280" i="61"/>
  <c r="E282" i="61"/>
  <c r="E284" i="61"/>
  <c r="E286" i="61"/>
  <c r="E288" i="61"/>
  <c r="E290" i="61"/>
  <c r="E292" i="61"/>
  <c r="E294" i="61"/>
  <c r="E296" i="61"/>
  <c r="E298" i="61"/>
  <c r="E300" i="61"/>
  <c r="AI274" i="61"/>
  <c r="AH274" i="61"/>
  <c r="AF274" i="61"/>
  <c r="AE274" i="61"/>
  <c r="AD274" i="61"/>
  <c r="AC274" i="61"/>
  <c r="AA274" i="61"/>
  <c r="Z274" i="61"/>
  <c r="Y274" i="61"/>
  <c r="X274" i="61"/>
  <c r="V274" i="61"/>
  <c r="U274" i="61"/>
  <c r="T274" i="61"/>
  <c r="S274" i="61"/>
  <c r="Q274" i="61"/>
  <c r="P274" i="61"/>
  <c r="O274" i="61"/>
  <c r="N274" i="61"/>
  <c r="L274" i="61"/>
  <c r="K274" i="61"/>
  <c r="J274" i="61"/>
  <c r="H274" i="61"/>
  <c r="G274" i="61"/>
  <c r="F274" i="61"/>
  <c r="E274" i="61"/>
  <c r="AI272" i="61"/>
  <c r="AH272" i="61"/>
  <c r="AF272" i="61"/>
  <c r="AE272" i="61"/>
  <c r="AD272" i="61"/>
  <c r="AC272" i="61"/>
  <c r="AA272" i="61"/>
  <c r="Z272" i="61"/>
  <c r="Y272" i="61"/>
  <c r="X272" i="61"/>
  <c r="V272" i="61"/>
  <c r="U272" i="61"/>
  <c r="T272" i="61"/>
  <c r="S272" i="61"/>
  <c r="Q272" i="61"/>
  <c r="P272" i="61"/>
  <c r="O272" i="61"/>
  <c r="N272" i="61"/>
  <c r="L272" i="61"/>
  <c r="K272" i="61"/>
  <c r="J272" i="61"/>
  <c r="H272" i="61"/>
  <c r="G272" i="61"/>
  <c r="F272" i="61"/>
  <c r="E272" i="61"/>
  <c r="AP233" i="61"/>
  <c r="AP235" i="61"/>
  <c r="AP237" i="61"/>
  <c r="AP239" i="61"/>
  <c r="AP241" i="61"/>
  <c r="AP243" i="61"/>
  <c r="AP245" i="61"/>
  <c r="AP247" i="61"/>
  <c r="AP249" i="61"/>
  <c r="AP251" i="61"/>
  <c r="AP253" i="61"/>
  <c r="AP255" i="61"/>
  <c r="AP257" i="61"/>
  <c r="AP231" i="61"/>
  <c r="AP229" i="61"/>
  <c r="AJ231" i="61"/>
  <c r="AJ232" i="61"/>
  <c r="AJ233" i="61"/>
  <c r="AJ234" i="61"/>
  <c r="AJ235" i="61"/>
  <c r="AJ236" i="61"/>
  <c r="AJ237" i="61"/>
  <c r="AJ238" i="61"/>
  <c r="AJ239" i="61"/>
  <c r="AJ240" i="61"/>
  <c r="AJ241" i="61"/>
  <c r="AJ242" i="61"/>
  <c r="AJ243" i="61"/>
  <c r="AJ244" i="61"/>
  <c r="AJ245" i="61"/>
  <c r="AJ246" i="61"/>
  <c r="AJ247" i="61"/>
  <c r="AJ248" i="61"/>
  <c r="AJ249" i="61"/>
  <c r="AJ250" i="61"/>
  <c r="AJ251" i="61"/>
  <c r="AJ252" i="61"/>
  <c r="AJ253" i="61"/>
  <c r="AJ254" i="61"/>
  <c r="AJ255" i="61"/>
  <c r="AJ256" i="61"/>
  <c r="AJ257" i="61"/>
  <c r="AJ258" i="61"/>
  <c r="AJ230" i="61"/>
  <c r="AJ229" i="61"/>
  <c r="AH233" i="61"/>
  <c r="AI233" i="61"/>
  <c r="AH235" i="61"/>
  <c r="AI235" i="61"/>
  <c r="AH237" i="61"/>
  <c r="AI237" i="61"/>
  <c r="AH239" i="61"/>
  <c r="AI239" i="61"/>
  <c r="AH241" i="61"/>
  <c r="AI241" i="61"/>
  <c r="AH243" i="61"/>
  <c r="AI243" i="61"/>
  <c r="AH245" i="61"/>
  <c r="AI245" i="61"/>
  <c r="AH247" i="61"/>
  <c r="AI247" i="61"/>
  <c r="AH249" i="61"/>
  <c r="AI249" i="61"/>
  <c r="AH251" i="61"/>
  <c r="AI251" i="61"/>
  <c r="AH253" i="61"/>
  <c r="AI253" i="61"/>
  <c r="AH255" i="61"/>
  <c r="AI255" i="61"/>
  <c r="AH257" i="61"/>
  <c r="AI257" i="61"/>
  <c r="AF257" i="61"/>
  <c r="AF233" i="61"/>
  <c r="AF235" i="61"/>
  <c r="AF237" i="61"/>
  <c r="AF239" i="61"/>
  <c r="AF241" i="61"/>
  <c r="AF243" i="61"/>
  <c r="AF245" i="61"/>
  <c r="AF247" i="61"/>
  <c r="AF249" i="61"/>
  <c r="AF251" i="61"/>
  <c r="AF253" i="61"/>
  <c r="AF255" i="61"/>
  <c r="AC233" i="61"/>
  <c r="AD233" i="61"/>
  <c r="AE233" i="61"/>
  <c r="AC235" i="61"/>
  <c r="AD235" i="61"/>
  <c r="AE235" i="61"/>
  <c r="AC237" i="61"/>
  <c r="AD237" i="61"/>
  <c r="AE237" i="61"/>
  <c r="AC239" i="61"/>
  <c r="AD239" i="61"/>
  <c r="AE239" i="61"/>
  <c r="AC241" i="61"/>
  <c r="AD241" i="61"/>
  <c r="AE241" i="61"/>
  <c r="AC243" i="61"/>
  <c r="AD243" i="61"/>
  <c r="AE243" i="61"/>
  <c r="AC245" i="61"/>
  <c r="AD245" i="61"/>
  <c r="AE245" i="61"/>
  <c r="AC247" i="61"/>
  <c r="AD247" i="61"/>
  <c r="AE247" i="61"/>
  <c r="AC249" i="61"/>
  <c r="AD249" i="61"/>
  <c r="AE249" i="61"/>
  <c r="AC251" i="61"/>
  <c r="AD251" i="61"/>
  <c r="AE251" i="61"/>
  <c r="AC253" i="61"/>
  <c r="AD253" i="61"/>
  <c r="AE253" i="61"/>
  <c r="AC255" i="61"/>
  <c r="AD255" i="61"/>
  <c r="AE255" i="61"/>
  <c r="AC257" i="61"/>
  <c r="AD257" i="61"/>
  <c r="AE257" i="61"/>
  <c r="AA233" i="61"/>
  <c r="AA235" i="61"/>
  <c r="AA237" i="61"/>
  <c r="AA239" i="61"/>
  <c r="AA241" i="61"/>
  <c r="AA243" i="61"/>
  <c r="AA245" i="61"/>
  <c r="AA247" i="61"/>
  <c r="AA249" i="61"/>
  <c r="AA251" i="61"/>
  <c r="AA253" i="61"/>
  <c r="AA255" i="61"/>
  <c r="AA257" i="61"/>
  <c r="X233" i="61"/>
  <c r="Y233" i="61"/>
  <c r="Z233" i="61"/>
  <c r="X235" i="61"/>
  <c r="Y235" i="61"/>
  <c r="Z235" i="61"/>
  <c r="X237" i="61"/>
  <c r="Y237" i="61"/>
  <c r="Z237" i="61"/>
  <c r="X239" i="61"/>
  <c r="Y239" i="61"/>
  <c r="Z239" i="61"/>
  <c r="X241" i="61"/>
  <c r="Y241" i="61"/>
  <c r="Z241" i="61"/>
  <c r="X243" i="61"/>
  <c r="Y243" i="61"/>
  <c r="Z243" i="61"/>
  <c r="X245" i="61"/>
  <c r="Y245" i="61"/>
  <c r="Z245" i="61"/>
  <c r="X247" i="61"/>
  <c r="Y247" i="61"/>
  <c r="Z247" i="61"/>
  <c r="X249" i="61"/>
  <c r="Y249" i="61"/>
  <c r="Z249" i="61"/>
  <c r="X251" i="61"/>
  <c r="Y251" i="61"/>
  <c r="Z251" i="61"/>
  <c r="X253" i="61"/>
  <c r="Y253" i="61"/>
  <c r="Z253" i="61"/>
  <c r="X255" i="61"/>
  <c r="Y255" i="61"/>
  <c r="Z255" i="61"/>
  <c r="X257" i="61"/>
  <c r="Y257" i="61"/>
  <c r="Z257" i="61"/>
  <c r="V233" i="61"/>
  <c r="V235" i="61"/>
  <c r="V237" i="61"/>
  <c r="V239" i="61"/>
  <c r="V241" i="61"/>
  <c r="V243" i="61"/>
  <c r="V245" i="61"/>
  <c r="V247" i="61"/>
  <c r="V249" i="61"/>
  <c r="V251" i="61"/>
  <c r="V253" i="61"/>
  <c r="V255" i="61"/>
  <c r="V257" i="61"/>
  <c r="S233" i="61"/>
  <c r="T233" i="61"/>
  <c r="U233" i="61"/>
  <c r="S235" i="61"/>
  <c r="T235" i="61"/>
  <c r="U235" i="61"/>
  <c r="S237" i="61"/>
  <c r="T237" i="61"/>
  <c r="U237" i="61"/>
  <c r="S239" i="61"/>
  <c r="T239" i="61"/>
  <c r="U239" i="61"/>
  <c r="S241" i="61"/>
  <c r="T241" i="61"/>
  <c r="U241" i="61"/>
  <c r="S243" i="61"/>
  <c r="T243" i="61"/>
  <c r="U243" i="61"/>
  <c r="S245" i="61"/>
  <c r="T245" i="61"/>
  <c r="U245" i="61"/>
  <c r="S247" i="61"/>
  <c r="T247" i="61"/>
  <c r="U247" i="61"/>
  <c r="S249" i="61"/>
  <c r="T249" i="61"/>
  <c r="U249" i="61"/>
  <c r="S251" i="61"/>
  <c r="T251" i="61"/>
  <c r="U251" i="61"/>
  <c r="S253" i="61"/>
  <c r="T253" i="61"/>
  <c r="U253" i="61"/>
  <c r="S255" i="61"/>
  <c r="T255" i="61"/>
  <c r="U255" i="61"/>
  <c r="S257" i="61"/>
  <c r="T257" i="61"/>
  <c r="U257" i="61"/>
  <c r="Q233" i="61"/>
  <c r="Q235" i="61"/>
  <c r="Q237" i="61"/>
  <c r="Q239" i="61"/>
  <c r="Q241" i="61"/>
  <c r="Q243" i="61"/>
  <c r="Q245" i="61"/>
  <c r="Q247" i="61"/>
  <c r="Q249" i="61"/>
  <c r="Q251" i="61"/>
  <c r="Q253" i="61"/>
  <c r="Q255" i="61"/>
  <c r="Q257" i="61"/>
  <c r="N233" i="61"/>
  <c r="O233" i="61"/>
  <c r="P233" i="61"/>
  <c r="N235" i="61"/>
  <c r="O235" i="61"/>
  <c r="P235" i="61"/>
  <c r="N237" i="61"/>
  <c r="O237" i="61"/>
  <c r="P237" i="61"/>
  <c r="N239" i="61"/>
  <c r="O239" i="61"/>
  <c r="P239" i="61"/>
  <c r="N241" i="61"/>
  <c r="O241" i="61"/>
  <c r="P241" i="61"/>
  <c r="N243" i="61"/>
  <c r="O243" i="61"/>
  <c r="P243" i="61"/>
  <c r="N245" i="61"/>
  <c r="O245" i="61"/>
  <c r="P245" i="61"/>
  <c r="N247" i="61"/>
  <c r="O247" i="61"/>
  <c r="P247" i="61"/>
  <c r="N249" i="61"/>
  <c r="O249" i="61"/>
  <c r="P249" i="61"/>
  <c r="N251" i="61"/>
  <c r="O251" i="61"/>
  <c r="P251" i="61"/>
  <c r="N253" i="61"/>
  <c r="O253" i="61"/>
  <c r="P253" i="61"/>
  <c r="N255" i="61"/>
  <c r="O255" i="61"/>
  <c r="P255" i="61"/>
  <c r="N257" i="61"/>
  <c r="O257" i="61"/>
  <c r="P257" i="61"/>
  <c r="L233" i="61"/>
  <c r="L235" i="61"/>
  <c r="L237" i="61"/>
  <c r="L239" i="61"/>
  <c r="L241" i="61"/>
  <c r="L243" i="61"/>
  <c r="L245" i="61"/>
  <c r="L247" i="61"/>
  <c r="L249" i="61"/>
  <c r="L251" i="61"/>
  <c r="L253" i="61"/>
  <c r="L255" i="61"/>
  <c r="L257" i="61"/>
  <c r="J233" i="61"/>
  <c r="K233" i="61"/>
  <c r="J235" i="61"/>
  <c r="K235" i="61"/>
  <c r="J237" i="61"/>
  <c r="K237" i="61"/>
  <c r="J239" i="61"/>
  <c r="K239" i="61"/>
  <c r="J241" i="61"/>
  <c r="K241" i="61"/>
  <c r="J243" i="61"/>
  <c r="K243" i="61"/>
  <c r="J245" i="61"/>
  <c r="K245" i="61"/>
  <c r="J247" i="61"/>
  <c r="K247" i="61"/>
  <c r="J249" i="61"/>
  <c r="K249" i="61"/>
  <c r="J251" i="61"/>
  <c r="K251" i="61"/>
  <c r="J253" i="61"/>
  <c r="K253" i="61"/>
  <c r="J255" i="61"/>
  <c r="K255" i="61"/>
  <c r="J257" i="61"/>
  <c r="K257" i="61"/>
  <c r="H233" i="61"/>
  <c r="H235" i="61"/>
  <c r="H237" i="61"/>
  <c r="H239" i="61"/>
  <c r="H241" i="61"/>
  <c r="H243" i="61"/>
  <c r="H245" i="61"/>
  <c r="H247" i="61"/>
  <c r="H249" i="61"/>
  <c r="H251" i="61"/>
  <c r="H253" i="61"/>
  <c r="H255" i="61"/>
  <c r="H257" i="61"/>
  <c r="F233" i="61"/>
  <c r="G233" i="61"/>
  <c r="F235" i="61"/>
  <c r="G235" i="61"/>
  <c r="F237" i="61"/>
  <c r="G237" i="61"/>
  <c r="F239" i="61"/>
  <c r="G239" i="61"/>
  <c r="F241" i="61"/>
  <c r="G241" i="61"/>
  <c r="F243" i="61"/>
  <c r="G243" i="61"/>
  <c r="F245" i="61"/>
  <c r="G245" i="61"/>
  <c r="F247" i="61"/>
  <c r="G247" i="61"/>
  <c r="F249" i="61"/>
  <c r="G249" i="61"/>
  <c r="F251" i="61"/>
  <c r="G251" i="61"/>
  <c r="F253" i="61"/>
  <c r="G253" i="61"/>
  <c r="F255" i="61"/>
  <c r="G255" i="61"/>
  <c r="F257" i="61"/>
  <c r="G257" i="61"/>
  <c r="E233" i="61"/>
  <c r="E235" i="61"/>
  <c r="E237" i="61"/>
  <c r="E239" i="61"/>
  <c r="E241" i="61"/>
  <c r="E243" i="61"/>
  <c r="E245" i="61"/>
  <c r="E247" i="61"/>
  <c r="E249" i="61"/>
  <c r="E251" i="61"/>
  <c r="E253" i="61"/>
  <c r="E255" i="61"/>
  <c r="E257" i="61"/>
  <c r="AI231" i="61"/>
  <c r="AH231" i="61"/>
  <c r="AF231" i="61"/>
  <c r="AE231" i="61"/>
  <c r="AD231" i="61"/>
  <c r="AC231" i="61"/>
  <c r="AA231" i="61"/>
  <c r="Z231" i="61"/>
  <c r="Y231" i="61"/>
  <c r="X231" i="61"/>
  <c r="V231" i="61"/>
  <c r="U231" i="61"/>
  <c r="T231" i="61"/>
  <c r="S231" i="61"/>
  <c r="Q231" i="61"/>
  <c r="P231" i="61"/>
  <c r="O231" i="61"/>
  <c r="N231" i="61"/>
  <c r="L231" i="61"/>
  <c r="K231" i="61"/>
  <c r="J231" i="61"/>
  <c r="H231" i="61"/>
  <c r="G231" i="61"/>
  <c r="F231" i="61"/>
  <c r="E231" i="61"/>
  <c r="AI229" i="61"/>
  <c r="AH229" i="61"/>
  <c r="AF229" i="61"/>
  <c r="AE229" i="61"/>
  <c r="AD229" i="61"/>
  <c r="AC229" i="61"/>
  <c r="AA229" i="61"/>
  <c r="Z229" i="61"/>
  <c r="Y229" i="61"/>
  <c r="X229" i="61"/>
  <c r="V229" i="61"/>
  <c r="U229" i="61"/>
  <c r="T229" i="61"/>
  <c r="S229" i="61"/>
  <c r="Q229" i="61"/>
  <c r="P229" i="61"/>
  <c r="O229" i="61"/>
  <c r="N229" i="61"/>
  <c r="L229" i="61"/>
  <c r="K229" i="61"/>
  <c r="J229" i="61"/>
  <c r="H229" i="61"/>
  <c r="G229" i="61"/>
  <c r="F229" i="61"/>
  <c r="E229" i="61"/>
  <c r="AP190" i="61" l="1"/>
  <c r="AP192" i="61"/>
  <c r="AP194" i="61"/>
  <c r="AP196" i="61"/>
  <c r="AP198" i="61"/>
  <c r="AP200" i="61"/>
  <c r="AP202" i="61"/>
  <c r="AP204" i="61"/>
  <c r="AP206" i="61"/>
  <c r="AP208" i="61"/>
  <c r="AP210" i="61"/>
  <c r="AP212" i="61"/>
  <c r="AP214" i="61"/>
  <c r="AP188" i="61"/>
  <c r="AP186" i="61"/>
  <c r="AJ188" i="61"/>
  <c r="AJ189" i="61"/>
  <c r="AJ190" i="61"/>
  <c r="AJ191" i="61"/>
  <c r="AJ192" i="61"/>
  <c r="AJ193" i="61"/>
  <c r="AJ194" i="61"/>
  <c r="AJ195" i="61"/>
  <c r="AJ196" i="61"/>
  <c r="AJ197" i="61"/>
  <c r="AJ198" i="61"/>
  <c r="AJ199" i="61"/>
  <c r="AJ200" i="61"/>
  <c r="AJ201" i="61"/>
  <c r="AJ202" i="61"/>
  <c r="AJ203" i="61"/>
  <c r="AJ204" i="61"/>
  <c r="AJ205" i="61"/>
  <c r="AJ206" i="61"/>
  <c r="AJ207" i="61"/>
  <c r="AJ208" i="61"/>
  <c r="AJ209" i="61"/>
  <c r="AJ210" i="61"/>
  <c r="AJ211" i="61"/>
  <c r="AJ212" i="61"/>
  <c r="AJ213" i="61"/>
  <c r="AJ214" i="61"/>
  <c r="AJ215" i="61"/>
  <c r="AJ187" i="61"/>
  <c r="AJ186" i="61"/>
  <c r="AH190" i="61"/>
  <c r="AI190" i="61"/>
  <c r="AH192" i="61"/>
  <c r="AI192" i="61"/>
  <c r="AH194" i="61"/>
  <c r="AI194" i="61"/>
  <c r="AH196" i="61"/>
  <c r="AI196" i="61"/>
  <c r="AH198" i="61"/>
  <c r="AI198" i="61"/>
  <c r="AH200" i="61"/>
  <c r="AI200" i="61"/>
  <c r="AH202" i="61"/>
  <c r="AI202" i="61"/>
  <c r="AH204" i="61"/>
  <c r="AI204" i="61"/>
  <c r="AH206" i="61"/>
  <c r="AI206" i="61"/>
  <c r="AH208" i="61"/>
  <c r="AI208" i="61"/>
  <c r="AH210" i="61"/>
  <c r="AI210" i="61"/>
  <c r="AH212" i="61"/>
  <c r="AI212" i="61"/>
  <c r="AH214" i="61"/>
  <c r="AI214" i="61"/>
  <c r="AF190" i="61"/>
  <c r="AF192" i="61"/>
  <c r="AF194" i="61"/>
  <c r="AF196" i="61"/>
  <c r="AF198" i="61"/>
  <c r="AF200" i="61"/>
  <c r="AF202" i="61"/>
  <c r="AF204" i="61"/>
  <c r="AF206" i="61"/>
  <c r="AF208" i="61"/>
  <c r="AF210" i="61"/>
  <c r="AF212" i="61"/>
  <c r="AF214" i="61"/>
  <c r="AC190" i="61"/>
  <c r="AD190" i="61"/>
  <c r="AE190" i="61"/>
  <c r="AC192" i="61"/>
  <c r="AD192" i="61"/>
  <c r="AE192" i="61"/>
  <c r="AC194" i="61"/>
  <c r="AD194" i="61"/>
  <c r="AE194" i="61"/>
  <c r="AC196" i="61"/>
  <c r="AD196" i="61"/>
  <c r="AE196" i="61"/>
  <c r="AC198" i="61"/>
  <c r="AD198" i="61"/>
  <c r="AE198" i="61"/>
  <c r="AC200" i="61"/>
  <c r="AD200" i="61"/>
  <c r="AE200" i="61"/>
  <c r="AC202" i="61"/>
  <c r="AD202" i="61"/>
  <c r="AE202" i="61"/>
  <c r="AC204" i="61"/>
  <c r="AD204" i="61"/>
  <c r="AE204" i="61"/>
  <c r="AC206" i="61"/>
  <c r="AD206" i="61"/>
  <c r="AE206" i="61"/>
  <c r="AC208" i="61"/>
  <c r="AD208" i="61"/>
  <c r="AE208" i="61"/>
  <c r="AC210" i="61"/>
  <c r="AD210" i="61"/>
  <c r="AE210" i="61"/>
  <c r="AC212" i="61"/>
  <c r="AD212" i="61"/>
  <c r="AE212" i="61"/>
  <c r="AC214" i="61"/>
  <c r="AD214" i="61"/>
  <c r="AE214" i="61"/>
  <c r="AA190" i="61"/>
  <c r="AA192" i="61"/>
  <c r="AA194" i="61"/>
  <c r="AA196" i="61"/>
  <c r="AA198" i="61"/>
  <c r="AA200" i="61"/>
  <c r="AA202" i="61"/>
  <c r="AA204" i="61"/>
  <c r="AA206" i="61"/>
  <c r="AA208" i="61"/>
  <c r="AA210" i="61"/>
  <c r="AA212" i="61"/>
  <c r="AA214" i="61"/>
  <c r="X190" i="61"/>
  <c r="Y190" i="61"/>
  <c r="Z190" i="61"/>
  <c r="X192" i="61"/>
  <c r="Y192" i="61"/>
  <c r="Z192" i="61"/>
  <c r="X194" i="61"/>
  <c r="Y194" i="61"/>
  <c r="Z194" i="61"/>
  <c r="X196" i="61"/>
  <c r="Y196" i="61"/>
  <c r="Z196" i="61"/>
  <c r="X198" i="61"/>
  <c r="Y198" i="61"/>
  <c r="Z198" i="61"/>
  <c r="X200" i="61"/>
  <c r="Y200" i="61"/>
  <c r="Z200" i="61"/>
  <c r="X202" i="61"/>
  <c r="Y202" i="61"/>
  <c r="Z202" i="61"/>
  <c r="X204" i="61"/>
  <c r="Y204" i="61"/>
  <c r="Z204" i="61"/>
  <c r="X206" i="61"/>
  <c r="Y206" i="61"/>
  <c r="Z206" i="61"/>
  <c r="X208" i="61"/>
  <c r="Y208" i="61"/>
  <c r="Z208" i="61"/>
  <c r="X210" i="61"/>
  <c r="Y210" i="61"/>
  <c r="Z210" i="61"/>
  <c r="X212" i="61"/>
  <c r="Y212" i="61"/>
  <c r="Z212" i="61"/>
  <c r="X214" i="61"/>
  <c r="Y214" i="61"/>
  <c r="Z214" i="61"/>
  <c r="V190" i="61"/>
  <c r="V192" i="61"/>
  <c r="V194" i="61"/>
  <c r="V196" i="61"/>
  <c r="V198" i="61"/>
  <c r="V200" i="61"/>
  <c r="V202" i="61"/>
  <c r="V204" i="61"/>
  <c r="V206" i="61"/>
  <c r="V208" i="61"/>
  <c r="V210" i="61"/>
  <c r="V212" i="61"/>
  <c r="V214" i="61"/>
  <c r="S190" i="61"/>
  <c r="T190" i="61"/>
  <c r="U190" i="61"/>
  <c r="S192" i="61"/>
  <c r="T192" i="61"/>
  <c r="U192" i="61"/>
  <c r="S194" i="61"/>
  <c r="T194" i="61"/>
  <c r="U194" i="61"/>
  <c r="S196" i="61"/>
  <c r="T196" i="61"/>
  <c r="U196" i="61"/>
  <c r="S198" i="61"/>
  <c r="T198" i="61"/>
  <c r="U198" i="61"/>
  <c r="S200" i="61"/>
  <c r="T200" i="61"/>
  <c r="U200" i="61"/>
  <c r="S202" i="61"/>
  <c r="T202" i="61"/>
  <c r="U202" i="61"/>
  <c r="S204" i="61"/>
  <c r="T204" i="61"/>
  <c r="U204" i="61"/>
  <c r="S206" i="61"/>
  <c r="T206" i="61"/>
  <c r="U206" i="61"/>
  <c r="S208" i="61"/>
  <c r="T208" i="61"/>
  <c r="U208" i="61"/>
  <c r="S210" i="61"/>
  <c r="T210" i="61"/>
  <c r="U210" i="61"/>
  <c r="S212" i="61"/>
  <c r="T212" i="61"/>
  <c r="U212" i="61"/>
  <c r="S214" i="61"/>
  <c r="T214" i="61"/>
  <c r="U214" i="61"/>
  <c r="Q190" i="61"/>
  <c r="Q192" i="61"/>
  <c r="Q194" i="61"/>
  <c r="Q196" i="61"/>
  <c r="Q198" i="61"/>
  <c r="Q200" i="61"/>
  <c r="Q202" i="61"/>
  <c r="Q204" i="61"/>
  <c r="Q206" i="61"/>
  <c r="Q208" i="61"/>
  <c r="Q210" i="61"/>
  <c r="Q212" i="61"/>
  <c r="Q214" i="61"/>
  <c r="N190" i="61"/>
  <c r="O190" i="61"/>
  <c r="P190" i="61"/>
  <c r="N192" i="61"/>
  <c r="O192" i="61"/>
  <c r="P192" i="61"/>
  <c r="N194" i="61"/>
  <c r="O194" i="61"/>
  <c r="P194" i="61"/>
  <c r="N196" i="61"/>
  <c r="O196" i="61"/>
  <c r="P196" i="61"/>
  <c r="N198" i="61"/>
  <c r="O198" i="61"/>
  <c r="P198" i="61"/>
  <c r="N200" i="61"/>
  <c r="O200" i="61"/>
  <c r="P200" i="61"/>
  <c r="N202" i="61"/>
  <c r="O202" i="61"/>
  <c r="P202" i="61"/>
  <c r="N204" i="61"/>
  <c r="O204" i="61"/>
  <c r="P204" i="61"/>
  <c r="N206" i="61"/>
  <c r="O206" i="61"/>
  <c r="P206" i="61"/>
  <c r="N208" i="61"/>
  <c r="O208" i="61"/>
  <c r="P208" i="61"/>
  <c r="N210" i="61"/>
  <c r="O210" i="61"/>
  <c r="P210" i="61"/>
  <c r="N212" i="61"/>
  <c r="O212" i="61"/>
  <c r="P212" i="61"/>
  <c r="N214" i="61"/>
  <c r="O214" i="61"/>
  <c r="P214" i="61"/>
  <c r="L190" i="61"/>
  <c r="L192" i="61"/>
  <c r="L194" i="61"/>
  <c r="L196" i="61"/>
  <c r="L198" i="61"/>
  <c r="L200" i="61"/>
  <c r="L202" i="61"/>
  <c r="L204" i="61"/>
  <c r="L206" i="61"/>
  <c r="L208" i="61"/>
  <c r="L210" i="61"/>
  <c r="L212" i="61"/>
  <c r="L214" i="61"/>
  <c r="J190" i="61"/>
  <c r="K190" i="61"/>
  <c r="J192" i="61"/>
  <c r="K192" i="61"/>
  <c r="J194" i="61"/>
  <c r="K194" i="61"/>
  <c r="J196" i="61"/>
  <c r="K196" i="61"/>
  <c r="J198" i="61"/>
  <c r="K198" i="61"/>
  <c r="J200" i="61"/>
  <c r="K200" i="61"/>
  <c r="J202" i="61"/>
  <c r="K202" i="61"/>
  <c r="J204" i="61"/>
  <c r="K204" i="61"/>
  <c r="J206" i="61"/>
  <c r="K206" i="61"/>
  <c r="J208" i="61"/>
  <c r="K208" i="61"/>
  <c r="J210" i="61"/>
  <c r="K210" i="61"/>
  <c r="J212" i="61"/>
  <c r="K212" i="61"/>
  <c r="J214" i="61"/>
  <c r="K214" i="61"/>
  <c r="F190" i="61"/>
  <c r="G190" i="61"/>
  <c r="F192" i="61"/>
  <c r="G192" i="61"/>
  <c r="F194" i="61"/>
  <c r="G194" i="61"/>
  <c r="F196" i="61"/>
  <c r="G196" i="61"/>
  <c r="F198" i="61"/>
  <c r="G198" i="61"/>
  <c r="F200" i="61"/>
  <c r="G200" i="61"/>
  <c r="F202" i="61"/>
  <c r="G202" i="61"/>
  <c r="F204" i="61"/>
  <c r="G204" i="61"/>
  <c r="F206" i="61"/>
  <c r="G206" i="61"/>
  <c r="F208" i="61"/>
  <c r="G208" i="61"/>
  <c r="F210" i="61"/>
  <c r="G210" i="61"/>
  <c r="F212" i="61"/>
  <c r="G212" i="61"/>
  <c r="F214" i="61"/>
  <c r="G214" i="61"/>
  <c r="E190" i="61"/>
  <c r="E192" i="61"/>
  <c r="E194" i="61"/>
  <c r="E196" i="61"/>
  <c r="E198" i="61"/>
  <c r="E200" i="61"/>
  <c r="E202" i="61"/>
  <c r="E204" i="61"/>
  <c r="E206" i="61"/>
  <c r="E208" i="61"/>
  <c r="E210" i="61"/>
  <c r="E212" i="61"/>
  <c r="E214" i="61"/>
  <c r="AI188" i="61"/>
  <c r="AH188" i="61"/>
  <c r="AF188" i="61"/>
  <c r="AE188" i="61"/>
  <c r="AD188" i="61"/>
  <c r="AC188" i="61"/>
  <c r="AA188" i="61"/>
  <c r="Z188" i="61"/>
  <c r="Y188" i="61"/>
  <c r="X188" i="61"/>
  <c r="V188" i="61"/>
  <c r="U188" i="61"/>
  <c r="T188" i="61"/>
  <c r="S188" i="61"/>
  <c r="Q188" i="61"/>
  <c r="P188" i="61"/>
  <c r="O188" i="61"/>
  <c r="N188" i="61"/>
  <c r="L188" i="61"/>
  <c r="K188" i="61"/>
  <c r="J188" i="61"/>
  <c r="H188" i="61"/>
  <c r="G188" i="61"/>
  <c r="F188" i="61"/>
  <c r="E188" i="61"/>
  <c r="AI186" i="61"/>
  <c r="AH186" i="61"/>
  <c r="AF186" i="61"/>
  <c r="AE186" i="61"/>
  <c r="AD186" i="61"/>
  <c r="AC186" i="61"/>
  <c r="AA186" i="61"/>
  <c r="Z186" i="61"/>
  <c r="Y186" i="61"/>
  <c r="X186" i="61"/>
  <c r="V186" i="61"/>
  <c r="U186" i="61"/>
  <c r="T186" i="61"/>
  <c r="S186" i="61"/>
  <c r="Q186" i="61"/>
  <c r="P186" i="61"/>
  <c r="O186" i="61"/>
  <c r="N186" i="61"/>
  <c r="L186" i="61"/>
  <c r="K186" i="61"/>
  <c r="J186" i="61"/>
  <c r="G186" i="61"/>
  <c r="F186" i="61"/>
  <c r="E186" i="61"/>
  <c r="AP147" i="61"/>
  <c r="AP149" i="61"/>
  <c r="AP151" i="61"/>
  <c r="AP153" i="61"/>
  <c r="AP155" i="61"/>
  <c r="AP157" i="61"/>
  <c r="AP159" i="61"/>
  <c r="AP161" i="61"/>
  <c r="AP163" i="61"/>
  <c r="AP165" i="61"/>
  <c r="AP167" i="61"/>
  <c r="AP169" i="61"/>
  <c r="AP171" i="61"/>
  <c r="AP145" i="61"/>
  <c r="AP143" i="61"/>
  <c r="AJ145" i="61"/>
  <c r="AJ146" i="61"/>
  <c r="AJ147" i="61"/>
  <c r="AJ148" i="61"/>
  <c r="AJ149" i="61"/>
  <c r="AJ150" i="61"/>
  <c r="AJ151" i="61"/>
  <c r="AJ152" i="61"/>
  <c r="AJ153" i="61"/>
  <c r="AJ154" i="61"/>
  <c r="AJ155" i="61"/>
  <c r="AJ156" i="61"/>
  <c r="AJ157" i="61"/>
  <c r="AJ158" i="61"/>
  <c r="AJ159" i="61"/>
  <c r="AJ160" i="61"/>
  <c r="AJ161" i="61"/>
  <c r="AJ162" i="61"/>
  <c r="AJ163" i="61"/>
  <c r="AJ164" i="61"/>
  <c r="AJ165" i="61"/>
  <c r="AJ166" i="61"/>
  <c r="AJ167" i="61"/>
  <c r="AJ168" i="61"/>
  <c r="AJ169" i="61"/>
  <c r="AJ170" i="61"/>
  <c r="AJ171" i="61"/>
  <c r="AJ172" i="61"/>
  <c r="AJ144" i="61"/>
  <c r="AJ143" i="61"/>
  <c r="AH147" i="61"/>
  <c r="AI147" i="61"/>
  <c r="AH149" i="61"/>
  <c r="AI149" i="61"/>
  <c r="AH151" i="61"/>
  <c r="AI151" i="61"/>
  <c r="AH153" i="61"/>
  <c r="AI153" i="61"/>
  <c r="AH155" i="61"/>
  <c r="AI155" i="61"/>
  <c r="AH157" i="61"/>
  <c r="AI157" i="61"/>
  <c r="AH159" i="61"/>
  <c r="AI159" i="61"/>
  <c r="AH161" i="61"/>
  <c r="AI161" i="61"/>
  <c r="AH163" i="61"/>
  <c r="AI163" i="61"/>
  <c r="AH165" i="61"/>
  <c r="AI165" i="61"/>
  <c r="AH167" i="61"/>
  <c r="AI167" i="61"/>
  <c r="AH169" i="61"/>
  <c r="AI169" i="61"/>
  <c r="AH171" i="61"/>
  <c r="AI171" i="61"/>
  <c r="AF147" i="61"/>
  <c r="AF149" i="61"/>
  <c r="AF151" i="61"/>
  <c r="AF153" i="61"/>
  <c r="AF155" i="61"/>
  <c r="AF157" i="61"/>
  <c r="AF159" i="61"/>
  <c r="AF161" i="61"/>
  <c r="AF163" i="61"/>
  <c r="AF165" i="61"/>
  <c r="AF167" i="61"/>
  <c r="AF169" i="61"/>
  <c r="AF171" i="61"/>
  <c r="AC147" i="61"/>
  <c r="AD147" i="61"/>
  <c r="AE147" i="61"/>
  <c r="AC149" i="61"/>
  <c r="AD149" i="61"/>
  <c r="AE149" i="61"/>
  <c r="AC151" i="61"/>
  <c r="AD151" i="61"/>
  <c r="AE151" i="61"/>
  <c r="AC153" i="61"/>
  <c r="AD153" i="61"/>
  <c r="AE153" i="61"/>
  <c r="AC155" i="61"/>
  <c r="AD155" i="61"/>
  <c r="AE155" i="61"/>
  <c r="AC157" i="61"/>
  <c r="AD157" i="61"/>
  <c r="AE157" i="61"/>
  <c r="AC159" i="61"/>
  <c r="AD159" i="61"/>
  <c r="AE159" i="61"/>
  <c r="AC161" i="61"/>
  <c r="AD161" i="61"/>
  <c r="AE161" i="61"/>
  <c r="AC163" i="61"/>
  <c r="AD163" i="61"/>
  <c r="AE163" i="61"/>
  <c r="AC165" i="61"/>
  <c r="AD165" i="61"/>
  <c r="AE165" i="61"/>
  <c r="AC167" i="61"/>
  <c r="AD167" i="61"/>
  <c r="AE167" i="61"/>
  <c r="AC169" i="61"/>
  <c r="AD169" i="61"/>
  <c r="AE169" i="61"/>
  <c r="AC171" i="61"/>
  <c r="AD171" i="61"/>
  <c r="AE171" i="61"/>
  <c r="AA147" i="61"/>
  <c r="AA149" i="61"/>
  <c r="AA151" i="61"/>
  <c r="AA153" i="61"/>
  <c r="AA155" i="61"/>
  <c r="AA157" i="61"/>
  <c r="AA159" i="61"/>
  <c r="AA161" i="61"/>
  <c r="AA163" i="61"/>
  <c r="AA165" i="61"/>
  <c r="AA167" i="61"/>
  <c r="AA169" i="61"/>
  <c r="AA171" i="61"/>
  <c r="X147" i="61"/>
  <c r="Y147" i="61"/>
  <c r="Z147" i="61"/>
  <c r="X149" i="61"/>
  <c r="Y149" i="61"/>
  <c r="Z149" i="61"/>
  <c r="X151" i="61"/>
  <c r="Y151" i="61"/>
  <c r="Z151" i="61"/>
  <c r="X153" i="61"/>
  <c r="Y153" i="61"/>
  <c r="Z153" i="61"/>
  <c r="X155" i="61"/>
  <c r="Y155" i="61"/>
  <c r="Z155" i="61"/>
  <c r="X157" i="61"/>
  <c r="Y157" i="61"/>
  <c r="Z157" i="61"/>
  <c r="X159" i="61"/>
  <c r="Y159" i="61"/>
  <c r="Z159" i="61"/>
  <c r="X161" i="61"/>
  <c r="Y161" i="61"/>
  <c r="Z161" i="61"/>
  <c r="X163" i="61"/>
  <c r="Y163" i="61"/>
  <c r="Z163" i="61"/>
  <c r="X165" i="61"/>
  <c r="Y165" i="61"/>
  <c r="Z165" i="61"/>
  <c r="X167" i="61"/>
  <c r="Y167" i="61"/>
  <c r="Z167" i="61"/>
  <c r="X169" i="61"/>
  <c r="Y169" i="61"/>
  <c r="Z169" i="61"/>
  <c r="X171" i="61"/>
  <c r="Y171" i="61"/>
  <c r="Z171" i="61"/>
  <c r="V147" i="61"/>
  <c r="V149" i="61"/>
  <c r="V151" i="61"/>
  <c r="V153" i="61"/>
  <c r="V155" i="61"/>
  <c r="V157" i="61"/>
  <c r="V159" i="61"/>
  <c r="V161" i="61"/>
  <c r="V163" i="61"/>
  <c r="V165" i="61"/>
  <c r="V167" i="61"/>
  <c r="V169" i="61"/>
  <c r="V171" i="61"/>
  <c r="S147" i="61"/>
  <c r="T147" i="61"/>
  <c r="U147" i="61"/>
  <c r="S149" i="61"/>
  <c r="T149" i="61"/>
  <c r="U149" i="61"/>
  <c r="S151" i="61"/>
  <c r="T151" i="61"/>
  <c r="U151" i="61"/>
  <c r="S153" i="61"/>
  <c r="T153" i="61"/>
  <c r="U153" i="61"/>
  <c r="S155" i="61"/>
  <c r="T155" i="61"/>
  <c r="U155" i="61"/>
  <c r="S157" i="61"/>
  <c r="T157" i="61"/>
  <c r="U157" i="61"/>
  <c r="S159" i="61"/>
  <c r="T159" i="61"/>
  <c r="U159" i="61"/>
  <c r="S161" i="61"/>
  <c r="T161" i="61"/>
  <c r="U161" i="61"/>
  <c r="S163" i="61"/>
  <c r="T163" i="61"/>
  <c r="U163" i="61"/>
  <c r="S165" i="61"/>
  <c r="T165" i="61"/>
  <c r="U165" i="61"/>
  <c r="S167" i="61"/>
  <c r="T167" i="61"/>
  <c r="U167" i="61"/>
  <c r="S169" i="61"/>
  <c r="T169" i="61"/>
  <c r="U169" i="61"/>
  <c r="S171" i="61"/>
  <c r="T171" i="61"/>
  <c r="U171" i="61"/>
  <c r="Q147" i="61"/>
  <c r="Q149" i="61"/>
  <c r="Q151" i="61"/>
  <c r="Q153" i="61"/>
  <c r="Q155" i="61"/>
  <c r="Q157" i="61"/>
  <c r="Q159" i="61"/>
  <c r="Q161" i="61"/>
  <c r="Q163" i="61"/>
  <c r="Q165" i="61"/>
  <c r="Q167" i="61"/>
  <c r="Q169" i="61"/>
  <c r="Q171" i="61"/>
  <c r="N147" i="61"/>
  <c r="O147" i="61"/>
  <c r="P147" i="61"/>
  <c r="N149" i="61"/>
  <c r="O149" i="61"/>
  <c r="P149" i="61"/>
  <c r="N151" i="61"/>
  <c r="O151" i="61"/>
  <c r="P151" i="61"/>
  <c r="N153" i="61"/>
  <c r="O153" i="61"/>
  <c r="P153" i="61"/>
  <c r="N155" i="61"/>
  <c r="O155" i="61"/>
  <c r="P155" i="61"/>
  <c r="N157" i="61"/>
  <c r="O157" i="61"/>
  <c r="P157" i="61"/>
  <c r="N159" i="61"/>
  <c r="O159" i="61"/>
  <c r="P159" i="61"/>
  <c r="N161" i="61"/>
  <c r="O161" i="61"/>
  <c r="P161" i="61"/>
  <c r="N163" i="61"/>
  <c r="O163" i="61"/>
  <c r="P163" i="61"/>
  <c r="N165" i="61"/>
  <c r="O165" i="61"/>
  <c r="P165" i="61"/>
  <c r="N167" i="61"/>
  <c r="O167" i="61"/>
  <c r="P167" i="61"/>
  <c r="N169" i="61"/>
  <c r="O169" i="61"/>
  <c r="P169" i="61"/>
  <c r="N171" i="61"/>
  <c r="O171" i="61"/>
  <c r="P171" i="61"/>
  <c r="L147" i="61"/>
  <c r="L149" i="61"/>
  <c r="L151" i="61"/>
  <c r="L153" i="61"/>
  <c r="L155" i="61"/>
  <c r="L157" i="61"/>
  <c r="L159" i="61"/>
  <c r="L161" i="61"/>
  <c r="L163" i="61"/>
  <c r="L165" i="61"/>
  <c r="L167" i="61"/>
  <c r="L169" i="61"/>
  <c r="L171" i="61"/>
  <c r="J147" i="61"/>
  <c r="K147" i="61"/>
  <c r="J149" i="61"/>
  <c r="K149" i="61"/>
  <c r="J151" i="61"/>
  <c r="K151" i="61"/>
  <c r="J153" i="61"/>
  <c r="K153" i="61"/>
  <c r="J155" i="61"/>
  <c r="K155" i="61"/>
  <c r="J157" i="61"/>
  <c r="K157" i="61"/>
  <c r="J159" i="61"/>
  <c r="K159" i="61"/>
  <c r="J161" i="61"/>
  <c r="K161" i="61"/>
  <c r="J163" i="61"/>
  <c r="K163" i="61"/>
  <c r="J165" i="61"/>
  <c r="K165" i="61"/>
  <c r="J167" i="61"/>
  <c r="K167" i="61"/>
  <c r="J169" i="61"/>
  <c r="K169" i="61"/>
  <c r="J171" i="61"/>
  <c r="K171" i="61"/>
  <c r="H147" i="61"/>
  <c r="H149" i="61"/>
  <c r="H151" i="61"/>
  <c r="H153" i="61"/>
  <c r="H155" i="61"/>
  <c r="H157" i="61"/>
  <c r="H159" i="61"/>
  <c r="H161" i="61"/>
  <c r="H163" i="61"/>
  <c r="H165" i="61"/>
  <c r="H167" i="61"/>
  <c r="H169" i="61"/>
  <c r="H171" i="61"/>
  <c r="F147" i="61"/>
  <c r="G147" i="61"/>
  <c r="F149" i="61"/>
  <c r="G149" i="61"/>
  <c r="F151" i="61"/>
  <c r="G151" i="61"/>
  <c r="F153" i="61"/>
  <c r="G153" i="61"/>
  <c r="F155" i="61"/>
  <c r="G155" i="61"/>
  <c r="F157" i="61"/>
  <c r="G157" i="61"/>
  <c r="F159" i="61"/>
  <c r="G159" i="61"/>
  <c r="F161" i="61"/>
  <c r="G161" i="61"/>
  <c r="F163" i="61"/>
  <c r="G163" i="61"/>
  <c r="F165" i="61"/>
  <c r="G165" i="61"/>
  <c r="F167" i="61"/>
  <c r="G167" i="61"/>
  <c r="F169" i="61"/>
  <c r="G169" i="61"/>
  <c r="F171" i="61"/>
  <c r="G171" i="61"/>
  <c r="E147" i="61"/>
  <c r="E149" i="61"/>
  <c r="E151" i="61"/>
  <c r="E153" i="61"/>
  <c r="E155" i="61"/>
  <c r="E157" i="61"/>
  <c r="E159" i="61"/>
  <c r="E161" i="61"/>
  <c r="E163" i="61"/>
  <c r="E165" i="61"/>
  <c r="E167" i="61"/>
  <c r="E169" i="61"/>
  <c r="E171" i="61"/>
  <c r="AI145" i="61"/>
  <c r="AH145" i="61"/>
  <c r="AF145" i="61"/>
  <c r="AE145" i="61"/>
  <c r="AD145" i="61"/>
  <c r="AC145" i="61"/>
  <c r="AA145" i="61"/>
  <c r="Z145" i="61"/>
  <c r="Y145" i="61"/>
  <c r="X145" i="61"/>
  <c r="V145" i="61"/>
  <c r="U145" i="61"/>
  <c r="T145" i="61"/>
  <c r="S145" i="61"/>
  <c r="Q145" i="61"/>
  <c r="P145" i="61"/>
  <c r="O145" i="61"/>
  <c r="N145" i="61"/>
  <c r="L145" i="61"/>
  <c r="K145" i="61"/>
  <c r="J145" i="61"/>
  <c r="H145" i="61"/>
  <c r="G145" i="61"/>
  <c r="F145" i="61"/>
  <c r="E145" i="61"/>
  <c r="AI143" i="61"/>
  <c r="AH143" i="61"/>
  <c r="AF143" i="61"/>
  <c r="AE143" i="61"/>
  <c r="AD143" i="61"/>
  <c r="AC143" i="61"/>
  <c r="AA143" i="61"/>
  <c r="Z143" i="61"/>
  <c r="Y143" i="61"/>
  <c r="X143" i="61"/>
  <c r="V143" i="61"/>
  <c r="U143" i="61"/>
  <c r="T143" i="61"/>
  <c r="S143" i="61"/>
  <c r="Q143" i="61"/>
  <c r="P143" i="61"/>
  <c r="O143" i="61"/>
  <c r="N143" i="61"/>
  <c r="L143" i="61"/>
  <c r="K143" i="61"/>
  <c r="J143" i="61"/>
  <c r="H143" i="61"/>
  <c r="G143" i="61"/>
  <c r="F143" i="61"/>
  <c r="E143" i="61"/>
  <c r="AP104" i="61"/>
  <c r="AP106" i="61"/>
  <c r="AP108" i="61"/>
  <c r="AP110" i="61"/>
  <c r="AP112" i="61"/>
  <c r="AP114" i="61"/>
  <c r="AP116" i="61"/>
  <c r="AP118" i="61"/>
  <c r="AP120" i="61"/>
  <c r="AP122" i="61"/>
  <c r="AP124" i="61"/>
  <c r="AP126" i="61"/>
  <c r="AP128" i="61"/>
  <c r="AP102" i="61"/>
  <c r="AP100" i="61"/>
  <c r="AJ102" i="61"/>
  <c r="AJ103" i="61"/>
  <c r="AJ104" i="61"/>
  <c r="AJ105" i="61"/>
  <c r="AJ106" i="61"/>
  <c r="AJ107" i="61"/>
  <c r="AJ108" i="61"/>
  <c r="AJ109" i="61"/>
  <c r="AJ110" i="61"/>
  <c r="AJ111" i="61"/>
  <c r="AJ112" i="61"/>
  <c r="AJ113" i="61"/>
  <c r="AJ114" i="61"/>
  <c r="AJ115" i="61"/>
  <c r="AJ116" i="61"/>
  <c r="AJ117" i="61"/>
  <c r="AJ118" i="61"/>
  <c r="AJ119" i="61"/>
  <c r="AJ120" i="61"/>
  <c r="AJ121" i="61"/>
  <c r="AJ122" i="61"/>
  <c r="AJ123" i="61"/>
  <c r="AJ124" i="61"/>
  <c r="AJ125" i="61"/>
  <c r="AJ126" i="61"/>
  <c r="AJ127" i="61"/>
  <c r="AJ128" i="61"/>
  <c r="AJ129" i="61"/>
  <c r="AJ101" i="61"/>
  <c r="AJ100" i="61"/>
  <c r="AH104" i="61"/>
  <c r="AI104" i="61"/>
  <c r="AH106" i="61"/>
  <c r="AI106" i="61"/>
  <c r="AH108" i="61"/>
  <c r="AI108" i="61"/>
  <c r="AH110" i="61"/>
  <c r="AI110" i="61"/>
  <c r="AH112" i="61"/>
  <c r="AI112" i="61"/>
  <c r="AH114" i="61"/>
  <c r="AI114" i="61"/>
  <c r="AH116" i="61"/>
  <c r="AI116" i="61"/>
  <c r="AH118" i="61"/>
  <c r="AI118" i="61"/>
  <c r="AH120" i="61"/>
  <c r="AI120" i="61"/>
  <c r="AH122" i="61"/>
  <c r="AI122" i="61"/>
  <c r="AH124" i="61"/>
  <c r="AI124" i="61"/>
  <c r="AH126" i="61"/>
  <c r="AI126" i="61"/>
  <c r="AH128" i="61"/>
  <c r="AI128" i="61"/>
  <c r="AF104" i="61"/>
  <c r="AF106" i="61"/>
  <c r="AF108" i="61"/>
  <c r="AF110" i="61"/>
  <c r="AF112" i="61"/>
  <c r="AF114" i="61"/>
  <c r="AF116" i="61"/>
  <c r="AF118" i="61"/>
  <c r="AF120" i="61"/>
  <c r="AF122" i="61"/>
  <c r="AF124" i="61"/>
  <c r="AF126" i="61"/>
  <c r="AF128" i="61"/>
  <c r="AC104" i="61"/>
  <c r="AD104" i="61"/>
  <c r="AE104" i="61"/>
  <c r="AC106" i="61"/>
  <c r="AD106" i="61"/>
  <c r="AE106" i="61"/>
  <c r="AC108" i="61"/>
  <c r="AD108" i="61"/>
  <c r="AE108" i="61"/>
  <c r="AC110" i="61"/>
  <c r="AD110" i="61"/>
  <c r="AE110" i="61"/>
  <c r="AC112" i="61"/>
  <c r="AD112" i="61"/>
  <c r="AE112" i="61"/>
  <c r="AC114" i="61"/>
  <c r="AD114" i="61"/>
  <c r="AE114" i="61"/>
  <c r="AC116" i="61"/>
  <c r="AD116" i="61"/>
  <c r="AE116" i="61"/>
  <c r="AC118" i="61"/>
  <c r="AD118" i="61"/>
  <c r="AE118" i="61"/>
  <c r="AC120" i="61"/>
  <c r="AD120" i="61"/>
  <c r="AE120" i="61"/>
  <c r="AC122" i="61"/>
  <c r="AD122" i="61"/>
  <c r="AE122" i="61"/>
  <c r="AC124" i="61"/>
  <c r="AD124" i="61"/>
  <c r="AE124" i="61"/>
  <c r="AC126" i="61"/>
  <c r="AD126" i="61"/>
  <c r="AE126" i="61"/>
  <c r="AC128" i="61"/>
  <c r="AD128" i="61"/>
  <c r="AE128" i="61"/>
  <c r="AA104" i="61"/>
  <c r="AA106" i="61"/>
  <c r="AA108" i="61"/>
  <c r="AA110" i="61"/>
  <c r="AA112" i="61"/>
  <c r="AA114" i="61"/>
  <c r="AA116" i="61"/>
  <c r="AA118" i="61"/>
  <c r="AA120" i="61"/>
  <c r="AA122" i="61"/>
  <c r="AA124" i="61"/>
  <c r="AA126" i="61"/>
  <c r="AA128" i="61"/>
  <c r="X104" i="61"/>
  <c r="Y104" i="61"/>
  <c r="Z104" i="61"/>
  <c r="X106" i="61"/>
  <c r="Y106" i="61"/>
  <c r="Z106" i="61"/>
  <c r="X108" i="61"/>
  <c r="Y108" i="61"/>
  <c r="Z108" i="61"/>
  <c r="X110" i="61"/>
  <c r="Y110" i="61"/>
  <c r="Z110" i="61"/>
  <c r="X112" i="61"/>
  <c r="Y112" i="61"/>
  <c r="Z112" i="61"/>
  <c r="X114" i="61"/>
  <c r="Y114" i="61"/>
  <c r="Z114" i="61"/>
  <c r="X116" i="61"/>
  <c r="Y116" i="61"/>
  <c r="Z116" i="61"/>
  <c r="X118" i="61"/>
  <c r="Y118" i="61"/>
  <c r="Z118" i="61"/>
  <c r="X120" i="61"/>
  <c r="Y120" i="61"/>
  <c r="Z120" i="61"/>
  <c r="X122" i="61"/>
  <c r="Y122" i="61"/>
  <c r="Z122" i="61"/>
  <c r="X124" i="61"/>
  <c r="Y124" i="61"/>
  <c r="Z124" i="61"/>
  <c r="X126" i="61"/>
  <c r="Y126" i="61"/>
  <c r="Z126" i="61"/>
  <c r="X128" i="61"/>
  <c r="Y128" i="61"/>
  <c r="Z128" i="61"/>
  <c r="V104" i="61"/>
  <c r="V106" i="61"/>
  <c r="V108" i="61"/>
  <c r="V110" i="61"/>
  <c r="V112" i="61"/>
  <c r="V114" i="61"/>
  <c r="V116" i="61"/>
  <c r="V118" i="61"/>
  <c r="V120" i="61"/>
  <c r="V122" i="61"/>
  <c r="V124" i="61"/>
  <c r="V126" i="61"/>
  <c r="V128" i="61"/>
  <c r="S104" i="61"/>
  <c r="T104" i="61"/>
  <c r="U104" i="61"/>
  <c r="S106" i="61"/>
  <c r="T106" i="61"/>
  <c r="U106" i="61"/>
  <c r="S108" i="61"/>
  <c r="T108" i="61"/>
  <c r="U108" i="61"/>
  <c r="S110" i="61"/>
  <c r="T110" i="61"/>
  <c r="U110" i="61"/>
  <c r="S112" i="61"/>
  <c r="T112" i="61"/>
  <c r="U112" i="61"/>
  <c r="S114" i="61"/>
  <c r="T114" i="61"/>
  <c r="U114" i="61"/>
  <c r="S116" i="61"/>
  <c r="T116" i="61"/>
  <c r="U116" i="61"/>
  <c r="S118" i="61"/>
  <c r="T118" i="61"/>
  <c r="U118" i="61"/>
  <c r="S120" i="61"/>
  <c r="T120" i="61"/>
  <c r="U120" i="61"/>
  <c r="S122" i="61"/>
  <c r="T122" i="61"/>
  <c r="U122" i="61"/>
  <c r="S124" i="61"/>
  <c r="T124" i="61"/>
  <c r="U124" i="61"/>
  <c r="S126" i="61"/>
  <c r="T126" i="61"/>
  <c r="U126" i="61"/>
  <c r="S128" i="61"/>
  <c r="T128" i="61"/>
  <c r="U128" i="61"/>
  <c r="Q104" i="61"/>
  <c r="Q106" i="61"/>
  <c r="Q108" i="61"/>
  <c r="Q110" i="61"/>
  <c r="Q112" i="61"/>
  <c r="Q114" i="61"/>
  <c r="Q116" i="61"/>
  <c r="Q118" i="61"/>
  <c r="Q120" i="61"/>
  <c r="Q122" i="61"/>
  <c r="Q124" i="61"/>
  <c r="Q126" i="61"/>
  <c r="Q128" i="61"/>
  <c r="N104" i="61"/>
  <c r="O104" i="61"/>
  <c r="P104" i="61"/>
  <c r="N106" i="61"/>
  <c r="O106" i="61"/>
  <c r="P106" i="61"/>
  <c r="N108" i="61"/>
  <c r="O108" i="61"/>
  <c r="P108" i="61"/>
  <c r="N110" i="61"/>
  <c r="O110" i="61"/>
  <c r="P110" i="61"/>
  <c r="N112" i="61"/>
  <c r="O112" i="61"/>
  <c r="P112" i="61"/>
  <c r="N114" i="61"/>
  <c r="O114" i="61"/>
  <c r="P114" i="61"/>
  <c r="N116" i="61"/>
  <c r="O116" i="61"/>
  <c r="P116" i="61"/>
  <c r="N118" i="61"/>
  <c r="O118" i="61"/>
  <c r="P118" i="61"/>
  <c r="N120" i="61"/>
  <c r="O120" i="61"/>
  <c r="P120" i="61"/>
  <c r="N122" i="61"/>
  <c r="O122" i="61"/>
  <c r="P122" i="61"/>
  <c r="N124" i="61"/>
  <c r="O124" i="61"/>
  <c r="P124" i="61"/>
  <c r="N126" i="61"/>
  <c r="O126" i="61"/>
  <c r="P126" i="61"/>
  <c r="N128" i="61"/>
  <c r="O128" i="61"/>
  <c r="P128" i="61"/>
  <c r="L104" i="61"/>
  <c r="L106" i="61"/>
  <c r="L108" i="61"/>
  <c r="L110" i="61"/>
  <c r="L112" i="61"/>
  <c r="L114" i="61"/>
  <c r="L116" i="61"/>
  <c r="L118" i="61"/>
  <c r="L120" i="61"/>
  <c r="L122" i="61"/>
  <c r="L124" i="61"/>
  <c r="L126" i="61"/>
  <c r="L128" i="61"/>
  <c r="J104" i="61"/>
  <c r="K104" i="61"/>
  <c r="J106" i="61"/>
  <c r="K106" i="61"/>
  <c r="J108" i="61"/>
  <c r="K108" i="61"/>
  <c r="J110" i="61"/>
  <c r="K110" i="61"/>
  <c r="J112" i="61"/>
  <c r="K112" i="61"/>
  <c r="J114" i="61"/>
  <c r="K114" i="61"/>
  <c r="J116" i="61"/>
  <c r="K116" i="61"/>
  <c r="J118" i="61"/>
  <c r="K118" i="61"/>
  <c r="J120" i="61"/>
  <c r="K120" i="61"/>
  <c r="J122" i="61"/>
  <c r="K122" i="61"/>
  <c r="J124" i="61"/>
  <c r="K124" i="61"/>
  <c r="J126" i="61"/>
  <c r="K126" i="61"/>
  <c r="J128" i="61"/>
  <c r="K128" i="61"/>
  <c r="H104" i="61"/>
  <c r="H106" i="61"/>
  <c r="H108" i="61"/>
  <c r="H110" i="61"/>
  <c r="H112" i="61"/>
  <c r="H114" i="61"/>
  <c r="H116" i="61"/>
  <c r="H118" i="61"/>
  <c r="H120" i="61"/>
  <c r="H122" i="61"/>
  <c r="H124" i="61"/>
  <c r="H126" i="61"/>
  <c r="H128" i="61"/>
  <c r="F104" i="61"/>
  <c r="G104" i="61"/>
  <c r="F106" i="61"/>
  <c r="G106" i="61"/>
  <c r="F108" i="61"/>
  <c r="G108" i="61"/>
  <c r="F110" i="61"/>
  <c r="G110" i="61"/>
  <c r="F112" i="61"/>
  <c r="G112" i="61"/>
  <c r="F114" i="61"/>
  <c r="G114" i="61"/>
  <c r="F116" i="61"/>
  <c r="G116" i="61"/>
  <c r="F118" i="61"/>
  <c r="G118" i="61"/>
  <c r="F120" i="61"/>
  <c r="G120" i="61"/>
  <c r="F122" i="61"/>
  <c r="G122" i="61"/>
  <c r="F124" i="61"/>
  <c r="G124" i="61"/>
  <c r="F126" i="61"/>
  <c r="G126" i="61"/>
  <c r="F128" i="61"/>
  <c r="G128" i="61"/>
  <c r="E104" i="61"/>
  <c r="E106" i="61"/>
  <c r="E108" i="61"/>
  <c r="E110" i="61"/>
  <c r="E112" i="61"/>
  <c r="E114" i="61"/>
  <c r="E116" i="61"/>
  <c r="E118" i="61"/>
  <c r="E120" i="61"/>
  <c r="E122" i="61"/>
  <c r="E124" i="61"/>
  <c r="E126" i="61"/>
  <c r="E128" i="61"/>
  <c r="AI102" i="61"/>
  <c r="AH102" i="61"/>
  <c r="AF102" i="61"/>
  <c r="AE102" i="61"/>
  <c r="AD102" i="61"/>
  <c r="AC102" i="61"/>
  <c r="AA102" i="61"/>
  <c r="Z102" i="61"/>
  <c r="Y102" i="61"/>
  <c r="X102" i="61"/>
  <c r="V102" i="61"/>
  <c r="U102" i="61"/>
  <c r="T102" i="61"/>
  <c r="S102" i="61"/>
  <c r="Q102" i="61"/>
  <c r="P102" i="61"/>
  <c r="O102" i="61"/>
  <c r="N102" i="61"/>
  <c r="L102" i="61"/>
  <c r="K102" i="61"/>
  <c r="J102" i="61"/>
  <c r="H102" i="61"/>
  <c r="G102" i="61"/>
  <c r="F102" i="61"/>
  <c r="E102" i="61"/>
  <c r="AI100" i="61"/>
  <c r="AH100" i="61"/>
  <c r="AF100" i="61"/>
  <c r="AE100" i="61"/>
  <c r="AD100" i="61"/>
  <c r="AC100" i="61"/>
  <c r="AA100" i="61"/>
  <c r="Z100" i="61"/>
  <c r="Y100" i="61"/>
  <c r="X100" i="61"/>
  <c r="V100" i="61"/>
  <c r="U100" i="61"/>
  <c r="T100" i="61"/>
  <c r="S100" i="61"/>
  <c r="Q100" i="61"/>
  <c r="P100" i="61"/>
  <c r="O100" i="61"/>
  <c r="N100" i="61"/>
  <c r="L100" i="61"/>
  <c r="K100" i="61"/>
  <c r="J100" i="61"/>
  <c r="H100" i="61"/>
  <c r="G100" i="61"/>
  <c r="F100" i="61"/>
  <c r="E100" i="61"/>
  <c r="AP61" i="61"/>
  <c r="AP63" i="61"/>
  <c r="AP65" i="61"/>
  <c r="AP67" i="61"/>
  <c r="AP69" i="61"/>
  <c r="AP71" i="61"/>
  <c r="AP73" i="61"/>
  <c r="AP75" i="61"/>
  <c r="AP77" i="61"/>
  <c r="AP79" i="61"/>
  <c r="AP81" i="61"/>
  <c r="AP83" i="61"/>
  <c r="AP85" i="61"/>
  <c r="AP59" i="61"/>
  <c r="AP57" i="61"/>
  <c r="AJ59" i="61"/>
  <c r="AJ60" i="61"/>
  <c r="AJ61" i="61"/>
  <c r="AJ62" i="61"/>
  <c r="AJ63" i="61"/>
  <c r="AJ64" i="61"/>
  <c r="AJ65" i="61"/>
  <c r="AJ66" i="61"/>
  <c r="AJ67" i="61"/>
  <c r="AJ68" i="61"/>
  <c r="AJ69" i="61"/>
  <c r="AJ70" i="61"/>
  <c r="AJ71" i="61"/>
  <c r="AJ72" i="61"/>
  <c r="AJ73" i="61"/>
  <c r="AJ74" i="61"/>
  <c r="AJ75" i="61"/>
  <c r="AJ76" i="61"/>
  <c r="AJ77" i="61"/>
  <c r="AJ78" i="61"/>
  <c r="AJ79" i="61"/>
  <c r="AJ80" i="61"/>
  <c r="AJ81" i="61"/>
  <c r="AJ82" i="61"/>
  <c r="AJ83" i="61"/>
  <c r="AJ84" i="61"/>
  <c r="AJ85" i="61"/>
  <c r="AJ86" i="61"/>
  <c r="AJ58" i="61"/>
  <c r="AJ57" i="61"/>
  <c r="AH61" i="61"/>
  <c r="AI61" i="61"/>
  <c r="AH63" i="61"/>
  <c r="AI63" i="61"/>
  <c r="AH65" i="61"/>
  <c r="AI65" i="61"/>
  <c r="AH67" i="61"/>
  <c r="AI67" i="61"/>
  <c r="AH69" i="61"/>
  <c r="AI69" i="61"/>
  <c r="AH71" i="61"/>
  <c r="AI71" i="61"/>
  <c r="AH73" i="61"/>
  <c r="AI73" i="61"/>
  <c r="AH75" i="61"/>
  <c r="AI75" i="61"/>
  <c r="AH77" i="61"/>
  <c r="AI77" i="61"/>
  <c r="AH79" i="61"/>
  <c r="AI79" i="61"/>
  <c r="AH81" i="61"/>
  <c r="AI81" i="61"/>
  <c r="AH83" i="61"/>
  <c r="AI83" i="61"/>
  <c r="AH85" i="61"/>
  <c r="AI85" i="61"/>
  <c r="AF61" i="61"/>
  <c r="AF63" i="61"/>
  <c r="AF65" i="61"/>
  <c r="AF67" i="61"/>
  <c r="AF69" i="61"/>
  <c r="AF71" i="61"/>
  <c r="AF73" i="61"/>
  <c r="AF75" i="61"/>
  <c r="AF77" i="61"/>
  <c r="AF79" i="61"/>
  <c r="AF81" i="61"/>
  <c r="AF83" i="61"/>
  <c r="AF85" i="61"/>
  <c r="AC61" i="61"/>
  <c r="AD61" i="61"/>
  <c r="AE61" i="61"/>
  <c r="AC63" i="61"/>
  <c r="AD63" i="61"/>
  <c r="AE63" i="61"/>
  <c r="AC65" i="61"/>
  <c r="AD65" i="61"/>
  <c r="AE65" i="61"/>
  <c r="AC67" i="61"/>
  <c r="AD67" i="61"/>
  <c r="AE67" i="61"/>
  <c r="AC69" i="61"/>
  <c r="AD69" i="61"/>
  <c r="AE69" i="61"/>
  <c r="AC71" i="61"/>
  <c r="AD71" i="61"/>
  <c r="AE71" i="61"/>
  <c r="AC73" i="61"/>
  <c r="AD73" i="61"/>
  <c r="AE73" i="61"/>
  <c r="AC75" i="61"/>
  <c r="AD75" i="61"/>
  <c r="AE75" i="61"/>
  <c r="AC77" i="61"/>
  <c r="AD77" i="61"/>
  <c r="AE77" i="61"/>
  <c r="AC79" i="61"/>
  <c r="AD79" i="61"/>
  <c r="AE79" i="61"/>
  <c r="AC81" i="61"/>
  <c r="AD81" i="61"/>
  <c r="AE81" i="61"/>
  <c r="AC83" i="61"/>
  <c r="AD83" i="61"/>
  <c r="AE83" i="61"/>
  <c r="AC85" i="61"/>
  <c r="AD85" i="61"/>
  <c r="AE85" i="61"/>
  <c r="AA61" i="61"/>
  <c r="AA63" i="61"/>
  <c r="AA65" i="61"/>
  <c r="AA67" i="61"/>
  <c r="AA69" i="61"/>
  <c r="AA71" i="61"/>
  <c r="AA73" i="61"/>
  <c r="AA75" i="61"/>
  <c r="AA77" i="61"/>
  <c r="AA79" i="61"/>
  <c r="AA81" i="61"/>
  <c r="AA83" i="61"/>
  <c r="AA85" i="61"/>
  <c r="X61" i="61"/>
  <c r="Y61" i="61"/>
  <c r="Z61" i="61"/>
  <c r="X63" i="61"/>
  <c r="Y63" i="61"/>
  <c r="Z63" i="61"/>
  <c r="X65" i="61"/>
  <c r="Y65" i="61"/>
  <c r="Z65" i="61"/>
  <c r="X67" i="61"/>
  <c r="Y67" i="61"/>
  <c r="Z67" i="61"/>
  <c r="X69" i="61"/>
  <c r="Y69" i="61"/>
  <c r="Z69" i="61"/>
  <c r="X71" i="61"/>
  <c r="Y71" i="61"/>
  <c r="Z71" i="61"/>
  <c r="X73" i="61"/>
  <c r="Y73" i="61"/>
  <c r="Z73" i="61"/>
  <c r="X75" i="61"/>
  <c r="Y75" i="61"/>
  <c r="Z75" i="61"/>
  <c r="X77" i="61"/>
  <c r="Y77" i="61"/>
  <c r="Z77" i="61"/>
  <c r="X79" i="61"/>
  <c r="Y79" i="61"/>
  <c r="Z79" i="61"/>
  <c r="X81" i="61"/>
  <c r="Y81" i="61"/>
  <c r="Z81" i="61"/>
  <c r="X83" i="61"/>
  <c r="Y83" i="61"/>
  <c r="Z83" i="61"/>
  <c r="X85" i="61"/>
  <c r="Y85" i="61"/>
  <c r="Z85" i="61"/>
  <c r="V61" i="61"/>
  <c r="V63" i="61"/>
  <c r="V65" i="61"/>
  <c r="V67" i="61"/>
  <c r="V69" i="61"/>
  <c r="V71" i="61"/>
  <c r="V73" i="61"/>
  <c r="V75" i="61"/>
  <c r="V77" i="61"/>
  <c r="V79" i="61"/>
  <c r="V81" i="61"/>
  <c r="V83" i="61"/>
  <c r="V85" i="61"/>
  <c r="S61" i="61"/>
  <c r="T61" i="61"/>
  <c r="U61" i="61"/>
  <c r="S63" i="61"/>
  <c r="T63" i="61"/>
  <c r="U63" i="61"/>
  <c r="S65" i="61"/>
  <c r="T65" i="61"/>
  <c r="U65" i="61"/>
  <c r="S67" i="61"/>
  <c r="T67" i="61"/>
  <c r="U67" i="61"/>
  <c r="S69" i="61"/>
  <c r="T69" i="61"/>
  <c r="U69" i="61"/>
  <c r="S71" i="61"/>
  <c r="T71" i="61"/>
  <c r="U71" i="61"/>
  <c r="S73" i="61"/>
  <c r="T73" i="61"/>
  <c r="U73" i="61"/>
  <c r="S75" i="61"/>
  <c r="T75" i="61"/>
  <c r="U75" i="61"/>
  <c r="S77" i="61"/>
  <c r="T77" i="61"/>
  <c r="U77" i="61"/>
  <c r="S79" i="61"/>
  <c r="T79" i="61"/>
  <c r="U79" i="61"/>
  <c r="S81" i="61"/>
  <c r="T81" i="61"/>
  <c r="U81" i="61"/>
  <c r="S83" i="61"/>
  <c r="T83" i="61"/>
  <c r="U83" i="61"/>
  <c r="S85" i="61"/>
  <c r="T85" i="61"/>
  <c r="U85" i="61"/>
  <c r="Q61" i="61"/>
  <c r="Q63" i="61"/>
  <c r="Q65" i="61"/>
  <c r="Q67" i="61"/>
  <c r="Q69" i="61"/>
  <c r="Q71" i="61"/>
  <c r="Q73" i="61"/>
  <c r="Q75" i="61"/>
  <c r="Q77" i="61"/>
  <c r="Q79" i="61"/>
  <c r="Q81" i="61"/>
  <c r="Q83" i="61"/>
  <c r="Q85" i="61"/>
  <c r="N61" i="61"/>
  <c r="O61" i="61"/>
  <c r="P61" i="61"/>
  <c r="N63" i="61"/>
  <c r="O63" i="61"/>
  <c r="P63" i="61"/>
  <c r="N65" i="61"/>
  <c r="O65" i="61"/>
  <c r="P65" i="61"/>
  <c r="N67" i="61"/>
  <c r="O67" i="61"/>
  <c r="P67" i="61"/>
  <c r="N69" i="61"/>
  <c r="O69" i="61"/>
  <c r="P69" i="61"/>
  <c r="N71" i="61"/>
  <c r="O71" i="61"/>
  <c r="P71" i="61"/>
  <c r="N73" i="61"/>
  <c r="O73" i="61"/>
  <c r="P73" i="61"/>
  <c r="N75" i="61"/>
  <c r="O75" i="61"/>
  <c r="P75" i="61"/>
  <c r="N77" i="61"/>
  <c r="O77" i="61"/>
  <c r="P77" i="61"/>
  <c r="N79" i="61"/>
  <c r="O79" i="61"/>
  <c r="P79" i="61"/>
  <c r="N81" i="61"/>
  <c r="O81" i="61"/>
  <c r="P81" i="61"/>
  <c r="N83" i="61"/>
  <c r="O83" i="61"/>
  <c r="P83" i="61"/>
  <c r="N85" i="61"/>
  <c r="O85" i="61"/>
  <c r="P85" i="61"/>
  <c r="L61" i="61"/>
  <c r="L63" i="61"/>
  <c r="L65" i="61"/>
  <c r="L67" i="61"/>
  <c r="L69" i="61"/>
  <c r="L71" i="61"/>
  <c r="L73" i="61"/>
  <c r="L75" i="61"/>
  <c r="L77" i="61"/>
  <c r="L79" i="61"/>
  <c r="L81" i="61"/>
  <c r="L83" i="61"/>
  <c r="L85" i="61"/>
  <c r="J61" i="61"/>
  <c r="K61" i="61"/>
  <c r="J63" i="61"/>
  <c r="K63" i="61"/>
  <c r="J65" i="61"/>
  <c r="K65" i="61"/>
  <c r="J67" i="61"/>
  <c r="K67" i="61"/>
  <c r="J69" i="61"/>
  <c r="K69" i="61"/>
  <c r="J71" i="61"/>
  <c r="K71" i="61"/>
  <c r="J73" i="61"/>
  <c r="K73" i="61"/>
  <c r="J75" i="61"/>
  <c r="K75" i="61"/>
  <c r="J77" i="61"/>
  <c r="K77" i="61"/>
  <c r="J79" i="61"/>
  <c r="K79" i="61"/>
  <c r="J81" i="61"/>
  <c r="K81" i="61"/>
  <c r="J83" i="61"/>
  <c r="K83" i="61"/>
  <c r="J85" i="61"/>
  <c r="K85" i="61"/>
  <c r="H61" i="61"/>
  <c r="H63" i="61"/>
  <c r="H65" i="61"/>
  <c r="H67" i="61"/>
  <c r="H69" i="61"/>
  <c r="H71" i="61"/>
  <c r="H73" i="61"/>
  <c r="H75" i="61"/>
  <c r="H77" i="61"/>
  <c r="H79" i="61"/>
  <c r="H81" i="61"/>
  <c r="H83" i="61"/>
  <c r="H85" i="61"/>
  <c r="F61" i="61"/>
  <c r="G61" i="61"/>
  <c r="F63" i="61"/>
  <c r="G63" i="61"/>
  <c r="F65" i="61"/>
  <c r="G65" i="61"/>
  <c r="F67" i="61"/>
  <c r="G67" i="61"/>
  <c r="F69" i="61"/>
  <c r="G69" i="61"/>
  <c r="F71" i="61"/>
  <c r="G71" i="61"/>
  <c r="F73" i="61"/>
  <c r="G73" i="61"/>
  <c r="F75" i="61"/>
  <c r="G75" i="61"/>
  <c r="F77" i="61"/>
  <c r="G77" i="61"/>
  <c r="F79" i="61"/>
  <c r="G79" i="61"/>
  <c r="F81" i="61"/>
  <c r="G81" i="61"/>
  <c r="F83" i="61"/>
  <c r="G83" i="61"/>
  <c r="F85" i="61"/>
  <c r="G85" i="61"/>
  <c r="E61" i="61"/>
  <c r="E63" i="61"/>
  <c r="E65" i="61"/>
  <c r="E67" i="61"/>
  <c r="E69" i="61"/>
  <c r="E71" i="61"/>
  <c r="E73" i="61"/>
  <c r="E75" i="61"/>
  <c r="E77" i="61"/>
  <c r="E79" i="61"/>
  <c r="E81" i="61"/>
  <c r="E83" i="61"/>
  <c r="E85" i="61"/>
  <c r="AI59" i="61"/>
  <c r="AH59" i="61"/>
  <c r="AF59" i="61"/>
  <c r="AE59" i="61"/>
  <c r="AD59" i="61"/>
  <c r="AC59" i="61"/>
  <c r="AA59" i="61"/>
  <c r="Z59" i="61"/>
  <c r="Y59" i="61"/>
  <c r="X59" i="61"/>
  <c r="V59" i="61"/>
  <c r="U59" i="61"/>
  <c r="T59" i="61"/>
  <c r="S59" i="61"/>
  <c r="Q59" i="61"/>
  <c r="P59" i="61"/>
  <c r="O59" i="61"/>
  <c r="N59" i="61"/>
  <c r="L59" i="61"/>
  <c r="K59" i="61"/>
  <c r="J59" i="61"/>
  <c r="H59" i="61"/>
  <c r="G59" i="61"/>
  <c r="F59" i="61"/>
  <c r="E59" i="61"/>
  <c r="AI57" i="61"/>
  <c r="AH57" i="61"/>
  <c r="AF57" i="61"/>
  <c r="AE57" i="61"/>
  <c r="AD57" i="61"/>
  <c r="AC57" i="61"/>
  <c r="AA57" i="61"/>
  <c r="Z57" i="61"/>
  <c r="Y57" i="61"/>
  <c r="X57" i="61"/>
  <c r="V57" i="61"/>
  <c r="U57" i="61"/>
  <c r="T57" i="61"/>
  <c r="S57" i="61"/>
  <c r="Q57" i="61"/>
  <c r="P57" i="61"/>
  <c r="O57" i="61"/>
  <c r="N57" i="61"/>
  <c r="L57" i="61"/>
  <c r="K57" i="61"/>
  <c r="J57" i="61"/>
  <c r="H57" i="61"/>
  <c r="G57" i="61"/>
  <c r="F57" i="61"/>
  <c r="E57" i="61"/>
  <c r="AP18" i="61"/>
  <c r="AP20" i="61"/>
  <c r="AP22" i="61"/>
  <c r="AP24" i="61"/>
  <c r="AP26" i="61"/>
  <c r="AP28" i="61"/>
  <c r="AP30" i="61"/>
  <c r="AP32" i="61"/>
  <c r="AP34" i="61"/>
  <c r="AP36" i="61"/>
  <c r="AP38" i="61"/>
  <c r="AP40" i="61"/>
  <c r="AP42" i="61"/>
  <c r="AP16" i="61"/>
  <c r="AP14" i="61"/>
  <c r="AJ16" i="61"/>
  <c r="AJ17" i="61"/>
  <c r="AJ18" i="61"/>
  <c r="AJ19" i="61"/>
  <c r="AJ20" i="61"/>
  <c r="AJ21" i="61"/>
  <c r="AJ22" i="61"/>
  <c r="AJ23" i="61"/>
  <c r="AJ24" i="61"/>
  <c r="AJ25" i="61"/>
  <c r="AJ26" i="61"/>
  <c r="AJ27" i="61"/>
  <c r="AJ28" i="61"/>
  <c r="AJ29" i="61"/>
  <c r="AJ30" i="61"/>
  <c r="AJ31" i="61"/>
  <c r="AJ32" i="61"/>
  <c r="AJ33" i="61"/>
  <c r="AJ34" i="61"/>
  <c r="AJ35" i="61"/>
  <c r="AJ36" i="61"/>
  <c r="AJ37" i="61"/>
  <c r="AJ38" i="61"/>
  <c r="AJ39" i="61"/>
  <c r="AJ40" i="61"/>
  <c r="AJ41" i="61"/>
  <c r="AJ42" i="61"/>
  <c r="AJ43" i="61"/>
  <c r="AJ15" i="61"/>
  <c r="AJ14" i="61"/>
  <c r="AH18" i="61"/>
  <c r="AI18" i="61"/>
  <c r="AH20" i="61"/>
  <c r="AI20" i="61"/>
  <c r="AH22" i="61"/>
  <c r="AI22" i="61"/>
  <c r="AH24" i="61"/>
  <c r="AI24" i="61"/>
  <c r="AH26" i="61"/>
  <c r="AI26" i="61"/>
  <c r="AH28" i="61"/>
  <c r="AI28" i="61"/>
  <c r="AH30" i="61"/>
  <c r="AI30" i="61"/>
  <c r="AH32" i="61"/>
  <c r="AI32" i="61"/>
  <c r="AH34" i="61"/>
  <c r="AI34" i="61"/>
  <c r="AH36" i="61"/>
  <c r="AI36" i="61"/>
  <c r="AH38" i="61"/>
  <c r="AI38" i="61"/>
  <c r="AH40" i="61"/>
  <c r="AI40" i="61"/>
  <c r="AH42" i="61"/>
  <c r="AI42" i="61"/>
  <c r="AF18" i="61"/>
  <c r="AF20" i="61"/>
  <c r="AF22" i="61"/>
  <c r="AF24" i="61"/>
  <c r="AF26" i="61"/>
  <c r="AF28" i="61"/>
  <c r="AF30" i="61"/>
  <c r="AF32" i="61"/>
  <c r="AF34" i="61"/>
  <c r="AF36" i="61"/>
  <c r="AF38" i="61"/>
  <c r="AF40" i="61"/>
  <c r="AF42" i="61"/>
  <c r="AC18" i="61"/>
  <c r="AD18" i="61"/>
  <c r="AE18" i="61"/>
  <c r="AC20" i="61"/>
  <c r="AD20" i="61"/>
  <c r="AE20" i="61"/>
  <c r="AC22" i="61"/>
  <c r="AD22" i="61"/>
  <c r="AE22" i="61"/>
  <c r="AC24" i="61"/>
  <c r="AD24" i="61"/>
  <c r="AE24" i="61"/>
  <c r="AC26" i="61"/>
  <c r="AD26" i="61"/>
  <c r="AE26" i="61"/>
  <c r="AC28" i="61"/>
  <c r="AD28" i="61"/>
  <c r="AE28" i="61"/>
  <c r="AC30" i="61"/>
  <c r="AD30" i="61"/>
  <c r="AE30" i="61"/>
  <c r="AC32" i="61"/>
  <c r="AD32" i="61"/>
  <c r="AE32" i="61"/>
  <c r="AC34" i="61"/>
  <c r="AD34" i="61"/>
  <c r="AE34" i="61"/>
  <c r="AC36" i="61"/>
  <c r="AD36" i="61"/>
  <c r="AE36" i="61"/>
  <c r="AC38" i="61"/>
  <c r="AD38" i="61"/>
  <c r="AE38" i="61"/>
  <c r="AC40" i="61"/>
  <c r="AD40" i="61"/>
  <c r="AE40" i="61"/>
  <c r="AC42" i="61"/>
  <c r="AD42" i="61"/>
  <c r="AE42" i="61"/>
  <c r="AA18" i="61"/>
  <c r="AA20" i="61"/>
  <c r="AA22" i="61"/>
  <c r="AA24" i="61"/>
  <c r="AA26" i="61"/>
  <c r="AA28" i="61"/>
  <c r="AA30" i="61"/>
  <c r="AA32" i="61"/>
  <c r="AA34" i="61"/>
  <c r="AA36" i="61"/>
  <c r="AA38" i="61"/>
  <c r="AA40" i="61"/>
  <c r="AA42" i="61"/>
  <c r="X18" i="61"/>
  <c r="Y18" i="61"/>
  <c r="Z18" i="61"/>
  <c r="X20" i="61"/>
  <c r="Y20" i="61"/>
  <c r="Z20" i="61"/>
  <c r="X22" i="61"/>
  <c r="Y22" i="61"/>
  <c r="Z22" i="61"/>
  <c r="X24" i="61"/>
  <c r="Y24" i="61"/>
  <c r="Z24" i="61"/>
  <c r="X26" i="61"/>
  <c r="Y26" i="61"/>
  <c r="Z26" i="61"/>
  <c r="X28" i="61"/>
  <c r="Y28" i="61"/>
  <c r="Z28" i="61"/>
  <c r="X30" i="61"/>
  <c r="Y30" i="61"/>
  <c r="Z30" i="61"/>
  <c r="X32" i="61"/>
  <c r="Y32" i="61"/>
  <c r="Z32" i="61"/>
  <c r="X34" i="61"/>
  <c r="Y34" i="61"/>
  <c r="Z34" i="61"/>
  <c r="X36" i="61"/>
  <c r="Y36" i="61"/>
  <c r="Z36" i="61"/>
  <c r="X38" i="61"/>
  <c r="Y38" i="61"/>
  <c r="Z38" i="61"/>
  <c r="X40" i="61"/>
  <c r="Y40" i="61"/>
  <c r="Z40" i="61"/>
  <c r="X42" i="61"/>
  <c r="Y42" i="61"/>
  <c r="Z42" i="61"/>
  <c r="V18" i="61"/>
  <c r="V20" i="61"/>
  <c r="V22" i="61"/>
  <c r="V24" i="61"/>
  <c r="V26" i="61"/>
  <c r="V28" i="61"/>
  <c r="V30" i="61"/>
  <c r="V32" i="61"/>
  <c r="V34" i="61"/>
  <c r="V36" i="61"/>
  <c r="V38" i="61"/>
  <c r="V40" i="61"/>
  <c r="V42" i="61"/>
  <c r="S18" i="61"/>
  <c r="T18" i="61"/>
  <c r="U18" i="61"/>
  <c r="S20" i="61"/>
  <c r="T20" i="61"/>
  <c r="U20" i="61"/>
  <c r="S22" i="61"/>
  <c r="T22" i="61"/>
  <c r="U22" i="61"/>
  <c r="S24" i="61"/>
  <c r="T24" i="61"/>
  <c r="U24" i="61"/>
  <c r="S26" i="61"/>
  <c r="T26" i="61"/>
  <c r="U26" i="61"/>
  <c r="S28" i="61"/>
  <c r="T28" i="61"/>
  <c r="U28" i="61"/>
  <c r="S30" i="61"/>
  <c r="T30" i="61"/>
  <c r="U30" i="61"/>
  <c r="S32" i="61"/>
  <c r="T32" i="61"/>
  <c r="U32" i="61"/>
  <c r="S34" i="61"/>
  <c r="T34" i="61"/>
  <c r="U34" i="61"/>
  <c r="S36" i="61"/>
  <c r="T36" i="61"/>
  <c r="U36" i="61"/>
  <c r="S38" i="61"/>
  <c r="T38" i="61"/>
  <c r="U38" i="61"/>
  <c r="S40" i="61"/>
  <c r="T40" i="61"/>
  <c r="U40" i="61"/>
  <c r="S42" i="61"/>
  <c r="T42" i="61"/>
  <c r="U42" i="61"/>
  <c r="Q18" i="61"/>
  <c r="Q20" i="61"/>
  <c r="Q22" i="61"/>
  <c r="Q24" i="61"/>
  <c r="Q26" i="61"/>
  <c r="Q28" i="61"/>
  <c r="Q30" i="61"/>
  <c r="Q32" i="61"/>
  <c r="Q34" i="61"/>
  <c r="Q36" i="61"/>
  <c r="Q38" i="61"/>
  <c r="Q40" i="61"/>
  <c r="Q42" i="61"/>
  <c r="N18" i="61"/>
  <c r="O18" i="61"/>
  <c r="P18" i="61"/>
  <c r="N20" i="61"/>
  <c r="O20" i="61"/>
  <c r="P20" i="61"/>
  <c r="N22" i="61"/>
  <c r="O22" i="61"/>
  <c r="P22" i="61"/>
  <c r="N24" i="61"/>
  <c r="O24" i="61"/>
  <c r="P24" i="61"/>
  <c r="N26" i="61"/>
  <c r="O26" i="61"/>
  <c r="P26" i="61"/>
  <c r="N28" i="61"/>
  <c r="O28" i="61"/>
  <c r="P28" i="61"/>
  <c r="N30" i="61"/>
  <c r="O30" i="61"/>
  <c r="P30" i="61"/>
  <c r="N32" i="61"/>
  <c r="O32" i="61"/>
  <c r="P32" i="61"/>
  <c r="N34" i="61"/>
  <c r="O34" i="61"/>
  <c r="P34" i="61"/>
  <c r="N36" i="61"/>
  <c r="O36" i="61"/>
  <c r="P36" i="61"/>
  <c r="N38" i="61"/>
  <c r="O38" i="61"/>
  <c r="P38" i="61"/>
  <c r="N40" i="61"/>
  <c r="O40" i="61"/>
  <c r="P40" i="61"/>
  <c r="N42" i="61"/>
  <c r="O42" i="61"/>
  <c r="P42" i="61"/>
  <c r="L18" i="61"/>
  <c r="L20" i="61"/>
  <c r="L22" i="61"/>
  <c r="L24" i="61"/>
  <c r="L26" i="61"/>
  <c r="L28" i="61"/>
  <c r="L30" i="61"/>
  <c r="L32" i="61"/>
  <c r="L34" i="61"/>
  <c r="L36" i="61"/>
  <c r="L38" i="61"/>
  <c r="L40" i="61"/>
  <c r="L42" i="61"/>
  <c r="J18" i="61"/>
  <c r="K18" i="61"/>
  <c r="J20" i="61"/>
  <c r="K20" i="61"/>
  <c r="J22" i="61"/>
  <c r="K22" i="61"/>
  <c r="J24" i="61"/>
  <c r="K24" i="61"/>
  <c r="J26" i="61"/>
  <c r="K26" i="61"/>
  <c r="J28" i="61"/>
  <c r="K28" i="61"/>
  <c r="J30" i="61"/>
  <c r="K30" i="61"/>
  <c r="J32" i="61"/>
  <c r="K32" i="61"/>
  <c r="J34" i="61"/>
  <c r="K34" i="61"/>
  <c r="J36" i="61"/>
  <c r="K36" i="61"/>
  <c r="J38" i="61"/>
  <c r="K38" i="61"/>
  <c r="J40" i="61"/>
  <c r="K40" i="61"/>
  <c r="J42" i="61"/>
  <c r="K42" i="61"/>
  <c r="H18" i="61"/>
  <c r="H20" i="61"/>
  <c r="H22" i="61"/>
  <c r="H24" i="61"/>
  <c r="H26" i="61"/>
  <c r="H28" i="61"/>
  <c r="H30" i="61"/>
  <c r="H32" i="61"/>
  <c r="H34" i="61"/>
  <c r="H36" i="61"/>
  <c r="H38" i="61"/>
  <c r="H40" i="61"/>
  <c r="H42" i="61"/>
  <c r="F18" i="61"/>
  <c r="G18" i="61"/>
  <c r="F20" i="61"/>
  <c r="G20" i="61"/>
  <c r="F22" i="61"/>
  <c r="G22" i="61"/>
  <c r="F24" i="61"/>
  <c r="G24" i="61"/>
  <c r="F26" i="61"/>
  <c r="G26" i="61"/>
  <c r="F28" i="61"/>
  <c r="G28" i="61"/>
  <c r="F30" i="61"/>
  <c r="G30" i="61"/>
  <c r="F32" i="61"/>
  <c r="G32" i="61"/>
  <c r="F34" i="61"/>
  <c r="G34" i="61"/>
  <c r="F36" i="61"/>
  <c r="G36" i="61"/>
  <c r="F38" i="61"/>
  <c r="G38" i="61"/>
  <c r="F40" i="61"/>
  <c r="G40" i="61"/>
  <c r="F42" i="61"/>
  <c r="G42" i="61"/>
  <c r="E18" i="61"/>
  <c r="E20" i="61"/>
  <c r="E22" i="61"/>
  <c r="E24" i="61"/>
  <c r="E26" i="61"/>
  <c r="E28" i="61"/>
  <c r="E30" i="61"/>
  <c r="E32" i="61"/>
  <c r="E34" i="61"/>
  <c r="E36" i="61"/>
  <c r="E38" i="61"/>
  <c r="E40" i="61"/>
  <c r="E42" i="61"/>
  <c r="AI16" i="61"/>
  <c r="AH16" i="61"/>
  <c r="AF16" i="61"/>
  <c r="AE16" i="61"/>
  <c r="AD16" i="61"/>
  <c r="AC16" i="61"/>
  <c r="AA16" i="61"/>
  <c r="Z16" i="61"/>
  <c r="X16" i="61"/>
  <c r="Y16" i="61"/>
  <c r="V16" i="61"/>
  <c r="AI14" i="61"/>
  <c r="AH14" i="61"/>
  <c r="AF14" i="61"/>
  <c r="AE14" i="61"/>
  <c r="AD14" i="61"/>
  <c r="AC14" i="61"/>
  <c r="AA14" i="61"/>
  <c r="Z14" i="61"/>
  <c r="Y14" i="61"/>
  <c r="X14" i="61"/>
  <c r="V14" i="61"/>
  <c r="U14" i="61"/>
  <c r="T14" i="61"/>
  <c r="S14" i="61"/>
  <c r="Q14" i="61"/>
  <c r="P14" i="61"/>
  <c r="O14" i="61"/>
  <c r="N14" i="61"/>
  <c r="L14" i="61"/>
  <c r="K14" i="61"/>
  <c r="J14" i="61"/>
  <c r="H14" i="61"/>
  <c r="G14" i="61"/>
  <c r="F14" i="61"/>
  <c r="E16" i="61"/>
  <c r="E14" i="61"/>
  <c r="C558" i="61"/>
  <c r="C534" i="61"/>
  <c r="C536" i="61"/>
  <c r="C538" i="61"/>
  <c r="C540" i="61"/>
  <c r="C542" i="61"/>
  <c r="C544" i="61"/>
  <c r="C546" i="61"/>
  <c r="C548" i="61"/>
  <c r="C550" i="61"/>
  <c r="C552" i="61"/>
  <c r="C554" i="61"/>
  <c r="C556" i="61"/>
  <c r="C532" i="61"/>
  <c r="C530" i="61"/>
  <c r="C515" i="61"/>
  <c r="C491" i="61"/>
  <c r="C493" i="61"/>
  <c r="C495" i="61"/>
  <c r="C497" i="61"/>
  <c r="C499" i="61"/>
  <c r="C501" i="61"/>
  <c r="C503" i="61"/>
  <c r="C505" i="61"/>
  <c r="C507" i="61"/>
  <c r="C509" i="61"/>
  <c r="C511" i="61"/>
  <c r="C513" i="61"/>
  <c r="C489" i="61"/>
  <c r="C487" i="61"/>
  <c r="C472" i="61"/>
  <c r="C448" i="61"/>
  <c r="C450" i="61"/>
  <c r="C452" i="61"/>
  <c r="C454" i="61"/>
  <c r="C456" i="61"/>
  <c r="C458" i="61"/>
  <c r="C460" i="61"/>
  <c r="C462" i="61"/>
  <c r="C464" i="61"/>
  <c r="C466" i="61"/>
  <c r="C468" i="61"/>
  <c r="C470" i="61"/>
  <c r="C446" i="61"/>
  <c r="C444" i="61"/>
  <c r="C429" i="61"/>
  <c r="C405" i="61"/>
  <c r="C407" i="61"/>
  <c r="C409" i="61"/>
  <c r="C411" i="61"/>
  <c r="C413" i="61"/>
  <c r="C415" i="61"/>
  <c r="C417" i="61"/>
  <c r="C419" i="61"/>
  <c r="C421" i="61"/>
  <c r="C423" i="61"/>
  <c r="C425" i="61"/>
  <c r="C427" i="61"/>
  <c r="C403" i="61"/>
  <c r="C401" i="61"/>
  <c r="C386" i="61"/>
  <c r="C362" i="61"/>
  <c r="C364" i="61"/>
  <c r="C366" i="61"/>
  <c r="C368" i="61"/>
  <c r="C370" i="61"/>
  <c r="C372" i="61"/>
  <c r="C374" i="61"/>
  <c r="C376" i="61"/>
  <c r="C378" i="61"/>
  <c r="C380" i="61"/>
  <c r="C382" i="61"/>
  <c r="C384" i="61"/>
  <c r="C360" i="61"/>
  <c r="C358" i="61"/>
  <c r="C343" i="61"/>
  <c r="C319" i="61"/>
  <c r="C321" i="61"/>
  <c r="C323" i="61"/>
  <c r="C325" i="61"/>
  <c r="C327" i="61"/>
  <c r="C329" i="61"/>
  <c r="C331" i="61"/>
  <c r="C333" i="61"/>
  <c r="C335" i="61"/>
  <c r="C337" i="61"/>
  <c r="C339" i="61"/>
  <c r="C341" i="61"/>
  <c r="C317" i="61"/>
  <c r="C315" i="61"/>
  <c r="C300" i="61"/>
  <c r="C276" i="61"/>
  <c r="C278" i="61"/>
  <c r="C280" i="61"/>
  <c r="C282" i="61"/>
  <c r="C284" i="61"/>
  <c r="C286" i="61"/>
  <c r="C288" i="61"/>
  <c r="C290" i="61"/>
  <c r="C292" i="61"/>
  <c r="C294" i="61"/>
  <c r="C296" i="61"/>
  <c r="C298" i="61"/>
  <c r="C274" i="61"/>
  <c r="C272" i="61"/>
  <c r="C257" i="61"/>
  <c r="C233" i="61"/>
  <c r="C235" i="61"/>
  <c r="C237" i="61"/>
  <c r="C239" i="61"/>
  <c r="C241" i="61"/>
  <c r="C243" i="61"/>
  <c r="C245" i="61"/>
  <c r="C247" i="61"/>
  <c r="C249" i="61"/>
  <c r="C251" i="61"/>
  <c r="C253" i="61"/>
  <c r="C255" i="61"/>
  <c r="C231" i="61"/>
  <c r="C229" i="61"/>
  <c r="C214" i="61"/>
  <c r="C190" i="61"/>
  <c r="C192" i="61"/>
  <c r="C194" i="61"/>
  <c r="C196" i="61"/>
  <c r="C198" i="61"/>
  <c r="C200" i="61"/>
  <c r="C202" i="61"/>
  <c r="C204" i="61"/>
  <c r="C206" i="61"/>
  <c r="C208" i="61"/>
  <c r="C210" i="61"/>
  <c r="C212" i="61"/>
  <c r="C188" i="61"/>
  <c r="C186" i="61"/>
  <c r="C171" i="61"/>
  <c r="C147" i="61"/>
  <c r="C149" i="61"/>
  <c r="C151" i="61"/>
  <c r="C153" i="61"/>
  <c r="C155" i="61"/>
  <c r="C157" i="61"/>
  <c r="C159" i="61"/>
  <c r="C161" i="61"/>
  <c r="C163" i="61"/>
  <c r="C165" i="61"/>
  <c r="C167" i="61"/>
  <c r="C169" i="61"/>
  <c r="C145" i="61"/>
  <c r="C143" i="61"/>
  <c r="AF6" i="61"/>
  <c r="AF5" i="61"/>
  <c r="C128" i="61"/>
  <c r="C104" i="61"/>
  <c r="C106" i="61"/>
  <c r="C108" i="61"/>
  <c r="C110" i="61"/>
  <c r="C112" i="61"/>
  <c r="C114" i="61"/>
  <c r="C116" i="61"/>
  <c r="C118" i="61"/>
  <c r="C120" i="61"/>
  <c r="C122" i="61"/>
  <c r="C124" i="61"/>
  <c r="C126" i="61"/>
  <c r="C102" i="61"/>
  <c r="C100" i="61"/>
  <c r="C85" i="61"/>
  <c r="C69" i="61"/>
  <c r="C71" i="61"/>
  <c r="C73" i="61"/>
  <c r="C75" i="61"/>
  <c r="C77" i="61"/>
  <c r="C79" i="61"/>
  <c r="C81" i="61"/>
  <c r="C83" i="61"/>
  <c r="C61" i="61"/>
  <c r="C63" i="61"/>
  <c r="C65" i="61"/>
  <c r="C67" i="61"/>
  <c r="C59" i="61"/>
  <c r="C57" i="61"/>
  <c r="AQ5" i="61"/>
  <c r="AK5" i="61"/>
  <c r="D47" i="61" l="1"/>
  <c r="J6" i="61"/>
  <c r="J49" i="61" s="1"/>
  <c r="G6" i="61"/>
  <c r="G49" i="61" s="1"/>
  <c r="D6" i="61"/>
  <c r="D49" i="61" s="1"/>
  <c r="D520" i="61" l="1"/>
  <c r="D522" i="61"/>
  <c r="G522" i="61"/>
  <c r="J522" i="61"/>
  <c r="D477" i="61"/>
  <c r="D479" i="61"/>
  <c r="G479" i="61"/>
  <c r="J479" i="61"/>
  <c r="D434" i="61"/>
  <c r="D436" i="61"/>
  <c r="G436" i="61"/>
  <c r="J436" i="61"/>
  <c r="D393" i="61"/>
  <c r="G393" i="61"/>
  <c r="D391" i="61"/>
  <c r="J393" i="61"/>
  <c r="D348" i="61"/>
  <c r="D350" i="61"/>
  <c r="G350" i="61"/>
  <c r="J350" i="61"/>
  <c r="D307" i="61"/>
  <c r="D305" i="61"/>
  <c r="G307" i="61"/>
  <c r="J307" i="61"/>
  <c r="D262" i="61"/>
  <c r="D264" i="61"/>
  <c r="G264" i="61"/>
  <c r="J264" i="61"/>
  <c r="D219" i="61"/>
  <c r="D221" i="61"/>
  <c r="G221" i="61"/>
  <c r="J221" i="61"/>
  <c r="D176" i="61"/>
  <c r="D178" i="61"/>
  <c r="G178" i="61"/>
  <c r="J178" i="61"/>
  <c r="D133" i="61"/>
  <c r="D135" i="61"/>
  <c r="G135" i="61"/>
  <c r="J135" i="61"/>
  <c r="D92" i="61"/>
  <c r="D90" i="61"/>
  <c r="G92" i="61"/>
  <c r="J92" i="61"/>
  <c r="AI20" i="70" l="1"/>
  <c r="AU20" i="70"/>
  <c r="AT20" i="70"/>
  <c r="AS20" i="70"/>
  <c r="AR20" i="70"/>
  <c r="AQ20" i="70"/>
  <c r="AO20" i="70"/>
  <c r="AN20" i="70"/>
  <c r="AM20" i="70"/>
  <c r="AL20" i="70"/>
  <c r="AK20" i="70"/>
  <c r="AJ20" i="70"/>
  <c r="AI19" i="70"/>
  <c r="AU19" i="70"/>
  <c r="AT19" i="70"/>
  <c r="AS19" i="70"/>
  <c r="AR19" i="70"/>
  <c r="AP19" i="70"/>
  <c r="AO19" i="70"/>
  <c r="AN19" i="70"/>
  <c r="AM19" i="70"/>
  <c r="AL19" i="70"/>
  <c r="AK19" i="70"/>
  <c r="AJ19" i="70"/>
  <c r="AI18" i="70"/>
  <c r="AU18" i="70"/>
  <c r="AT18" i="70"/>
  <c r="AS18" i="70"/>
  <c r="AR18" i="70"/>
  <c r="AQ18" i="70"/>
  <c r="AP18" i="70"/>
  <c r="AO18" i="70"/>
  <c r="AN18" i="70"/>
  <c r="AM18" i="70"/>
  <c r="AL18" i="70"/>
  <c r="AK18" i="70"/>
  <c r="AJ18" i="70"/>
  <c r="J40" i="71" s="1"/>
  <c r="AI17" i="70"/>
  <c r="AU17" i="70"/>
  <c r="AT17" i="70"/>
  <c r="AS17" i="70"/>
  <c r="AR17" i="70"/>
  <c r="AQ17" i="70"/>
  <c r="AP17" i="70"/>
  <c r="AO17" i="70"/>
  <c r="AN17" i="70"/>
  <c r="AM17" i="70"/>
  <c r="AL17" i="70"/>
  <c r="AK17" i="70"/>
  <c r="AJ17" i="70"/>
  <c r="AI16" i="70"/>
  <c r="AU16" i="70"/>
  <c r="AS16" i="70"/>
  <c r="AR16" i="70"/>
  <c r="AQ16" i="70"/>
  <c r="AP16" i="70"/>
  <c r="AO16" i="70"/>
  <c r="AN16" i="70"/>
  <c r="AM16" i="70"/>
  <c r="AK16" i="70"/>
  <c r="AJ16" i="70"/>
  <c r="AI15" i="70"/>
  <c r="AT15" i="70"/>
  <c r="T35" i="71" s="1"/>
  <c r="AS15" i="70"/>
  <c r="S35" i="71" s="1"/>
  <c r="AR15" i="70"/>
  <c r="R35" i="71" s="1"/>
  <c r="AQ15" i="70"/>
  <c r="Q35" i="71" s="1"/>
  <c r="AP15" i="70"/>
  <c r="P35" i="71" s="1"/>
  <c r="AO15" i="70"/>
  <c r="O35" i="71" s="1"/>
  <c r="AN15" i="70"/>
  <c r="N35" i="71" s="1"/>
  <c r="AL15" i="70"/>
  <c r="L35" i="71" s="1"/>
  <c r="AK15" i="70"/>
  <c r="AJ15" i="70"/>
  <c r="J35" i="71" s="1"/>
  <c r="AI14" i="70"/>
  <c r="AU14" i="70"/>
  <c r="AT14" i="70"/>
  <c r="AS14" i="70"/>
  <c r="AR14" i="70"/>
  <c r="AQ14" i="70"/>
  <c r="AP14" i="70"/>
  <c r="AO14" i="70"/>
  <c r="AN14" i="70"/>
  <c r="AM14" i="70"/>
  <c r="AL14" i="70"/>
  <c r="AK14" i="70"/>
  <c r="AJ14" i="70"/>
  <c r="J37" i="71" s="1"/>
  <c r="AU13" i="70"/>
  <c r="AT13" i="70"/>
  <c r="AS13" i="70"/>
  <c r="AR13" i="70"/>
  <c r="AQ13" i="70"/>
  <c r="AP13" i="70"/>
  <c r="AO13" i="70"/>
  <c r="AN13" i="70"/>
  <c r="AM13" i="70"/>
  <c r="AL13" i="70"/>
  <c r="AK13" i="70"/>
  <c r="AJ13" i="70"/>
  <c r="AI11" i="70"/>
  <c r="AU11" i="70"/>
  <c r="AT11" i="70"/>
  <c r="AS11" i="70"/>
  <c r="AR11" i="70"/>
  <c r="AQ11" i="70"/>
  <c r="AP11" i="70"/>
  <c r="AO11" i="70"/>
  <c r="AN11" i="70"/>
  <c r="AM11" i="70"/>
  <c r="AL11" i="70"/>
  <c r="AK11" i="70"/>
  <c r="AJ11" i="70"/>
  <c r="AI10" i="70"/>
  <c r="AU10" i="70"/>
  <c r="AT10" i="70"/>
  <c r="AS10" i="70"/>
  <c r="AR10" i="70"/>
  <c r="AQ10" i="70"/>
  <c r="AP10" i="70"/>
  <c r="AO10" i="70"/>
  <c r="AN10" i="70"/>
  <c r="AM10" i="70"/>
  <c r="AL10" i="70"/>
  <c r="AK10" i="70"/>
  <c r="AJ10" i="70"/>
  <c r="AI9" i="70"/>
  <c r="AU9" i="70"/>
  <c r="AT9" i="70"/>
  <c r="AS9" i="70"/>
  <c r="AR9" i="70"/>
  <c r="AQ9" i="70"/>
  <c r="AP9" i="70"/>
  <c r="AO9" i="70"/>
  <c r="AN9" i="70"/>
  <c r="AM9" i="70"/>
  <c r="AL9" i="70"/>
  <c r="AK9" i="70"/>
  <c r="AJ9" i="70"/>
  <c r="AI8" i="70"/>
  <c r="AU8" i="70"/>
  <c r="AT8" i="70"/>
  <c r="AS8" i="70"/>
  <c r="AR8" i="70"/>
  <c r="AQ8" i="70"/>
  <c r="AP8" i="70"/>
  <c r="AO8" i="70"/>
  <c r="AN8" i="70"/>
  <c r="AM8" i="70"/>
  <c r="AL8" i="70"/>
  <c r="AK8" i="70"/>
  <c r="AJ8" i="70"/>
  <c r="AI7" i="70"/>
  <c r="AU7" i="70"/>
  <c r="AT7" i="70"/>
  <c r="AS7" i="70"/>
  <c r="AR7" i="70"/>
  <c r="AQ7" i="70"/>
  <c r="AP7" i="70"/>
  <c r="AO7" i="70"/>
  <c r="AN7" i="70"/>
  <c r="AM7" i="70"/>
  <c r="AL7" i="70"/>
  <c r="AK7" i="70"/>
  <c r="AJ7" i="70"/>
  <c r="AI6" i="70"/>
  <c r="AU6" i="70"/>
  <c r="AT6" i="70"/>
  <c r="AS6" i="70"/>
  <c r="AR6" i="70"/>
  <c r="AP6" i="70"/>
  <c r="AO6" i="70"/>
  <c r="AN6" i="70"/>
  <c r="AM6" i="70"/>
  <c r="AL6" i="70"/>
  <c r="AK6" i="70"/>
  <c r="AJ6" i="70"/>
  <c r="AI5" i="70"/>
  <c r="AU5" i="70"/>
  <c r="AT5" i="70"/>
  <c r="AS5" i="70"/>
  <c r="AR5" i="70"/>
  <c r="AQ5" i="70"/>
  <c r="AP5" i="70"/>
  <c r="AN5" i="70"/>
  <c r="AM5" i="70"/>
  <c r="AL5" i="70"/>
  <c r="AK5" i="70"/>
  <c r="AU4" i="70"/>
  <c r="AT4" i="70"/>
  <c r="AS4" i="70"/>
  <c r="AR4" i="70"/>
  <c r="AQ4" i="70"/>
  <c r="AP4" i="70"/>
  <c r="AO4" i="70"/>
  <c r="AN4" i="70"/>
  <c r="AM4" i="70"/>
  <c r="AL4" i="70"/>
  <c r="AK4" i="70"/>
  <c r="AJ4" i="70"/>
  <c r="C42" i="61"/>
  <c r="C40" i="61"/>
  <c r="C38" i="61"/>
  <c r="C36" i="61"/>
  <c r="C34" i="61"/>
  <c r="C32" i="61"/>
  <c r="C30" i="61"/>
  <c r="C28" i="61"/>
  <c r="C26" i="61"/>
  <c r="C24" i="61"/>
  <c r="C22" i="61"/>
  <c r="C20" i="61"/>
  <c r="C18" i="61"/>
  <c r="U16" i="61"/>
  <c r="T16" i="61"/>
  <c r="S16" i="61"/>
  <c r="Q16" i="61"/>
  <c r="P16" i="61"/>
  <c r="O16" i="61"/>
  <c r="N16" i="61"/>
  <c r="L16" i="61"/>
  <c r="K16" i="61"/>
  <c r="J16" i="61"/>
  <c r="H16" i="61"/>
  <c r="G16" i="61"/>
  <c r="F16" i="61"/>
  <c r="C16" i="61"/>
  <c r="C14" i="61"/>
  <c r="D10" i="40"/>
  <c r="D52" i="40" s="1"/>
  <c r="E64" i="68"/>
  <c r="C64" i="68"/>
  <c r="E63" i="68"/>
  <c r="C63" i="68"/>
  <c r="O62" i="68"/>
  <c r="C62" i="68"/>
  <c r="Z53" i="68"/>
  <c r="W53" i="68"/>
  <c r="T53" i="68"/>
  <c r="Q53" i="68"/>
  <c r="N53" i="68"/>
  <c r="K53" i="68"/>
  <c r="H53" i="68"/>
  <c r="E53" i="68"/>
  <c r="Z51" i="68"/>
  <c r="W51" i="68"/>
  <c r="T51" i="68"/>
  <c r="Q51" i="68"/>
  <c r="N51" i="68"/>
  <c r="K51" i="68"/>
  <c r="H51" i="68"/>
  <c r="E51" i="68"/>
  <c r="AL46" i="68"/>
  <c r="AI46" i="68"/>
  <c r="AF46" i="68"/>
  <c r="AC46" i="68"/>
  <c r="Z46" i="68"/>
  <c r="W46" i="68"/>
  <c r="T46" i="68"/>
  <c r="Q46" i="68"/>
  <c r="N46" i="68"/>
  <c r="K46" i="68"/>
  <c r="H46" i="68"/>
  <c r="E46" i="68"/>
  <c r="AL44" i="68"/>
  <c r="AL48" i="68" s="1"/>
  <c r="AI44" i="68"/>
  <c r="AI48" i="68" s="1"/>
  <c r="AF44" i="68"/>
  <c r="AF48" i="68" s="1"/>
  <c r="AC44" i="68"/>
  <c r="AC48" i="68" s="1"/>
  <c r="Z44" i="68"/>
  <c r="Z48" i="68" s="1"/>
  <c r="W44" i="68"/>
  <c r="W48" i="68" s="1"/>
  <c r="T44" i="68"/>
  <c r="T48" i="68" s="1"/>
  <c r="Q44" i="68"/>
  <c r="Q48" i="68" s="1"/>
  <c r="N44" i="68"/>
  <c r="N48" i="68" s="1"/>
  <c r="K44" i="68"/>
  <c r="K48" i="68" s="1"/>
  <c r="H44" i="68"/>
  <c r="H48" i="68" s="1"/>
  <c r="E44" i="68"/>
  <c r="E48" i="68" s="1"/>
  <c r="AL39" i="68"/>
  <c r="AI39" i="68"/>
  <c r="AF39" i="68"/>
  <c r="AC39" i="68"/>
  <c r="Z39" i="68"/>
  <c r="W39" i="68"/>
  <c r="T39" i="68"/>
  <c r="Q39" i="68"/>
  <c r="N39" i="68"/>
  <c r="K39" i="68"/>
  <c r="H39" i="68"/>
  <c r="E39" i="68"/>
  <c r="AL37" i="68"/>
  <c r="AL41" i="68" s="1"/>
  <c r="AI37" i="68"/>
  <c r="AI41" i="68" s="1"/>
  <c r="AF37" i="68"/>
  <c r="AF41" i="68" s="1"/>
  <c r="AC37" i="68"/>
  <c r="AC41" i="68" s="1"/>
  <c r="Z37" i="68"/>
  <c r="Z41" i="68" s="1"/>
  <c r="W37" i="68"/>
  <c r="W41" i="68" s="1"/>
  <c r="T37" i="68"/>
  <c r="T41" i="68" s="1"/>
  <c r="Q37" i="68"/>
  <c r="Q41" i="68" s="1"/>
  <c r="N37" i="68"/>
  <c r="N41" i="68" s="1"/>
  <c r="K37" i="68"/>
  <c r="K41" i="68" s="1"/>
  <c r="H37" i="68"/>
  <c r="H41" i="68" s="1"/>
  <c r="E37" i="68"/>
  <c r="E41" i="68" s="1"/>
  <c r="AL32" i="68"/>
  <c r="AI32" i="68"/>
  <c r="AF32" i="68"/>
  <c r="AC32" i="68"/>
  <c r="Z32" i="68"/>
  <c r="W32" i="68"/>
  <c r="T32" i="68"/>
  <c r="Q32" i="68"/>
  <c r="N32" i="68"/>
  <c r="K32" i="68"/>
  <c r="H32" i="68"/>
  <c r="E32" i="68"/>
  <c r="AL30" i="68"/>
  <c r="AL34" i="68" s="1"/>
  <c r="AI30" i="68"/>
  <c r="AI34" i="68" s="1"/>
  <c r="AF30" i="68"/>
  <c r="AF34" i="68" s="1"/>
  <c r="AC30" i="68"/>
  <c r="AC34" i="68" s="1"/>
  <c r="Z30" i="68"/>
  <c r="Z34" i="68" s="1"/>
  <c r="W30" i="68"/>
  <c r="W34" i="68" s="1"/>
  <c r="T30" i="68"/>
  <c r="T34" i="68" s="1"/>
  <c r="Q30" i="68"/>
  <c r="Q34" i="68" s="1"/>
  <c r="N30" i="68"/>
  <c r="N34" i="68" s="1"/>
  <c r="K30" i="68"/>
  <c r="H30" i="68"/>
  <c r="H34" i="68" s="1"/>
  <c r="E30" i="68"/>
  <c r="E34" i="68" s="1"/>
  <c r="AL25" i="68"/>
  <c r="AI25" i="68"/>
  <c r="AF25" i="68"/>
  <c r="AC25" i="68"/>
  <c r="Z25" i="68"/>
  <c r="W25" i="68"/>
  <c r="T25" i="68"/>
  <c r="Q25" i="68"/>
  <c r="N25" i="68"/>
  <c r="K25" i="68"/>
  <c r="H25" i="68"/>
  <c r="E25" i="68"/>
  <c r="E27" i="68" s="1"/>
  <c r="AL23" i="68"/>
  <c r="AL27" i="68" s="1"/>
  <c r="AI23" i="68"/>
  <c r="AI27" i="68" s="1"/>
  <c r="AF23" i="68"/>
  <c r="AF27" i="68" s="1"/>
  <c r="AC23" i="68"/>
  <c r="AC27" i="68" s="1"/>
  <c r="Z23" i="68"/>
  <c r="Z27" i="68" s="1"/>
  <c r="W23" i="68"/>
  <c r="W27" i="68" s="1"/>
  <c r="T23" i="68"/>
  <c r="T27" i="68" s="1"/>
  <c r="Q23" i="68"/>
  <c r="Q27" i="68" s="1"/>
  <c r="N23" i="68"/>
  <c r="N27" i="68" s="1"/>
  <c r="K23" i="68"/>
  <c r="H23" i="68"/>
  <c r="H27" i="68" s="1"/>
  <c r="AL18" i="68"/>
  <c r="AI18" i="68"/>
  <c r="AF18" i="68"/>
  <c r="AC18" i="68"/>
  <c r="Z18" i="68"/>
  <c r="W18" i="68"/>
  <c r="T18" i="68"/>
  <c r="Q18" i="68"/>
  <c r="AL16" i="68"/>
  <c r="AI16" i="68"/>
  <c r="AF16" i="68"/>
  <c r="AC16" i="68"/>
  <c r="Z16" i="68"/>
  <c r="W16" i="68"/>
  <c r="W20" i="68" s="1"/>
  <c r="T16" i="68"/>
  <c r="T20" i="68" s="1"/>
  <c r="Q16" i="68"/>
  <c r="Q20" i="68" s="1"/>
  <c r="E7" i="68"/>
  <c r="AK6" i="68"/>
  <c r="AE6" i="68"/>
  <c r="Y6" i="68"/>
  <c r="L6" i="68"/>
  <c r="G6" i="68"/>
  <c r="AC5" i="68"/>
  <c r="E5" i="68"/>
  <c r="T12" i="34"/>
  <c r="N12" i="34"/>
  <c r="I12" i="34"/>
  <c r="C12" i="34"/>
  <c r="T11" i="34"/>
  <c r="N11" i="34"/>
  <c r="I11" i="34"/>
  <c r="C11" i="34"/>
  <c r="T10" i="34"/>
  <c r="N10" i="34"/>
  <c r="I10" i="34"/>
  <c r="E10" i="34"/>
  <c r="N39" i="58"/>
  <c r="J39" i="58"/>
  <c r="G39" i="58"/>
  <c r="G38" i="58"/>
  <c r="G37" i="58"/>
  <c r="I36" i="58"/>
  <c r="G36" i="58"/>
  <c r="R35" i="58"/>
  <c r="O35" i="58"/>
  <c r="R34" i="58"/>
  <c r="O34" i="58"/>
  <c r="U33" i="58"/>
  <c r="G33" i="58"/>
  <c r="D33" i="58"/>
  <c r="U32" i="58"/>
  <c r="G32" i="58"/>
  <c r="D32" i="58"/>
  <c r="U31" i="58"/>
  <c r="G31" i="58"/>
  <c r="D31" i="58"/>
  <c r="U30" i="58"/>
  <c r="G30" i="58"/>
  <c r="D30" i="58"/>
  <c r="U29" i="58"/>
  <c r="G29" i="58"/>
  <c r="D29" i="58"/>
  <c r="U28" i="58"/>
  <c r="G28" i="58"/>
  <c r="D28" i="58"/>
  <c r="U27" i="58"/>
  <c r="G27" i="58"/>
  <c r="D27" i="58"/>
  <c r="U26" i="58"/>
  <c r="G26" i="58"/>
  <c r="D26" i="58"/>
  <c r="U25" i="58"/>
  <c r="G25" i="58"/>
  <c r="D25" i="58"/>
  <c r="U24" i="58"/>
  <c r="G24" i="58"/>
  <c r="D24" i="58"/>
  <c r="U23" i="58"/>
  <c r="G23" i="58"/>
  <c r="D23" i="58"/>
  <c r="U22" i="58"/>
  <c r="G22" i="58"/>
  <c r="D22" i="58"/>
  <c r="T18" i="58"/>
  <c r="U17" i="58"/>
  <c r="S17" i="58"/>
  <c r="K17" i="58"/>
  <c r="I17" i="58"/>
  <c r="G17" i="58"/>
  <c r="D17" i="58"/>
  <c r="D16" i="58"/>
  <c r="D15" i="58"/>
  <c r="R11" i="58"/>
  <c r="O11" i="58"/>
  <c r="L11" i="58"/>
  <c r="L10" i="58"/>
  <c r="L9" i="58"/>
  <c r="L8" i="58"/>
  <c r="O7" i="58"/>
  <c r="M7" i="58"/>
  <c r="U4" i="58"/>
  <c r="S4" i="58"/>
  <c r="P4" i="58"/>
  <c r="X112" i="67"/>
  <c r="Y18" i="40" s="1"/>
  <c r="X111" i="67"/>
  <c r="Y16" i="40" s="1"/>
  <c r="X109" i="67"/>
  <c r="A106" i="67"/>
  <c r="AK70" i="67"/>
  <c r="AK71" i="67" s="1"/>
  <c r="H63" i="67"/>
  <c r="M4" i="68" s="1"/>
  <c r="F63" i="67"/>
  <c r="I4" i="68" s="1"/>
  <c r="C63" i="67"/>
  <c r="B55" i="67"/>
  <c r="B51" i="67"/>
  <c r="W49" i="67"/>
  <c r="W48" i="67"/>
  <c r="AA39" i="67"/>
  <c r="J33" i="58" s="1"/>
  <c r="Y39" i="67"/>
  <c r="W39" i="67"/>
  <c r="J31" i="58" s="1"/>
  <c r="U39" i="67"/>
  <c r="J30" i="58" s="1"/>
  <c r="S39" i="67"/>
  <c r="J29" i="58" s="1"/>
  <c r="Q39" i="67"/>
  <c r="J28" i="58" s="1"/>
  <c r="O39" i="67"/>
  <c r="J27" i="58" s="1"/>
  <c r="M39" i="67"/>
  <c r="J26" i="58" s="1"/>
  <c r="K39" i="67"/>
  <c r="J25" i="58" s="1"/>
  <c r="I39" i="67"/>
  <c r="J24" i="58" s="1"/>
  <c r="G39" i="67"/>
  <c r="J23" i="58" s="1"/>
  <c r="E39" i="67"/>
  <c r="J22" i="58" s="1"/>
  <c r="AE38" i="67"/>
  <c r="G35" i="58" s="1"/>
  <c r="AC38" i="67"/>
  <c r="G34" i="58" s="1"/>
  <c r="AE37" i="67"/>
  <c r="D35" i="58" s="1"/>
  <c r="AC37" i="67"/>
  <c r="AL66" i="67"/>
  <c r="R20" i="67"/>
  <c r="L209" i="66"/>
  <c r="K209" i="66"/>
  <c r="J209" i="66"/>
  <c r="I209" i="66"/>
  <c r="H209" i="66"/>
  <c r="G209" i="66"/>
  <c r="F209" i="66"/>
  <c r="E209" i="66"/>
  <c r="D209" i="66"/>
  <c r="L208" i="66"/>
  <c r="K208" i="66"/>
  <c r="J208" i="66"/>
  <c r="I208" i="66"/>
  <c r="H208" i="66"/>
  <c r="G208" i="66"/>
  <c r="F208" i="66"/>
  <c r="E208" i="66"/>
  <c r="D208" i="66"/>
  <c r="L207" i="66"/>
  <c r="K207" i="66"/>
  <c r="J207" i="66"/>
  <c r="I207" i="66"/>
  <c r="H207" i="66"/>
  <c r="G207" i="66"/>
  <c r="F207" i="66"/>
  <c r="E207" i="66"/>
  <c r="D207" i="66"/>
  <c r="L206" i="66"/>
  <c r="K206" i="66"/>
  <c r="J206" i="66"/>
  <c r="I206" i="66"/>
  <c r="H206" i="66"/>
  <c r="G206" i="66"/>
  <c r="F206" i="66"/>
  <c r="E206" i="66"/>
  <c r="D206" i="66"/>
  <c r="L205" i="66"/>
  <c r="K205" i="66"/>
  <c r="J205" i="66"/>
  <c r="I205" i="66"/>
  <c r="H205" i="66"/>
  <c r="G205" i="66"/>
  <c r="F205" i="66"/>
  <c r="E205" i="66"/>
  <c r="D205" i="66"/>
  <c r="L204" i="66"/>
  <c r="K204" i="66"/>
  <c r="J204" i="66"/>
  <c r="I204" i="66"/>
  <c r="H204" i="66"/>
  <c r="G204" i="66"/>
  <c r="F204" i="66"/>
  <c r="E204" i="66"/>
  <c r="D204" i="66"/>
  <c r="L203" i="66"/>
  <c r="K203" i="66"/>
  <c r="J203" i="66"/>
  <c r="I203" i="66"/>
  <c r="H203" i="66"/>
  <c r="G203" i="66"/>
  <c r="F203" i="66"/>
  <c r="E203" i="66"/>
  <c r="D203" i="66"/>
  <c r="L202" i="66"/>
  <c r="K202" i="66"/>
  <c r="J202" i="66"/>
  <c r="I202" i="66"/>
  <c r="H202" i="66"/>
  <c r="G202" i="66"/>
  <c r="F202" i="66"/>
  <c r="E202" i="66"/>
  <c r="D202" i="66"/>
  <c r="L201" i="66"/>
  <c r="K201" i="66"/>
  <c r="J201" i="66"/>
  <c r="I201" i="66"/>
  <c r="H201" i="66"/>
  <c r="G201" i="66"/>
  <c r="F201" i="66"/>
  <c r="E201" i="66"/>
  <c r="D201" i="66"/>
  <c r="L200" i="66"/>
  <c r="K200" i="66"/>
  <c r="J200" i="66"/>
  <c r="I200" i="66"/>
  <c r="H200" i="66"/>
  <c r="G200" i="66"/>
  <c r="F200" i="66"/>
  <c r="E200" i="66"/>
  <c r="D200" i="66"/>
  <c r="L199" i="66"/>
  <c r="K199" i="66"/>
  <c r="J199" i="66"/>
  <c r="I199" i="66"/>
  <c r="H199" i="66"/>
  <c r="G199" i="66"/>
  <c r="F199" i="66"/>
  <c r="E199" i="66"/>
  <c r="D199" i="66"/>
  <c r="L198" i="66"/>
  <c r="K198" i="66"/>
  <c r="J198" i="66"/>
  <c r="I198" i="66"/>
  <c r="H198" i="66"/>
  <c r="G198" i="66"/>
  <c r="F198" i="66"/>
  <c r="E198" i="66"/>
  <c r="D198" i="66"/>
  <c r="L197" i="66"/>
  <c r="K197" i="66"/>
  <c r="J197" i="66"/>
  <c r="I197" i="66"/>
  <c r="H197" i="66"/>
  <c r="G197" i="66"/>
  <c r="F197" i="66"/>
  <c r="E197" i="66"/>
  <c r="D197" i="66"/>
  <c r="L196" i="66"/>
  <c r="K196" i="66"/>
  <c r="J196" i="66"/>
  <c r="I196" i="66"/>
  <c r="H196" i="66"/>
  <c r="G196" i="66"/>
  <c r="F196" i="66"/>
  <c r="E196" i="66"/>
  <c r="D196" i="66"/>
  <c r="L195" i="66"/>
  <c r="K195" i="66"/>
  <c r="J195" i="66"/>
  <c r="I195" i="66"/>
  <c r="H195" i="66"/>
  <c r="G195" i="66"/>
  <c r="F195" i="66"/>
  <c r="E195" i="66"/>
  <c r="D195" i="66"/>
  <c r="L194" i="66"/>
  <c r="K194" i="66"/>
  <c r="J194" i="66"/>
  <c r="I194" i="66"/>
  <c r="H194" i="66"/>
  <c r="G194" i="66"/>
  <c r="F194" i="66"/>
  <c r="E194" i="66"/>
  <c r="D194" i="66"/>
  <c r="L193" i="66"/>
  <c r="K193" i="66"/>
  <c r="J193" i="66"/>
  <c r="I193" i="66"/>
  <c r="H193" i="66"/>
  <c r="G193" i="66"/>
  <c r="F193" i="66"/>
  <c r="E193" i="66"/>
  <c r="D193" i="66"/>
  <c r="L192" i="66"/>
  <c r="K192" i="66"/>
  <c r="J192" i="66"/>
  <c r="I192" i="66"/>
  <c r="H192" i="66"/>
  <c r="G192" i="66"/>
  <c r="F192" i="66"/>
  <c r="E192" i="66"/>
  <c r="D192" i="66"/>
  <c r="L191" i="66"/>
  <c r="K191" i="66"/>
  <c r="J191" i="66"/>
  <c r="I191" i="66"/>
  <c r="H191" i="66"/>
  <c r="G191" i="66"/>
  <c r="F191" i="66"/>
  <c r="E191" i="66"/>
  <c r="D191" i="66"/>
  <c r="L190" i="66"/>
  <c r="K190" i="66"/>
  <c r="J190" i="66"/>
  <c r="I190" i="66"/>
  <c r="H190" i="66"/>
  <c r="G190" i="66"/>
  <c r="F190" i="66"/>
  <c r="E190" i="66"/>
  <c r="D190" i="66"/>
  <c r="L189" i="66"/>
  <c r="K189" i="66"/>
  <c r="J189" i="66"/>
  <c r="I189" i="66"/>
  <c r="H189" i="66"/>
  <c r="G189" i="66"/>
  <c r="F189" i="66"/>
  <c r="E189" i="66"/>
  <c r="D189" i="66"/>
  <c r="L188" i="66"/>
  <c r="K188" i="66"/>
  <c r="J188" i="66"/>
  <c r="I188" i="66"/>
  <c r="H188" i="66"/>
  <c r="G188" i="66"/>
  <c r="F188" i="66"/>
  <c r="E188" i="66"/>
  <c r="D188" i="66"/>
  <c r="L187" i="66"/>
  <c r="K187" i="66"/>
  <c r="J187" i="66"/>
  <c r="I187" i="66"/>
  <c r="H187" i="66"/>
  <c r="G187" i="66"/>
  <c r="F187" i="66"/>
  <c r="E187" i="66"/>
  <c r="D187" i="66"/>
  <c r="L186" i="66"/>
  <c r="K186" i="66"/>
  <c r="J186" i="66"/>
  <c r="I186" i="66"/>
  <c r="H186" i="66"/>
  <c r="G186" i="66"/>
  <c r="F186" i="66"/>
  <c r="E186" i="66"/>
  <c r="D186" i="66"/>
  <c r="L185" i="66"/>
  <c r="K185" i="66"/>
  <c r="J185" i="66"/>
  <c r="I185" i="66"/>
  <c r="H185" i="66"/>
  <c r="G185" i="66"/>
  <c r="F185" i="66"/>
  <c r="E185" i="66"/>
  <c r="D185" i="66"/>
  <c r="L184" i="66"/>
  <c r="K184" i="66"/>
  <c r="J184" i="66"/>
  <c r="I184" i="66"/>
  <c r="H184" i="66"/>
  <c r="G184" i="66"/>
  <c r="F184" i="66"/>
  <c r="E184" i="66"/>
  <c r="D184" i="66"/>
  <c r="L183" i="66"/>
  <c r="K183" i="66"/>
  <c r="J183" i="66"/>
  <c r="I183" i="66"/>
  <c r="H183" i="66"/>
  <c r="G183" i="66"/>
  <c r="F183" i="66"/>
  <c r="E183" i="66"/>
  <c r="D183" i="66"/>
  <c r="L182" i="66"/>
  <c r="K182" i="66"/>
  <c r="J182" i="66"/>
  <c r="I182" i="66"/>
  <c r="H182" i="66"/>
  <c r="G182" i="66"/>
  <c r="F182" i="66"/>
  <c r="E182" i="66"/>
  <c r="D182" i="66"/>
  <c r="L181" i="66"/>
  <c r="K181" i="66"/>
  <c r="J181" i="66"/>
  <c r="I181" i="66"/>
  <c r="H181" i="66"/>
  <c r="G181" i="66"/>
  <c r="F181" i="66"/>
  <c r="E181" i="66"/>
  <c r="D181" i="66"/>
  <c r="L180" i="66"/>
  <c r="K180" i="66"/>
  <c r="J180" i="66"/>
  <c r="I180" i="66"/>
  <c r="H180" i="66"/>
  <c r="G180" i="66"/>
  <c r="F180" i="66"/>
  <c r="E180" i="66"/>
  <c r="D180" i="66"/>
  <c r="L179" i="66"/>
  <c r="K179" i="66"/>
  <c r="J179" i="66"/>
  <c r="I179" i="66"/>
  <c r="H179" i="66"/>
  <c r="G179" i="66"/>
  <c r="F179" i="66"/>
  <c r="E179" i="66"/>
  <c r="D179" i="66"/>
  <c r="L178" i="66"/>
  <c r="K178" i="66"/>
  <c r="J178" i="66"/>
  <c r="I178" i="66"/>
  <c r="H178" i="66"/>
  <c r="G178" i="66"/>
  <c r="F178" i="66"/>
  <c r="E178" i="66"/>
  <c r="D178" i="66"/>
  <c r="L177" i="66"/>
  <c r="K177" i="66"/>
  <c r="J177" i="66"/>
  <c r="I177" i="66"/>
  <c r="H177" i="66"/>
  <c r="G177" i="66"/>
  <c r="F177" i="66"/>
  <c r="E177" i="66"/>
  <c r="D177" i="66"/>
  <c r="L176" i="66"/>
  <c r="K176" i="66"/>
  <c r="J176" i="66"/>
  <c r="I176" i="66"/>
  <c r="H176" i="66"/>
  <c r="G176" i="66"/>
  <c r="F176" i="66"/>
  <c r="E176" i="66"/>
  <c r="D176" i="66"/>
  <c r="L175" i="66"/>
  <c r="K175" i="66"/>
  <c r="J175" i="66"/>
  <c r="I175" i="66"/>
  <c r="H175" i="66"/>
  <c r="G175" i="66"/>
  <c r="F175" i="66"/>
  <c r="E175" i="66"/>
  <c r="D175" i="66"/>
  <c r="L174" i="66"/>
  <c r="K174" i="66"/>
  <c r="J174" i="66"/>
  <c r="I174" i="66"/>
  <c r="H174" i="66"/>
  <c r="G174" i="66"/>
  <c r="F174" i="66"/>
  <c r="E174" i="66"/>
  <c r="D174" i="66"/>
  <c r="L173" i="66"/>
  <c r="K173" i="66"/>
  <c r="J173" i="66"/>
  <c r="I173" i="66"/>
  <c r="H173" i="66"/>
  <c r="G173" i="66"/>
  <c r="F173" i="66"/>
  <c r="E173" i="66"/>
  <c r="D173" i="66"/>
  <c r="L172" i="66"/>
  <c r="K172" i="66"/>
  <c r="J172" i="66"/>
  <c r="I172" i="66"/>
  <c r="H172" i="66"/>
  <c r="G172" i="66"/>
  <c r="F172" i="66"/>
  <c r="E172" i="66"/>
  <c r="D172" i="66"/>
  <c r="L171" i="66"/>
  <c r="K171" i="66"/>
  <c r="J171" i="66"/>
  <c r="I171" i="66"/>
  <c r="H171" i="66"/>
  <c r="G171" i="66"/>
  <c r="F171" i="66"/>
  <c r="E171" i="66"/>
  <c r="D171" i="66"/>
  <c r="L170" i="66"/>
  <c r="K170" i="66"/>
  <c r="J170" i="66"/>
  <c r="I170" i="66"/>
  <c r="H170" i="66"/>
  <c r="G170" i="66"/>
  <c r="F170" i="66"/>
  <c r="E170" i="66"/>
  <c r="D170" i="66"/>
  <c r="L169" i="66"/>
  <c r="K169" i="66"/>
  <c r="J169" i="66"/>
  <c r="I169" i="66"/>
  <c r="H169" i="66"/>
  <c r="G169" i="66"/>
  <c r="F169" i="66"/>
  <c r="E169" i="66"/>
  <c r="D169" i="66"/>
  <c r="L168" i="66"/>
  <c r="K168" i="66"/>
  <c r="J168" i="66"/>
  <c r="I168" i="66"/>
  <c r="H168" i="66"/>
  <c r="G168" i="66"/>
  <c r="F168" i="66"/>
  <c r="E168" i="66"/>
  <c r="D168" i="66"/>
  <c r="L167" i="66"/>
  <c r="K167" i="66"/>
  <c r="J167" i="66"/>
  <c r="I167" i="66"/>
  <c r="H167" i="66"/>
  <c r="G167" i="66"/>
  <c r="F167" i="66"/>
  <c r="E167" i="66"/>
  <c r="D167" i="66"/>
  <c r="L166" i="66"/>
  <c r="K166" i="66"/>
  <c r="J166" i="66"/>
  <c r="I166" i="66"/>
  <c r="H166" i="66"/>
  <c r="G166" i="66"/>
  <c r="F166" i="66"/>
  <c r="E166" i="66"/>
  <c r="D166" i="66"/>
  <c r="L165" i="66"/>
  <c r="K165" i="66"/>
  <c r="J165" i="66"/>
  <c r="I165" i="66"/>
  <c r="H165" i="66"/>
  <c r="G165" i="66"/>
  <c r="F165" i="66"/>
  <c r="E165" i="66"/>
  <c r="D165" i="66"/>
  <c r="L164" i="66"/>
  <c r="K164" i="66"/>
  <c r="J164" i="66"/>
  <c r="I164" i="66"/>
  <c r="H164" i="66"/>
  <c r="G164" i="66"/>
  <c r="F164" i="66"/>
  <c r="E164" i="66"/>
  <c r="D164" i="66"/>
  <c r="L163" i="66"/>
  <c r="K163" i="66"/>
  <c r="J163" i="66"/>
  <c r="I163" i="66"/>
  <c r="H163" i="66"/>
  <c r="G163" i="66"/>
  <c r="F163" i="66"/>
  <c r="E163" i="66"/>
  <c r="D163" i="66"/>
  <c r="L162" i="66"/>
  <c r="K162" i="66"/>
  <c r="J162" i="66"/>
  <c r="I162" i="66"/>
  <c r="H162" i="66"/>
  <c r="G162" i="66"/>
  <c r="F162" i="66"/>
  <c r="E162" i="66"/>
  <c r="D162" i="66"/>
  <c r="L161" i="66"/>
  <c r="K161" i="66"/>
  <c r="J161" i="66"/>
  <c r="I161" i="66"/>
  <c r="H161" i="66"/>
  <c r="G161" i="66"/>
  <c r="F161" i="66"/>
  <c r="E161" i="66"/>
  <c r="D161" i="66"/>
  <c r="L160" i="66"/>
  <c r="K160" i="66"/>
  <c r="J160" i="66"/>
  <c r="I160" i="66"/>
  <c r="H160" i="66"/>
  <c r="G160" i="66"/>
  <c r="F160" i="66"/>
  <c r="E160" i="66"/>
  <c r="D160" i="66"/>
  <c r="L159" i="66"/>
  <c r="K159" i="66"/>
  <c r="J159" i="66"/>
  <c r="I159" i="66"/>
  <c r="H159" i="66"/>
  <c r="G159" i="66"/>
  <c r="F159" i="66"/>
  <c r="E159" i="66"/>
  <c r="D159" i="66"/>
  <c r="L158" i="66"/>
  <c r="K158" i="66"/>
  <c r="J158" i="66"/>
  <c r="I158" i="66"/>
  <c r="H158" i="66"/>
  <c r="G158" i="66"/>
  <c r="F158" i="66"/>
  <c r="E158" i="66"/>
  <c r="D158" i="66"/>
  <c r="L157" i="66"/>
  <c r="K157" i="66"/>
  <c r="J157" i="66"/>
  <c r="I157" i="66"/>
  <c r="H157" i="66"/>
  <c r="G157" i="66"/>
  <c r="F157" i="66"/>
  <c r="E157" i="66"/>
  <c r="D157" i="66"/>
  <c r="L156" i="66"/>
  <c r="K156" i="66"/>
  <c r="J156" i="66"/>
  <c r="I156" i="66"/>
  <c r="H156" i="66"/>
  <c r="G156" i="66"/>
  <c r="F156" i="66"/>
  <c r="E156" i="66"/>
  <c r="D156" i="66"/>
  <c r="L155" i="66"/>
  <c r="K155" i="66"/>
  <c r="J155" i="66"/>
  <c r="I155" i="66"/>
  <c r="H155" i="66"/>
  <c r="G155" i="66"/>
  <c r="F155" i="66"/>
  <c r="E155" i="66"/>
  <c r="D155" i="66"/>
  <c r="L154" i="66"/>
  <c r="K154" i="66"/>
  <c r="J154" i="66"/>
  <c r="I154" i="66"/>
  <c r="H154" i="66"/>
  <c r="G154" i="66"/>
  <c r="F154" i="66"/>
  <c r="E154" i="66"/>
  <c r="D154" i="66"/>
  <c r="L153" i="66"/>
  <c r="K153" i="66"/>
  <c r="J153" i="66"/>
  <c r="I153" i="66"/>
  <c r="H153" i="66"/>
  <c r="G153" i="66"/>
  <c r="F153" i="66"/>
  <c r="E153" i="66"/>
  <c r="D153" i="66"/>
  <c r="L152" i="66"/>
  <c r="K152" i="66"/>
  <c r="J152" i="66"/>
  <c r="I152" i="66"/>
  <c r="H152" i="66"/>
  <c r="G152" i="66"/>
  <c r="F152" i="66"/>
  <c r="E152" i="66"/>
  <c r="D152" i="66"/>
  <c r="L151" i="66"/>
  <c r="K151" i="66"/>
  <c r="J151" i="66"/>
  <c r="I151" i="66"/>
  <c r="H151" i="66"/>
  <c r="G151" i="66"/>
  <c r="F151" i="66"/>
  <c r="E151" i="66"/>
  <c r="D151" i="66"/>
  <c r="L150" i="66"/>
  <c r="K150" i="66"/>
  <c r="J150" i="66"/>
  <c r="I150" i="66"/>
  <c r="H150" i="66"/>
  <c r="G150" i="66"/>
  <c r="F150" i="66"/>
  <c r="E150" i="66"/>
  <c r="D150" i="66"/>
  <c r="L149" i="66"/>
  <c r="K149" i="66"/>
  <c r="J149" i="66"/>
  <c r="I149" i="66"/>
  <c r="H149" i="66"/>
  <c r="G149" i="66"/>
  <c r="F149" i="66"/>
  <c r="E149" i="66"/>
  <c r="D149" i="66"/>
  <c r="L148" i="66"/>
  <c r="K148" i="66"/>
  <c r="J148" i="66"/>
  <c r="I148" i="66"/>
  <c r="H148" i="66"/>
  <c r="G148" i="66"/>
  <c r="F148" i="66"/>
  <c r="E148" i="66"/>
  <c r="D148" i="66"/>
  <c r="L147" i="66"/>
  <c r="K147" i="66"/>
  <c r="J147" i="66"/>
  <c r="I147" i="66"/>
  <c r="H147" i="66"/>
  <c r="G147" i="66"/>
  <c r="F147" i="66"/>
  <c r="E147" i="66"/>
  <c r="D147" i="66"/>
  <c r="L146" i="66"/>
  <c r="K146" i="66"/>
  <c r="J146" i="66"/>
  <c r="I146" i="66"/>
  <c r="H146" i="66"/>
  <c r="G146" i="66"/>
  <c r="F146" i="66"/>
  <c r="E146" i="66"/>
  <c r="D146" i="66"/>
  <c r="L145" i="66"/>
  <c r="K145" i="66"/>
  <c r="J145" i="66"/>
  <c r="I145" i="66"/>
  <c r="H145" i="66"/>
  <c r="G145" i="66"/>
  <c r="F145" i="66"/>
  <c r="E145" i="66"/>
  <c r="D145" i="66"/>
  <c r="L144" i="66"/>
  <c r="K144" i="66"/>
  <c r="J144" i="66"/>
  <c r="I144" i="66"/>
  <c r="H144" i="66"/>
  <c r="G144" i="66"/>
  <c r="F144" i="66"/>
  <c r="E144" i="66"/>
  <c r="D144" i="66"/>
  <c r="L143" i="66"/>
  <c r="K143" i="66"/>
  <c r="J143" i="66"/>
  <c r="I143" i="66"/>
  <c r="H143" i="66"/>
  <c r="G143" i="66"/>
  <c r="F143" i="66"/>
  <c r="E143" i="66"/>
  <c r="D143" i="66"/>
  <c r="L142" i="66"/>
  <c r="K142" i="66"/>
  <c r="J142" i="66"/>
  <c r="I142" i="66"/>
  <c r="H142" i="66"/>
  <c r="G142" i="66"/>
  <c r="F142" i="66"/>
  <c r="E142" i="66"/>
  <c r="D142" i="66"/>
  <c r="L141" i="66"/>
  <c r="K141" i="66"/>
  <c r="J141" i="66"/>
  <c r="I141" i="66"/>
  <c r="H141" i="66"/>
  <c r="G141" i="66"/>
  <c r="F141" i="66"/>
  <c r="E141" i="66"/>
  <c r="D141" i="66"/>
  <c r="L140" i="66"/>
  <c r="K140" i="66"/>
  <c r="J140" i="66"/>
  <c r="I140" i="66"/>
  <c r="H140" i="66"/>
  <c r="G140" i="66"/>
  <c r="F140" i="66"/>
  <c r="E140" i="66"/>
  <c r="D140" i="66"/>
  <c r="L139" i="66"/>
  <c r="K139" i="66"/>
  <c r="J139" i="66"/>
  <c r="I139" i="66"/>
  <c r="H139" i="66"/>
  <c r="G139" i="66"/>
  <c r="F139" i="66"/>
  <c r="E139" i="66"/>
  <c r="D139" i="66"/>
  <c r="L138" i="66"/>
  <c r="K138" i="66"/>
  <c r="J138" i="66"/>
  <c r="I138" i="66"/>
  <c r="H138" i="66"/>
  <c r="G138" i="66"/>
  <c r="F138" i="66"/>
  <c r="E138" i="66"/>
  <c r="D138" i="66"/>
  <c r="L137" i="66"/>
  <c r="K137" i="66"/>
  <c r="J137" i="66"/>
  <c r="I137" i="66"/>
  <c r="H137" i="66"/>
  <c r="G137" i="66"/>
  <c r="F137" i="66"/>
  <c r="E137" i="66"/>
  <c r="D137" i="66"/>
  <c r="L136" i="66"/>
  <c r="K136" i="66"/>
  <c r="J136" i="66"/>
  <c r="I136" i="66"/>
  <c r="H136" i="66"/>
  <c r="G136" i="66"/>
  <c r="F136" i="66"/>
  <c r="E136" i="66"/>
  <c r="D136" i="66"/>
  <c r="L135" i="66"/>
  <c r="K135" i="66"/>
  <c r="J135" i="66"/>
  <c r="I135" i="66"/>
  <c r="H135" i="66"/>
  <c r="G135" i="66"/>
  <c r="F135" i="66"/>
  <c r="E135" i="66"/>
  <c r="D135" i="66"/>
  <c r="L134" i="66"/>
  <c r="K134" i="66"/>
  <c r="J134" i="66"/>
  <c r="I134" i="66"/>
  <c r="H134" i="66"/>
  <c r="G134" i="66"/>
  <c r="F134" i="66"/>
  <c r="E134" i="66"/>
  <c r="D134" i="66"/>
  <c r="L133" i="66"/>
  <c r="K133" i="66"/>
  <c r="J133" i="66"/>
  <c r="I133" i="66"/>
  <c r="H133" i="66"/>
  <c r="G133" i="66"/>
  <c r="F133" i="66"/>
  <c r="E133" i="66"/>
  <c r="D133" i="66"/>
  <c r="L132" i="66"/>
  <c r="K132" i="66"/>
  <c r="J132" i="66"/>
  <c r="I132" i="66"/>
  <c r="H132" i="66"/>
  <c r="G132" i="66"/>
  <c r="F132" i="66"/>
  <c r="E132" i="66"/>
  <c r="D132" i="66"/>
  <c r="L131" i="66"/>
  <c r="K131" i="66"/>
  <c r="J131" i="66"/>
  <c r="I131" i="66"/>
  <c r="H131" i="66"/>
  <c r="G131" i="66"/>
  <c r="F131" i="66"/>
  <c r="E131" i="66"/>
  <c r="D131" i="66"/>
  <c r="L130" i="66"/>
  <c r="K130" i="66"/>
  <c r="J130" i="66"/>
  <c r="I130" i="66"/>
  <c r="H130" i="66"/>
  <c r="G130" i="66"/>
  <c r="F130" i="66"/>
  <c r="E130" i="66"/>
  <c r="D130" i="66"/>
  <c r="L129" i="66"/>
  <c r="K129" i="66"/>
  <c r="J129" i="66"/>
  <c r="I129" i="66"/>
  <c r="H129" i="66"/>
  <c r="G129" i="66"/>
  <c r="F129" i="66"/>
  <c r="E129" i="66"/>
  <c r="D129" i="66"/>
  <c r="L128" i="66"/>
  <c r="K128" i="66"/>
  <c r="J128" i="66"/>
  <c r="I128" i="66"/>
  <c r="H128" i="66"/>
  <c r="G128" i="66"/>
  <c r="F128" i="66"/>
  <c r="E128" i="66"/>
  <c r="D128" i="66"/>
  <c r="L127" i="66"/>
  <c r="K127" i="66"/>
  <c r="J127" i="66"/>
  <c r="I127" i="66"/>
  <c r="H127" i="66"/>
  <c r="G127" i="66"/>
  <c r="F127" i="66"/>
  <c r="E127" i="66"/>
  <c r="D127" i="66"/>
  <c r="L126" i="66"/>
  <c r="K126" i="66"/>
  <c r="J126" i="66"/>
  <c r="I126" i="66"/>
  <c r="H126" i="66"/>
  <c r="G126" i="66"/>
  <c r="F126" i="66"/>
  <c r="E126" i="66"/>
  <c r="D126" i="66"/>
  <c r="L125" i="66"/>
  <c r="K125" i="66"/>
  <c r="J125" i="66"/>
  <c r="I125" i="66"/>
  <c r="H125" i="66"/>
  <c r="G125" i="66"/>
  <c r="F125" i="66"/>
  <c r="E125" i="66"/>
  <c r="D125" i="66"/>
  <c r="L124" i="66"/>
  <c r="K124" i="66"/>
  <c r="J124" i="66"/>
  <c r="I124" i="66"/>
  <c r="H124" i="66"/>
  <c r="G124" i="66"/>
  <c r="F124" i="66"/>
  <c r="E124" i="66"/>
  <c r="D124" i="66"/>
  <c r="L123" i="66"/>
  <c r="K123" i="66"/>
  <c r="J123" i="66"/>
  <c r="I123" i="66"/>
  <c r="H123" i="66"/>
  <c r="G123" i="66"/>
  <c r="F123" i="66"/>
  <c r="E123" i="66"/>
  <c r="D123" i="66"/>
  <c r="L122" i="66"/>
  <c r="K122" i="66"/>
  <c r="J122" i="66"/>
  <c r="I122" i="66"/>
  <c r="H122" i="66"/>
  <c r="G122" i="66"/>
  <c r="F122" i="66"/>
  <c r="E122" i="66"/>
  <c r="D122" i="66"/>
  <c r="L121" i="66"/>
  <c r="K121" i="66"/>
  <c r="J121" i="66"/>
  <c r="I121" i="66"/>
  <c r="H121" i="66"/>
  <c r="G121" i="66"/>
  <c r="F121" i="66"/>
  <c r="E121" i="66"/>
  <c r="D121" i="66"/>
  <c r="L120" i="66"/>
  <c r="K120" i="66"/>
  <c r="J120" i="66"/>
  <c r="I120" i="66"/>
  <c r="H120" i="66"/>
  <c r="G120" i="66"/>
  <c r="F120" i="66"/>
  <c r="E120" i="66"/>
  <c r="D120" i="66"/>
  <c r="L119" i="66"/>
  <c r="K119" i="66"/>
  <c r="J119" i="66"/>
  <c r="I119" i="66"/>
  <c r="H119" i="66"/>
  <c r="G119" i="66"/>
  <c r="F119" i="66"/>
  <c r="E119" i="66"/>
  <c r="D119" i="66"/>
  <c r="L118" i="66"/>
  <c r="K118" i="66"/>
  <c r="J118" i="66"/>
  <c r="I118" i="66"/>
  <c r="H118" i="66"/>
  <c r="G118" i="66"/>
  <c r="F118" i="66"/>
  <c r="E118" i="66"/>
  <c r="D118" i="66"/>
  <c r="L117" i="66"/>
  <c r="K117" i="66"/>
  <c r="J117" i="66"/>
  <c r="I117" i="66"/>
  <c r="H117" i="66"/>
  <c r="G117" i="66"/>
  <c r="F117" i="66"/>
  <c r="E117" i="66"/>
  <c r="D117" i="66"/>
  <c r="L116" i="66"/>
  <c r="K116" i="66"/>
  <c r="J116" i="66"/>
  <c r="I116" i="66"/>
  <c r="H116" i="66"/>
  <c r="G116" i="66"/>
  <c r="F116" i="66"/>
  <c r="E116" i="66"/>
  <c r="D116" i="66"/>
  <c r="L115" i="66"/>
  <c r="K115" i="66"/>
  <c r="J115" i="66"/>
  <c r="I115" i="66"/>
  <c r="H115" i="66"/>
  <c r="G115" i="66"/>
  <c r="F115" i="66"/>
  <c r="E115" i="66"/>
  <c r="D115" i="66"/>
  <c r="L114" i="66"/>
  <c r="K114" i="66"/>
  <c r="J114" i="66"/>
  <c r="I114" i="66"/>
  <c r="H114" i="66"/>
  <c r="G114" i="66"/>
  <c r="F114" i="66"/>
  <c r="E114" i="66"/>
  <c r="D114" i="66"/>
  <c r="L113" i="66"/>
  <c r="K113" i="66"/>
  <c r="J113" i="66"/>
  <c r="I113" i="66"/>
  <c r="H113" i="66"/>
  <c r="G113" i="66"/>
  <c r="F113" i="66"/>
  <c r="E113" i="66"/>
  <c r="D113" i="66"/>
  <c r="L112" i="66"/>
  <c r="K112" i="66"/>
  <c r="J112" i="66"/>
  <c r="I112" i="66"/>
  <c r="H112" i="66"/>
  <c r="G112" i="66"/>
  <c r="F112" i="66"/>
  <c r="E112" i="66"/>
  <c r="D112" i="66"/>
  <c r="L111" i="66"/>
  <c r="K111" i="66"/>
  <c r="J111" i="66"/>
  <c r="I111" i="66"/>
  <c r="H111" i="66"/>
  <c r="G111" i="66"/>
  <c r="F111" i="66"/>
  <c r="E111" i="66"/>
  <c r="D111" i="66"/>
  <c r="L110" i="66"/>
  <c r="K110" i="66"/>
  <c r="J110" i="66"/>
  <c r="I110" i="66"/>
  <c r="H110" i="66"/>
  <c r="G110" i="66"/>
  <c r="F110" i="66"/>
  <c r="E110" i="66"/>
  <c r="D110" i="66"/>
  <c r="L109" i="66"/>
  <c r="K109" i="66"/>
  <c r="J109" i="66"/>
  <c r="I109" i="66"/>
  <c r="H109" i="66"/>
  <c r="G109" i="66"/>
  <c r="F109" i="66"/>
  <c r="E109" i="66"/>
  <c r="D109" i="66"/>
  <c r="L108" i="66"/>
  <c r="K108" i="66"/>
  <c r="J108" i="66"/>
  <c r="I108" i="66"/>
  <c r="H108" i="66"/>
  <c r="G108" i="66"/>
  <c r="F108" i="66"/>
  <c r="E108" i="66"/>
  <c r="D108" i="66"/>
  <c r="L107" i="66"/>
  <c r="K107" i="66"/>
  <c r="J107" i="66"/>
  <c r="I107" i="66"/>
  <c r="H107" i="66"/>
  <c r="G107" i="66"/>
  <c r="F107" i="66"/>
  <c r="E107" i="66"/>
  <c r="D107" i="66"/>
  <c r="L106" i="66"/>
  <c r="K106" i="66"/>
  <c r="J106" i="66"/>
  <c r="I106" i="66"/>
  <c r="H106" i="66"/>
  <c r="G106" i="66"/>
  <c r="F106" i="66"/>
  <c r="E106" i="66"/>
  <c r="D106" i="66"/>
  <c r="L105" i="66"/>
  <c r="K105" i="66"/>
  <c r="J105" i="66"/>
  <c r="I105" i="66"/>
  <c r="H105" i="66"/>
  <c r="G105" i="66"/>
  <c r="F105" i="66"/>
  <c r="E105" i="66"/>
  <c r="D105" i="66"/>
  <c r="L104" i="66"/>
  <c r="K104" i="66"/>
  <c r="J104" i="66"/>
  <c r="I104" i="66"/>
  <c r="H104" i="66"/>
  <c r="G104" i="66"/>
  <c r="F104" i="66"/>
  <c r="E104" i="66"/>
  <c r="D104" i="66"/>
  <c r="L103" i="66"/>
  <c r="K103" i="66"/>
  <c r="J103" i="66"/>
  <c r="I103" i="66"/>
  <c r="H103" i="66"/>
  <c r="G103" i="66"/>
  <c r="F103" i="66"/>
  <c r="E103" i="66"/>
  <c r="D103" i="66"/>
  <c r="L102" i="66"/>
  <c r="K102" i="66"/>
  <c r="J102" i="66"/>
  <c r="I102" i="66"/>
  <c r="H102" i="66"/>
  <c r="G102" i="66"/>
  <c r="F102" i="66"/>
  <c r="E102" i="66"/>
  <c r="D102" i="66"/>
  <c r="L101" i="66"/>
  <c r="K101" i="66"/>
  <c r="J101" i="66"/>
  <c r="I101" i="66"/>
  <c r="H101" i="66"/>
  <c r="G101" i="66"/>
  <c r="F101" i="66"/>
  <c r="E101" i="66"/>
  <c r="D101" i="66"/>
  <c r="L100" i="66"/>
  <c r="K100" i="66"/>
  <c r="J100" i="66"/>
  <c r="I100" i="66"/>
  <c r="H100" i="66"/>
  <c r="G100" i="66"/>
  <c r="F100" i="66"/>
  <c r="E100" i="66"/>
  <c r="D100" i="66"/>
  <c r="L99" i="66"/>
  <c r="K99" i="66"/>
  <c r="J99" i="66"/>
  <c r="I99" i="66"/>
  <c r="H99" i="66"/>
  <c r="G99" i="66"/>
  <c r="F99" i="66"/>
  <c r="E99" i="66"/>
  <c r="D99" i="66"/>
  <c r="L98" i="66"/>
  <c r="K98" i="66"/>
  <c r="J98" i="66"/>
  <c r="I98" i="66"/>
  <c r="H98" i="66"/>
  <c r="G98" i="66"/>
  <c r="F98" i="66"/>
  <c r="E98" i="66"/>
  <c r="D98" i="66"/>
  <c r="L97" i="66"/>
  <c r="K97" i="66"/>
  <c r="J97" i="66"/>
  <c r="I97" i="66"/>
  <c r="H97" i="66"/>
  <c r="G97" i="66"/>
  <c r="F97" i="66"/>
  <c r="E97" i="66"/>
  <c r="D97" i="66"/>
  <c r="L96" i="66"/>
  <c r="K96" i="66"/>
  <c r="J96" i="66"/>
  <c r="I96" i="66"/>
  <c r="H96" i="66"/>
  <c r="G96" i="66"/>
  <c r="F96" i="66"/>
  <c r="E96" i="66"/>
  <c r="D96" i="66"/>
  <c r="L95" i="66"/>
  <c r="K95" i="66"/>
  <c r="J95" i="66"/>
  <c r="I95" i="66"/>
  <c r="H95" i="66"/>
  <c r="G95" i="66"/>
  <c r="F95" i="66"/>
  <c r="E95" i="66"/>
  <c r="D95" i="66"/>
  <c r="L94" i="66"/>
  <c r="K94" i="66"/>
  <c r="J94" i="66"/>
  <c r="I94" i="66"/>
  <c r="H94" i="66"/>
  <c r="G94" i="66"/>
  <c r="F94" i="66"/>
  <c r="E94" i="66"/>
  <c r="D94" i="66"/>
  <c r="L93" i="66"/>
  <c r="K93" i="66"/>
  <c r="J93" i="66"/>
  <c r="I93" i="66"/>
  <c r="H93" i="66"/>
  <c r="G93" i="66"/>
  <c r="F93" i="66"/>
  <c r="E93" i="66"/>
  <c r="D93" i="66"/>
  <c r="L92" i="66"/>
  <c r="K92" i="66"/>
  <c r="J92" i="66"/>
  <c r="I92" i="66"/>
  <c r="H92" i="66"/>
  <c r="G92" i="66"/>
  <c r="F92" i="66"/>
  <c r="E92" i="66"/>
  <c r="D92" i="66"/>
  <c r="L91" i="66"/>
  <c r="K91" i="66"/>
  <c r="J91" i="66"/>
  <c r="I91" i="66"/>
  <c r="H91" i="66"/>
  <c r="G91" i="66"/>
  <c r="F91" i="66"/>
  <c r="E91" i="66"/>
  <c r="D91" i="66"/>
  <c r="L90" i="66"/>
  <c r="K90" i="66"/>
  <c r="J90" i="66"/>
  <c r="I90" i="66"/>
  <c r="H90" i="66"/>
  <c r="G90" i="66"/>
  <c r="F90" i="66"/>
  <c r="E90" i="66"/>
  <c r="D90" i="66"/>
  <c r="L89" i="66"/>
  <c r="K89" i="66"/>
  <c r="J89" i="66"/>
  <c r="I89" i="66"/>
  <c r="H89" i="66"/>
  <c r="G89" i="66"/>
  <c r="F89" i="66"/>
  <c r="E89" i="66"/>
  <c r="D89" i="66"/>
  <c r="L88" i="66"/>
  <c r="K88" i="66"/>
  <c r="J88" i="66"/>
  <c r="I88" i="66"/>
  <c r="H88" i="66"/>
  <c r="G88" i="66"/>
  <c r="F88" i="66"/>
  <c r="E88" i="66"/>
  <c r="D88" i="66"/>
  <c r="L87" i="66"/>
  <c r="K87" i="66"/>
  <c r="J87" i="66"/>
  <c r="I87" i="66"/>
  <c r="H87" i="66"/>
  <c r="G87" i="66"/>
  <c r="F87" i="66"/>
  <c r="E87" i="66"/>
  <c r="D87" i="66"/>
  <c r="L86" i="66"/>
  <c r="K86" i="66"/>
  <c r="J86" i="66"/>
  <c r="I86" i="66"/>
  <c r="H86" i="66"/>
  <c r="G86" i="66"/>
  <c r="F86" i="66"/>
  <c r="E86" i="66"/>
  <c r="D86" i="66"/>
  <c r="L85" i="66"/>
  <c r="K85" i="66"/>
  <c r="J85" i="66"/>
  <c r="I85" i="66"/>
  <c r="H85" i="66"/>
  <c r="G85" i="66"/>
  <c r="F85" i="66"/>
  <c r="E85" i="66"/>
  <c r="D85" i="66"/>
  <c r="L84" i="66"/>
  <c r="K84" i="66"/>
  <c r="J84" i="66"/>
  <c r="I84" i="66"/>
  <c r="H84" i="66"/>
  <c r="G84" i="66"/>
  <c r="F84" i="66"/>
  <c r="E84" i="66"/>
  <c r="D84" i="66"/>
  <c r="L83" i="66"/>
  <c r="K83" i="66"/>
  <c r="J83" i="66"/>
  <c r="I83" i="66"/>
  <c r="H83" i="66"/>
  <c r="G83" i="66"/>
  <c r="F83" i="66"/>
  <c r="E83" i="66"/>
  <c r="D83" i="66"/>
  <c r="L82" i="66"/>
  <c r="K82" i="66"/>
  <c r="J82" i="66"/>
  <c r="I82" i="66"/>
  <c r="H82" i="66"/>
  <c r="G82" i="66"/>
  <c r="F82" i="66"/>
  <c r="E82" i="66"/>
  <c r="D82" i="66"/>
  <c r="L81" i="66"/>
  <c r="K81" i="66"/>
  <c r="J81" i="66"/>
  <c r="I81" i="66"/>
  <c r="H81" i="66"/>
  <c r="G81" i="66"/>
  <c r="F81" i="66"/>
  <c r="E81" i="66"/>
  <c r="D81" i="66"/>
  <c r="L80" i="66"/>
  <c r="K80" i="66"/>
  <c r="J80" i="66"/>
  <c r="I80" i="66"/>
  <c r="H80" i="66"/>
  <c r="G80" i="66"/>
  <c r="F80" i="66"/>
  <c r="E80" i="66"/>
  <c r="D80" i="66"/>
  <c r="L79" i="66"/>
  <c r="K79" i="66"/>
  <c r="J79" i="66"/>
  <c r="I79" i="66"/>
  <c r="H79" i="66"/>
  <c r="G79" i="66"/>
  <c r="F79" i="66"/>
  <c r="E79" i="66"/>
  <c r="D79" i="66"/>
  <c r="L78" i="66"/>
  <c r="K78" i="66"/>
  <c r="J78" i="66"/>
  <c r="I78" i="66"/>
  <c r="H78" i="66"/>
  <c r="G78" i="66"/>
  <c r="F78" i="66"/>
  <c r="E78" i="66"/>
  <c r="D78" i="66"/>
  <c r="L77" i="66"/>
  <c r="K77" i="66"/>
  <c r="J77" i="66"/>
  <c r="I77" i="66"/>
  <c r="H77" i="66"/>
  <c r="G77" i="66"/>
  <c r="F77" i="66"/>
  <c r="E77" i="66"/>
  <c r="D77" i="66"/>
  <c r="L76" i="66"/>
  <c r="K76" i="66"/>
  <c r="J76" i="66"/>
  <c r="I76" i="66"/>
  <c r="H76" i="66"/>
  <c r="G76" i="66"/>
  <c r="F76" i="66"/>
  <c r="E76" i="66"/>
  <c r="D76" i="66"/>
  <c r="L75" i="66"/>
  <c r="K75" i="66"/>
  <c r="J75" i="66"/>
  <c r="I75" i="66"/>
  <c r="H75" i="66"/>
  <c r="G75" i="66"/>
  <c r="F75" i="66"/>
  <c r="E75" i="66"/>
  <c r="D75" i="66"/>
  <c r="L74" i="66"/>
  <c r="K74" i="66"/>
  <c r="J74" i="66"/>
  <c r="I74" i="66"/>
  <c r="H74" i="66"/>
  <c r="G74" i="66"/>
  <c r="F74" i="66"/>
  <c r="E74" i="66"/>
  <c r="D74" i="66"/>
  <c r="L73" i="66"/>
  <c r="K73" i="66"/>
  <c r="J73" i="66"/>
  <c r="I73" i="66"/>
  <c r="H73" i="66"/>
  <c r="G73" i="66"/>
  <c r="F73" i="66"/>
  <c r="E73" i="66"/>
  <c r="D73" i="66"/>
  <c r="L72" i="66"/>
  <c r="K72" i="66"/>
  <c r="J72" i="66"/>
  <c r="I72" i="66"/>
  <c r="H72" i="66"/>
  <c r="G72" i="66"/>
  <c r="F72" i="66"/>
  <c r="E72" i="66"/>
  <c r="D72" i="66"/>
  <c r="L71" i="66"/>
  <c r="K71" i="66"/>
  <c r="J71" i="66"/>
  <c r="I71" i="66"/>
  <c r="H71" i="66"/>
  <c r="G71" i="66"/>
  <c r="F71" i="66"/>
  <c r="E71" i="66"/>
  <c r="D71" i="66"/>
  <c r="L70" i="66"/>
  <c r="K70" i="66"/>
  <c r="J70" i="66"/>
  <c r="I70" i="66"/>
  <c r="H70" i="66"/>
  <c r="G70" i="66"/>
  <c r="F70" i="66"/>
  <c r="E70" i="66"/>
  <c r="D70" i="66"/>
  <c r="L69" i="66"/>
  <c r="K69" i="66"/>
  <c r="J69" i="66"/>
  <c r="I69" i="66"/>
  <c r="H69" i="66"/>
  <c r="G69" i="66"/>
  <c r="F69" i="66"/>
  <c r="E69" i="66"/>
  <c r="D69" i="66"/>
  <c r="L68" i="66"/>
  <c r="K68" i="66"/>
  <c r="J68" i="66"/>
  <c r="I68" i="66"/>
  <c r="H68" i="66"/>
  <c r="G68" i="66"/>
  <c r="F68" i="66"/>
  <c r="E68" i="66"/>
  <c r="D68" i="66"/>
  <c r="L67" i="66"/>
  <c r="K67" i="66"/>
  <c r="J67" i="66"/>
  <c r="I67" i="66"/>
  <c r="H67" i="66"/>
  <c r="G67" i="66"/>
  <c r="F67" i="66"/>
  <c r="E67" i="66"/>
  <c r="D67" i="66"/>
  <c r="L66" i="66"/>
  <c r="K66" i="66"/>
  <c r="J66" i="66"/>
  <c r="I66" i="66"/>
  <c r="H66" i="66"/>
  <c r="G66" i="66"/>
  <c r="F66" i="66"/>
  <c r="E66" i="66"/>
  <c r="D66" i="66"/>
  <c r="L65" i="66"/>
  <c r="K65" i="66"/>
  <c r="J65" i="66"/>
  <c r="I65" i="66"/>
  <c r="H65" i="66"/>
  <c r="G65" i="66"/>
  <c r="F65" i="66"/>
  <c r="E65" i="66"/>
  <c r="D65" i="66"/>
  <c r="L64" i="66"/>
  <c r="K64" i="66"/>
  <c r="J64" i="66"/>
  <c r="I64" i="66"/>
  <c r="H64" i="66"/>
  <c r="G64" i="66"/>
  <c r="F64" i="66"/>
  <c r="E64" i="66"/>
  <c r="D64" i="66"/>
  <c r="L63" i="66"/>
  <c r="K63" i="66"/>
  <c r="J63" i="66"/>
  <c r="I63" i="66"/>
  <c r="H63" i="66"/>
  <c r="G63" i="66"/>
  <c r="F63" i="66"/>
  <c r="E63" i="66"/>
  <c r="D63" i="66"/>
  <c r="L62" i="66"/>
  <c r="K62" i="66"/>
  <c r="J62" i="66"/>
  <c r="I62" i="66"/>
  <c r="H62" i="66"/>
  <c r="G62" i="66"/>
  <c r="F62" i="66"/>
  <c r="E62" i="66"/>
  <c r="D62" i="66"/>
  <c r="L61" i="66"/>
  <c r="K61" i="66"/>
  <c r="J61" i="66"/>
  <c r="I61" i="66"/>
  <c r="H61" i="66"/>
  <c r="G61" i="66"/>
  <c r="F61" i="66"/>
  <c r="E61" i="66"/>
  <c r="D61" i="66"/>
  <c r="L60" i="66"/>
  <c r="K60" i="66"/>
  <c r="J60" i="66"/>
  <c r="I60" i="66"/>
  <c r="H60" i="66"/>
  <c r="G60" i="66"/>
  <c r="F60" i="66"/>
  <c r="E60" i="66"/>
  <c r="D60" i="66"/>
  <c r="L59" i="66"/>
  <c r="K59" i="66"/>
  <c r="J59" i="66"/>
  <c r="I59" i="66"/>
  <c r="H59" i="66"/>
  <c r="G59" i="66"/>
  <c r="F59" i="66"/>
  <c r="E59" i="66"/>
  <c r="D59" i="66"/>
  <c r="L58" i="66"/>
  <c r="K58" i="66"/>
  <c r="J58" i="66"/>
  <c r="I58" i="66"/>
  <c r="H58" i="66"/>
  <c r="G58" i="66"/>
  <c r="F58" i="66"/>
  <c r="E58" i="66"/>
  <c r="D58" i="66"/>
  <c r="L57" i="66"/>
  <c r="K57" i="66"/>
  <c r="J57" i="66"/>
  <c r="I57" i="66"/>
  <c r="H57" i="66"/>
  <c r="G57" i="66"/>
  <c r="F57" i="66"/>
  <c r="E57" i="66"/>
  <c r="D57" i="66"/>
  <c r="L56" i="66"/>
  <c r="K56" i="66"/>
  <c r="J56" i="66"/>
  <c r="I56" i="66"/>
  <c r="H56" i="66"/>
  <c r="G56" i="66"/>
  <c r="F56" i="66"/>
  <c r="E56" i="66"/>
  <c r="D56" i="66"/>
  <c r="L55" i="66"/>
  <c r="K55" i="66"/>
  <c r="J55" i="66"/>
  <c r="I55" i="66"/>
  <c r="H55" i="66"/>
  <c r="G55" i="66"/>
  <c r="F55" i="66"/>
  <c r="E55" i="66"/>
  <c r="D55" i="66"/>
  <c r="L54" i="66"/>
  <c r="K54" i="66"/>
  <c r="J54" i="66"/>
  <c r="I54" i="66"/>
  <c r="H54" i="66"/>
  <c r="G54" i="66"/>
  <c r="F54" i="66"/>
  <c r="E54" i="66"/>
  <c r="D54" i="66"/>
  <c r="L53" i="66"/>
  <c r="K53" i="66"/>
  <c r="J53" i="66"/>
  <c r="I53" i="66"/>
  <c r="H53" i="66"/>
  <c r="G53" i="66"/>
  <c r="F53" i="66"/>
  <c r="E53" i="66"/>
  <c r="D53" i="66"/>
  <c r="L52" i="66"/>
  <c r="K52" i="66"/>
  <c r="J52" i="66"/>
  <c r="I52" i="66"/>
  <c r="H52" i="66"/>
  <c r="G52" i="66"/>
  <c r="F52" i="66"/>
  <c r="E52" i="66"/>
  <c r="D52" i="66"/>
  <c r="L51" i="66"/>
  <c r="K51" i="66"/>
  <c r="J51" i="66"/>
  <c r="I51" i="66"/>
  <c r="H51" i="66"/>
  <c r="G51" i="66"/>
  <c r="F51" i="66"/>
  <c r="E51" i="66"/>
  <c r="D51" i="66"/>
  <c r="L50" i="66"/>
  <c r="K50" i="66"/>
  <c r="J50" i="66"/>
  <c r="I50" i="66"/>
  <c r="H50" i="66"/>
  <c r="G50" i="66"/>
  <c r="F50" i="66"/>
  <c r="E50" i="66"/>
  <c r="D50" i="66"/>
  <c r="L49" i="66"/>
  <c r="K49" i="66"/>
  <c r="J49" i="66"/>
  <c r="I49" i="66"/>
  <c r="H49" i="66"/>
  <c r="G49" i="66"/>
  <c r="F49" i="66"/>
  <c r="E49" i="66"/>
  <c r="D49" i="66"/>
  <c r="L48" i="66"/>
  <c r="K48" i="66"/>
  <c r="J48" i="66"/>
  <c r="I48" i="66"/>
  <c r="H48" i="66"/>
  <c r="G48" i="66"/>
  <c r="F48" i="66"/>
  <c r="E48" i="66"/>
  <c r="D48" i="66"/>
  <c r="L47" i="66"/>
  <c r="K47" i="66"/>
  <c r="J47" i="66"/>
  <c r="I47" i="66"/>
  <c r="H47" i="66"/>
  <c r="G47" i="66"/>
  <c r="F47" i="66"/>
  <c r="E47" i="66"/>
  <c r="D47" i="66"/>
  <c r="L46" i="66"/>
  <c r="K46" i="66"/>
  <c r="J46" i="66"/>
  <c r="I46" i="66"/>
  <c r="H46" i="66"/>
  <c r="G46" i="66"/>
  <c r="F46" i="66"/>
  <c r="E46" i="66"/>
  <c r="D46" i="66"/>
  <c r="L45" i="66"/>
  <c r="K45" i="66"/>
  <c r="J45" i="66"/>
  <c r="I45" i="66"/>
  <c r="H45" i="66"/>
  <c r="G45" i="66"/>
  <c r="F45" i="66"/>
  <c r="E45" i="66"/>
  <c r="D45" i="66"/>
  <c r="L44" i="66"/>
  <c r="K44" i="66"/>
  <c r="J44" i="66"/>
  <c r="I44" i="66"/>
  <c r="H44" i="66"/>
  <c r="G44" i="66"/>
  <c r="F44" i="66"/>
  <c r="E44" i="66"/>
  <c r="D44" i="66"/>
  <c r="L43" i="66"/>
  <c r="K43" i="66"/>
  <c r="J43" i="66"/>
  <c r="I43" i="66"/>
  <c r="H43" i="66"/>
  <c r="G43" i="66"/>
  <c r="F43" i="66"/>
  <c r="E43" i="66"/>
  <c r="D43" i="66"/>
  <c r="L42" i="66"/>
  <c r="K42" i="66"/>
  <c r="J42" i="66"/>
  <c r="I42" i="66"/>
  <c r="H42" i="66"/>
  <c r="G42" i="66"/>
  <c r="F42" i="66"/>
  <c r="E42" i="66"/>
  <c r="D42" i="66"/>
  <c r="L41" i="66"/>
  <c r="K41" i="66"/>
  <c r="J41" i="66"/>
  <c r="I41" i="66"/>
  <c r="H41" i="66"/>
  <c r="G41" i="66"/>
  <c r="F41" i="66"/>
  <c r="E41" i="66"/>
  <c r="D41" i="66"/>
  <c r="L40" i="66"/>
  <c r="K40" i="66"/>
  <c r="J40" i="66"/>
  <c r="I40" i="66"/>
  <c r="H40" i="66"/>
  <c r="G40" i="66"/>
  <c r="F40" i="66"/>
  <c r="E40" i="66"/>
  <c r="D40" i="66"/>
  <c r="L39" i="66"/>
  <c r="K39" i="66"/>
  <c r="J39" i="66"/>
  <c r="I39" i="66"/>
  <c r="H39" i="66"/>
  <c r="G39" i="66"/>
  <c r="F39" i="66"/>
  <c r="E39" i="66"/>
  <c r="D39" i="66"/>
  <c r="L38" i="66"/>
  <c r="K38" i="66"/>
  <c r="J38" i="66"/>
  <c r="I38" i="66"/>
  <c r="H38" i="66"/>
  <c r="G38" i="66"/>
  <c r="F38" i="66"/>
  <c r="E38" i="66"/>
  <c r="D38" i="66"/>
  <c r="L37" i="66"/>
  <c r="K37" i="66"/>
  <c r="J37" i="66"/>
  <c r="I37" i="66"/>
  <c r="H37" i="66"/>
  <c r="G37" i="66"/>
  <c r="F37" i="66"/>
  <c r="E37" i="66"/>
  <c r="D37" i="66"/>
  <c r="L36" i="66"/>
  <c r="K36" i="66"/>
  <c r="J36" i="66"/>
  <c r="I36" i="66"/>
  <c r="H36" i="66"/>
  <c r="G36" i="66"/>
  <c r="F36" i="66"/>
  <c r="E36" i="66"/>
  <c r="D36" i="66"/>
  <c r="L35" i="66"/>
  <c r="K35" i="66"/>
  <c r="J35" i="66"/>
  <c r="I35" i="66"/>
  <c r="H35" i="66"/>
  <c r="G35" i="66"/>
  <c r="F35" i="66"/>
  <c r="E35" i="66"/>
  <c r="D35" i="66"/>
  <c r="L34" i="66"/>
  <c r="K34" i="66"/>
  <c r="J34" i="66"/>
  <c r="I34" i="66"/>
  <c r="H34" i="66"/>
  <c r="G34" i="66"/>
  <c r="F34" i="66"/>
  <c r="E34" i="66"/>
  <c r="D34" i="66"/>
  <c r="L33" i="66"/>
  <c r="K33" i="66"/>
  <c r="J33" i="66"/>
  <c r="I33" i="66"/>
  <c r="H33" i="66"/>
  <c r="G33" i="66"/>
  <c r="F33" i="66"/>
  <c r="E33" i="66"/>
  <c r="D33" i="66"/>
  <c r="L32" i="66"/>
  <c r="K32" i="66"/>
  <c r="J32" i="66"/>
  <c r="I32" i="66"/>
  <c r="H32" i="66"/>
  <c r="G32" i="66"/>
  <c r="F32" i="66"/>
  <c r="E32" i="66"/>
  <c r="D32" i="66"/>
  <c r="L31" i="66"/>
  <c r="K31" i="66"/>
  <c r="J31" i="66"/>
  <c r="I31" i="66"/>
  <c r="H31" i="66"/>
  <c r="G31" i="66"/>
  <c r="F31" i="66"/>
  <c r="E31" i="66"/>
  <c r="D31" i="66"/>
  <c r="L30" i="66"/>
  <c r="K30" i="66"/>
  <c r="J30" i="66"/>
  <c r="I30" i="66"/>
  <c r="H30" i="66"/>
  <c r="G30" i="66"/>
  <c r="F30" i="66"/>
  <c r="E30" i="66"/>
  <c r="D30" i="66"/>
  <c r="L29" i="66"/>
  <c r="K29" i="66"/>
  <c r="J29" i="66"/>
  <c r="I29" i="66"/>
  <c r="H29" i="66"/>
  <c r="G29" i="66"/>
  <c r="F29" i="66"/>
  <c r="E29" i="66"/>
  <c r="D29" i="66"/>
  <c r="L28" i="66"/>
  <c r="K28" i="66"/>
  <c r="J28" i="66"/>
  <c r="I28" i="66"/>
  <c r="H28" i="66"/>
  <c r="G28" i="66"/>
  <c r="F28" i="66"/>
  <c r="E28" i="66"/>
  <c r="D28" i="66"/>
  <c r="L27" i="66"/>
  <c r="K27" i="66"/>
  <c r="J27" i="66"/>
  <c r="I27" i="66"/>
  <c r="H27" i="66"/>
  <c r="G27" i="66"/>
  <c r="F27" i="66"/>
  <c r="E27" i="66"/>
  <c r="D27" i="66"/>
  <c r="L26" i="66"/>
  <c r="K26" i="66"/>
  <c r="J26" i="66"/>
  <c r="I26" i="66"/>
  <c r="H26" i="66"/>
  <c r="G26" i="66"/>
  <c r="F26" i="66"/>
  <c r="E26" i="66"/>
  <c r="D26" i="66"/>
  <c r="L25" i="66"/>
  <c r="K25" i="66"/>
  <c r="J25" i="66"/>
  <c r="I25" i="66"/>
  <c r="H25" i="66"/>
  <c r="G25" i="66"/>
  <c r="F25" i="66"/>
  <c r="E25" i="66"/>
  <c r="D25" i="66"/>
  <c r="L24" i="66"/>
  <c r="K24" i="66"/>
  <c r="J24" i="66"/>
  <c r="I24" i="66"/>
  <c r="H24" i="66"/>
  <c r="G24" i="66"/>
  <c r="F24" i="66"/>
  <c r="E24" i="66"/>
  <c r="D24" i="66"/>
  <c r="L23" i="66"/>
  <c r="K23" i="66"/>
  <c r="J23" i="66"/>
  <c r="I23" i="66"/>
  <c r="H23" i="66"/>
  <c r="G23" i="66"/>
  <c r="F23" i="66"/>
  <c r="E23" i="66"/>
  <c r="D23" i="66"/>
  <c r="L22" i="66"/>
  <c r="K22" i="66"/>
  <c r="J22" i="66"/>
  <c r="I22" i="66"/>
  <c r="H22" i="66"/>
  <c r="G22" i="66"/>
  <c r="F22" i="66"/>
  <c r="E22" i="66"/>
  <c r="D22" i="66"/>
  <c r="L21" i="66"/>
  <c r="K21" i="66"/>
  <c r="J21" i="66"/>
  <c r="I21" i="66"/>
  <c r="H21" i="66"/>
  <c r="G21" i="66"/>
  <c r="F21" i="66"/>
  <c r="E21" i="66"/>
  <c r="D21" i="66"/>
  <c r="L20" i="66"/>
  <c r="K20" i="66"/>
  <c r="J20" i="66"/>
  <c r="I20" i="66"/>
  <c r="H20" i="66"/>
  <c r="G20" i="66"/>
  <c r="F20" i="66"/>
  <c r="E20" i="66"/>
  <c r="D20" i="66"/>
  <c r="L19" i="66"/>
  <c r="K19" i="66"/>
  <c r="J19" i="66"/>
  <c r="I19" i="66"/>
  <c r="H19" i="66"/>
  <c r="G19" i="66"/>
  <c r="F19" i="66"/>
  <c r="E19" i="66"/>
  <c r="D19" i="66"/>
  <c r="L18" i="66"/>
  <c r="K18" i="66"/>
  <c r="J18" i="66"/>
  <c r="I18" i="66"/>
  <c r="H18" i="66"/>
  <c r="G18" i="66"/>
  <c r="F18" i="66"/>
  <c r="E18" i="66"/>
  <c r="D18" i="66"/>
  <c r="L17" i="66"/>
  <c r="K17" i="66"/>
  <c r="J17" i="66"/>
  <c r="I17" i="66"/>
  <c r="H17" i="66"/>
  <c r="G17" i="66"/>
  <c r="F17" i="66"/>
  <c r="E17" i="66"/>
  <c r="D17" i="66"/>
  <c r="L16" i="66"/>
  <c r="K16" i="66"/>
  <c r="J16" i="66"/>
  <c r="I16" i="66"/>
  <c r="H16" i="66"/>
  <c r="G16" i="66"/>
  <c r="F16" i="66"/>
  <c r="E16" i="66"/>
  <c r="D16" i="66"/>
  <c r="L15" i="66"/>
  <c r="K15" i="66"/>
  <c r="J15" i="66"/>
  <c r="I15" i="66"/>
  <c r="H15" i="66"/>
  <c r="G15" i="66"/>
  <c r="F15" i="66"/>
  <c r="E15" i="66"/>
  <c r="D15" i="66"/>
  <c r="F13" i="67"/>
  <c r="Q13" i="67"/>
  <c r="Z20" i="68" l="1"/>
  <c r="E55" i="68"/>
  <c r="AC20" i="68"/>
  <c r="H55" i="68"/>
  <c r="AF20" i="68"/>
  <c r="K55" i="68"/>
  <c r="AI20" i="68"/>
  <c r="N55" i="68"/>
  <c r="AL20" i="68"/>
  <c r="Q55" i="68"/>
  <c r="T55" i="68"/>
  <c r="W55" i="68"/>
  <c r="Z55" i="68"/>
  <c r="Y14" i="40"/>
  <c r="Y34" i="40" s="1"/>
  <c r="Y76" i="40" s="1"/>
  <c r="AA112" i="67"/>
  <c r="AF39" i="71" s="1"/>
  <c r="K34" i="68"/>
  <c r="K27" i="68"/>
  <c r="U34" i="58"/>
  <c r="R42" i="71"/>
  <c r="J42" i="71"/>
  <c r="S42" i="71"/>
  <c r="J52" i="71"/>
  <c r="L52" i="71"/>
  <c r="T52" i="71"/>
  <c r="M52" i="71"/>
  <c r="U52" i="71"/>
  <c r="M42" i="71"/>
  <c r="O42" i="71"/>
  <c r="O52" i="71"/>
  <c r="N52" i="71"/>
  <c r="K42" i="71"/>
  <c r="T42" i="71"/>
  <c r="L42" i="71"/>
  <c r="U42" i="71"/>
  <c r="R52" i="71"/>
  <c r="K52" i="71"/>
  <c r="P22" i="71"/>
  <c r="P45" i="71"/>
  <c r="R27" i="71"/>
  <c r="R50" i="71"/>
  <c r="M24" i="71"/>
  <c r="M47" i="71"/>
  <c r="R22" i="71"/>
  <c r="R45" i="71"/>
  <c r="P25" i="71"/>
  <c r="P48" i="71"/>
  <c r="K27" i="71"/>
  <c r="K50" i="71"/>
  <c r="S27" i="71"/>
  <c r="S50" i="71"/>
  <c r="P14" i="71"/>
  <c r="P37" i="71"/>
  <c r="M15" i="71"/>
  <c r="M38" i="71"/>
  <c r="U15" i="71"/>
  <c r="U38" i="71"/>
  <c r="P17" i="71"/>
  <c r="P40" i="71"/>
  <c r="L24" i="71"/>
  <c r="L47" i="71"/>
  <c r="O14" i="71"/>
  <c r="O37" i="71"/>
  <c r="N24" i="71"/>
  <c r="N47" i="71"/>
  <c r="J22" i="71"/>
  <c r="J45" i="71"/>
  <c r="S22" i="71"/>
  <c r="S45" i="71"/>
  <c r="Q25" i="71"/>
  <c r="Q48" i="71"/>
  <c r="L27" i="71"/>
  <c r="L50" i="71"/>
  <c r="T27" i="71"/>
  <c r="T50" i="71"/>
  <c r="Q14" i="71"/>
  <c r="Q37" i="71"/>
  <c r="N15" i="71"/>
  <c r="N38" i="71"/>
  <c r="Q17" i="71"/>
  <c r="Q40" i="71"/>
  <c r="U24" i="71"/>
  <c r="U47" i="71"/>
  <c r="O25" i="71"/>
  <c r="O48" i="71"/>
  <c r="O17" i="71"/>
  <c r="O40" i="71"/>
  <c r="P24" i="71"/>
  <c r="P47" i="71"/>
  <c r="K22" i="71"/>
  <c r="K45" i="71"/>
  <c r="T22" i="71"/>
  <c r="T45" i="71"/>
  <c r="J25" i="71"/>
  <c r="J48" i="71"/>
  <c r="R25" i="71"/>
  <c r="R48" i="71"/>
  <c r="M27" i="71"/>
  <c r="M50" i="71"/>
  <c r="U27" i="71"/>
  <c r="U50" i="71"/>
  <c r="P52" i="71"/>
  <c r="R14" i="71"/>
  <c r="R37" i="71"/>
  <c r="O15" i="71"/>
  <c r="O38" i="71"/>
  <c r="R17" i="71"/>
  <c r="R40" i="71"/>
  <c r="J27" i="71"/>
  <c r="J50" i="71"/>
  <c r="Q24" i="71"/>
  <c r="Q47" i="71"/>
  <c r="L22" i="71"/>
  <c r="L45" i="71"/>
  <c r="U22" i="71"/>
  <c r="U45" i="71"/>
  <c r="K25" i="71"/>
  <c r="K48" i="71"/>
  <c r="S25" i="71"/>
  <c r="S48" i="71"/>
  <c r="N27" i="71"/>
  <c r="N50" i="71"/>
  <c r="Q52" i="71"/>
  <c r="K14" i="71"/>
  <c r="K37" i="71"/>
  <c r="S14" i="71"/>
  <c r="S37" i="71"/>
  <c r="P15" i="71"/>
  <c r="P38" i="71"/>
  <c r="K17" i="71"/>
  <c r="K40" i="71"/>
  <c r="K41" i="71" s="1"/>
  <c r="S17" i="71"/>
  <c r="S40" i="71"/>
  <c r="N42" i="71"/>
  <c r="R24" i="71"/>
  <c r="R47" i="71"/>
  <c r="M22" i="71"/>
  <c r="M45" i="71"/>
  <c r="L25" i="71"/>
  <c r="L48" i="71"/>
  <c r="T25" i="71"/>
  <c r="T48" i="71"/>
  <c r="O27" i="71"/>
  <c r="O50" i="71"/>
  <c r="L14" i="71"/>
  <c r="L37" i="71"/>
  <c r="T14" i="71"/>
  <c r="T37" i="71"/>
  <c r="Q15" i="71"/>
  <c r="Q38" i="71"/>
  <c r="L17" i="71"/>
  <c r="L40" i="71"/>
  <c r="T17" i="71"/>
  <c r="T40" i="71"/>
  <c r="T15" i="71"/>
  <c r="T38" i="71"/>
  <c r="S24" i="71"/>
  <c r="S47" i="71"/>
  <c r="N22" i="71"/>
  <c r="N45" i="71"/>
  <c r="M25" i="71"/>
  <c r="M48" i="71"/>
  <c r="U25" i="71"/>
  <c r="U48" i="71"/>
  <c r="P27" i="71"/>
  <c r="P50" i="71"/>
  <c r="S52" i="71"/>
  <c r="M14" i="71"/>
  <c r="M37" i="71"/>
  <c r="U14" i="71"/>
  <c r="U37" i="71"/>
  <c r="J15" i="71"/>
  <c r="J38" i="71"/>
  <c r="R15" i="71"/>
  <c r="R38" i="71"/>
  <c r="M17" i="71"/>
  <c r="M40" i="71"/>
  <c r="U17" i="71"/>
  <c r="U40" i="71"/>
  <c r="L15" i="71"/>
  <c r="L38" i="71"/>
  <c r="K24" i="71"/>
  <c r="K47" i="71"/>
  <c r="T24" i="71"/>
  <c r="T47" i="71"/>
  <c r="O22" i="71"/>
  <c r="O45" i="71"/>
  <c r="N25" i="71"/>
  <c r="N48" i="71"/>
  <c r="Q27" i="71"/>
  <c r="Q50" i="71"/>
  <c r="N14" i="71"/>
  <c r="N37" i="71"/>
  <c r="K15" i="71"/>
  <c r="K38" i="71"/>
  <c r="S15" i="71"/>
  <c r="S38" i="71"/>
  <c r="N17" i="71"/>
  <c r="N40" i="71"/>
  <c r="J17" i="71"/>
  <c r="J14" i="71"/>
  <c r="K34" i="71"/>
  <c r="K35" i="71"/>
  <c r="T12" i="71"/>
  <c r="S12" i="71"/>
  <c r="S34" i="71"/>
  <c r="R12" i="71"/>
  <c r="R34" i="71"/>
  <c r="Q12" i="71"/>
  <c r="Q34" i="71"/>
  <c r="P12" i="71"/>
  <c r="P34" i="71"/>
  <c r="O12" i="71"/>
  <c r="O34" i="71"/>
  <c r="J34" i="71"/>
  <c r="N12" i="71"/>
  <c r="N34" i="71"/>
  <c r="L12" i="71"/>
  <c r="N29" i="71"/>
  <c r="O29" i="71"/>
  <c r="J29" i="71"/>
  <c r="R29" i="71"/>
  <c r="K29" i="71"/>
  <c r="S29" i="71"/>
  <c r="L29" i="71"/>
  <c r="M29" i="71"/>
  <c r="U29" i="71"/>
  <c r="P29" i="71"/>
  <c r="Q29" i="71"/>
  <c r="T29" i="71"/>
  <c r="J12" i="71"/>
  <c r="R19" i="71"/>
  <c r="L19" i="71"/>
  <c r="U19" i="71"/>
  <c r="S19" i="71"/>
  <c r="K19" i="71"/>
  <c r="T19" i="71"/>
  <c r="M19" i="71"/>
  <c r="O19" i="71"/>
  <c r="N19" i="71"/>
  <c r="J19" i="71"/>
  <c r="K11" i="71"/>
  <c r="K12" i="71"/>
  <c r="J11" i="71"/>
  <c r="S11" i="71"/>
  <c r="N11" i="71"/>
  <c r="O11" i="71"/>
  <c r="P11" i="71"/>
  <c r="Q11" i="71"/>
  <c r="R11" i="71"/>
  <c r="V23" i="71"/>
  <c r="X23" i="71" s="1"/>
  <c r="U35" i="58"/>
  <c r="F10" i="63"/>
  <c r="F55" i="63" s="1"/>
  <c r="B46" i="67"/>
  <c r="E58" i="68"/>
  <c r="M32" i="67"/>
  <c r="S2" i="71" s="1"/>
  <c r="AC39" i="67"/>
  <c r="AI58" i="68"/>
  <c r="D34" i="58"/>
  <c r="J32" i="58"/>
  <c r="AE39" i="67"/>
  <c r="J35" i="58" s="1"/>
  <c r="W58" i="68"/>
  <c r="H58" i="68"/>
  <c r="AP66" i="67"/>
  <c r="P4" i="69"/>
  <c r="AM66" i="67"/>
  <c r="W17" i="58"/>
  <c r="AF58" i="68"/>
  <c r="N58" i="68"/>
  <c r="AL58" i="68"/>
  <c r="Q58" i="68"/>
  <c r="T58" i="68"/>
  <c r="Z58" i="68"/>
  <c r="AC58" i="68"/>
  <c r="K58" i="68"/>
  <c r="AN66" i="67"/>
  <c r="AO66" i="67"/>
  <c r="O22" i="67"/>
  <c r="X14" i="70"/>
  <c r="F38" i="70"/>
  <c r="R5" i="70"/>
  <c r="M37" i="70"/>
  <c r="Z5" i="70"/>
  <c r="B22" i="69"/>
  <c r="P22" i="69"/>
  <c r="B31" i="69"/>
  <c r="P31" i="69"/>
  <c r="B40" i="69"/>
  <c r="P40" i="69"/>
  <c r="F1" i="66"/>
  <c r="T5" i="70"/>
  <c r="K38" i="70"/>
  <c r="V5" i="70"/>
  <c r="V14" i="70"/>
  <c r="O37" i="70"/>
  <c r="I37" i="70"/>
  <c r="X5" i="70"/>
  <c r="N14" i="70"/>
  <c r="AD14" i="70"/>
  <c r="E38" i="70"/>
  <c r="T14" i="70"/>
  <c r="P14" i="70"/>
  <c r="AF14" i="70"/>
  <c r="N5" i="70"/>
  <c r="AD5" i="70"/>
  <c r="Z14" i="70"/>
  <c r="R14" i="70"/>
  <c r="P5" i="70"/>
  <c r="AF5" i="70"/>
  <c r="AQ6" i="70"/>
  <c r="L14" i="70"/>
  <c r="AB14" i="70"/>
  <c r="AM15" i="70"/>
  <c r="AU15" i="70"/>
  <c r="AL16" i="70"/>
  <c r="L11" i="71" s="1"/>
  <c r="AT16" i="70"/>
  <c r="T11" i="71" s="1"/>
  <c r="AQ19" i="70"/>
  <c r="AP20" i="70"/>
  <c r="P19" i="71" s="1"/>
  <c r="AB5" i="70"/>
  <c r="J34" i="58" l="1"/>
  <c r="J1" i="66"/>
  <c r="AC48" i="67"/>
  <c r="AE48" i="67" s="1"/>
  <c r="N26" i="67"/>
  <c r="B27" i="67" s="1"/>
  <c r="O26" i="71"/>
  <c r="O18" i="71"/>
  <c r="Q26" i="71"/>
  <c r="Q28" i="71"/>
  <c r="S26" i="71"/>
  <c r="K26" i="71"/>
  <c r="K18" i="71"/>
  <c r="Q18" i="71"/>
  <c r="M28" i="71"/>
  <c r="U16" i="71"/>
  <c r="S28" i="71"/>
  <c r="O16" i="71"/>
  <c r="S16" i="71"/>
  <c r="M16" i="71"/>
  <c r="K16" i="71"/>
  <c r="U28" i="71"/>
  <c r="S43" i="71"/>
  <c r="K43" i="71"/>
  <c r="Q16" i="71"/>
  <c r="M26" i="71"/>
  <c r="U18" i="71"/>
  <c r="K28" i="71"/>
  <c r="O28" i="71"/>
  <c r="U26" i="71"/>
  <c r="M53" i="71"/>
  <c r="O43" i="71"/>
  <c r="K53" i="71"/>
  <c r="U53" i="71"/>
  <c r="M43" i="71"/>
  <c r="O53" i="71"/>
  <c r="M39" i="71"/>
  <c r="K36" i="71"/>
  <c r="U41" i="71"/>
  <c r="S53" i="71"/>
  <c r="Q36" i="71"/>
  <c r="U43" i="71"/>
  <c r="O49" i="71"/>
  <c r="K39" i="71"/>
  <c r="U49" i="71"/>
  <c r="K51" i="71"/>
  <c r="U39" i="71"/>
  <c r="S18" i="71"/>
  <c r="U51" i="71"/>
  <c r="O41" i="71"/>
  <c r="Q41" i="71"/>
  <c r="M18" i="71"/>
  <c r="M41" i="71"/>
  <c r="Q39" i="71"/>
  <c r="Q19" i="71"/>
  <c r="Q20" i="71" s="1"/>
  <c r="Q42" i="71"/>
  <c r="O51" i="71"/>
  <c r="V47" i="71"/>
  <c r="Q22" i="71"/>
  <c r="Q45" i="71"/>
  <c r="V45" i="71" s="1"/>
  <c r="S39" i="71"/>
  <c r="S49" i="71"/>
  <c r="M51" i="71"/>
  <c r="Q51" i="71"/>
  <c r="S51" i="71"/>
  <c r="K49" i="71"/>
  <c r="O39" i="71"/>
  <c r="O36" i="71"/>
  <c r="S36" i="71"/>
  <c r="P42" i="71"/>
  <c r="Q53" i="71"/>
  <c r="Q49" i="71"/>
  <c r="M49" i="71"/>
  <c r="S41" i="71"/>
  <c r="U34" i="71"/>
  <c r="U35" i="71"/>
  <c r="M34" i="71"/>
  <c r="M35" i="71"/>
  <c r="T34" i="71"/>
  <c r="L34" i="71"/>
  <c r="O30" i="71"/>
  <c r="M30" i="71"/>
  <c r="K30" i="71"/>
  <c r="O20" i="71"/>
  <c r="K13" i="71"/>
  <c r="U30" i="71"/>
  <c r="S30" i="71"/>
  <c r="Q13" i="71"/>
  <c r="O13" i="71"/>
  <c r="U20" i="71"/>
  <c r="Q30" i="71"/>
  <c r="S13" i="71"/>
  <c r="K20" i="71"/>
  <c r="M20" i="71"/>
  <c r="S20" i="71"/>
  <c r="U11" i="71"/>
  <c r="U13" i="71" s="1"/>
  <c r="U12" i="71"/>
  <c r="M11" i="71"/>
  <c r="M13" i="71" s="1"/>
  <c r="M12" i="71"/>
  <c r="V24" i="71"/>
  <c r="V37" i="71"/>
  <c r="V14" i="71"/>
  <c r="AI9" i="63"/>
  <c r="AI54" i="63" s="1"/>
  <c r="L6" i="34"/>
  <c r="Q33" i="67"/>
  <c r="AQ12" i="63"/>
  <c r="AQ57" i="63" s="1"/>
  <c r="T22" i="67"/>
  <c r="V22" i="67"/>
  <c r="Y22" i="67"/>
  <c r="AQ9" i="63" s="1"/>
  <c r="AQ54" i="63" s="1"/>
  <c r="F32" i="67"/>
  <c r="M2" i="71" s="1"/>
  <c r="O6" i="40"/>
  <c r="O48" i="40" s="1"/>
  <c r="N6" i="61"/>
  <c r="N20" i="67"/>
  <c r="L63" i="67" s="1"/>
  <c r="AK68" i="67" s="1"/>
  <c r="AK69" i="67" s="1"/>
  <c r="K65" i="67"/>
  <c r="J63" i="67"/>
  <c r="Q4" i="68" s="1"/>
  <c r="K405" i="62" l="1"/>
  <c r="K10" i="62" s="1"/>
  <c r="K406" i="62" s="1"/>
  <c r="Z26" i="67"/>
  <c r="Y65" i="67"/>
  <c r="AA65" i="67" s="1"/>
  <c r="AP65" i="67"/>
  <c r="U65" i="67"/>
  <c r="AM65" i="67"/>
  <c r="AO65" i="67"/>
  <c r="Q65" i="67"/>
  <c r="M65" i="67"/>
  <c r="I65" i="67"/>
  <c r="AN65" i="67"/>
  <c r="AL65" i="67"/>
  <c r="AK65" i="67"/>
  <c r="AC65" i="67"/>
  <c r="H20" i="67"/>
  <c r="C20" i="67"/>
  <c r="E20" i="67"/>
  <c r="D20" i="67"/>
  <c r="F20" i="67"/>
  <c r="G20" i="67"/>
  <c r="J58" i="71"/>
  <c r="R58" i="71"/>
  <c r="N58" i="71"/>
  <c r="Q43" i="71"/>
  <c r="P58" i="71" s="1"/>
  <c r="M36" i="71"/>
  <c r="L58" i="71" s="1"/>
  <c r="U36" i="71"/>
  <c r="T58" i="71" s="1"/>
  <c r="V13" i="71"/>
  <c r="V53" i="71"/>
  <c r="X53" i="71" s="1"/>
  <c r="V51" i="71"/>
  <c r="X51" i="71" s="1"/>
  <c r="V49" i="71"/>
  <c r="X49" i="71" s="1"/>
  <c r="V41" i="71"/>
  <c r="X41" i="71" s="1"/>
  <c r="V39" i="71"/>
  <c r="X39" i="71" s="1"/>
  <c r="V12" i="71"/>
  <c r="V35" i="71"/>
  <c r="Q32" i="67"/>
  <c r="B32" i="67" s="1"/>
  <c r="AQ10" i="63"/>
  <c r="AQ55" i="63" s="1"/>
  <c r="AL9" i="63"/>
  <c r="AL54" i="63" s="1"/>
  <c r="O6" i="34"/>
  <c r="AO9" i="63"/>
  <c r="AO54" i="63" s="1"/>
  <c r="Q6" i="34"/>
  <c r="T4" i="68"/>
  <c r="S6" i="40"/>
  <c r="S48" i="40" s="1"/>
  <c r="AG36" i="67"/>
  <c r="U6" i="40"/>
  <c r="U48" i="40" s="1"/>
  <c r="X6" i="40"/>
  <c r="X48" i="40" s="1"/>
  <c r="T6" i="34"/>
  <c r="N479" i="61"/>
  <c r="N522" i="61"/>
  <c r="N393" i="61"/>
  <c r="N436" i="61"/>
  <c r="N307" i="61"/>
  <c r="N350" i="61"/>
  <c r="N221" i="61"/>
  <c r="N264" i="61"/>
  <c r="N135" i="61"/>
  <c r="N178" i="61"/>
  <c r="N49" i="61"/>
  <c r="N92" i="61"/>
  <c r="U6" i="61"/>
  <c r="Y6" i="61"/>
  <c r="R6" i="61"/>
  <c r="S63" i="67"/>
  <c r="AH4" i="68" s="1"/>
  <c r="U63" i="67"/>
  <c r="O63" i="67"/>
  <c r="Z4" i="68" s="1"/>
  <c r="O17" i="58"/>
  <c r="Q63" i="67"/>
  <c r="AD4" i="68" s="1"/>
  <c r="Q17" i="58"/>
  <c r="AT20" i="63" l="1"/>
  <c r="AR20" i="63"/>
  <c r="V405" i="62"/>
  <c r="V10" i="62" s="1"/>
  <c r="V406" i="62" s="1"/>
  <c r="AB27" i="67"/>
  <c r="Q405" i="62"/>
  <c r="Q10" i="62" s="1"/>
  <c r="Q406" i="62" s="1"/>
  <c r="AA27" i="67"/>
  <c r="AE65" i="67"/>
  <c r="AJ405" i="62"/>
  <c r="AJ10" i="62" s="1"/>
  <c r="AJ406" i="62" s="1"/>
  <c r="AE26" i="67"/>
  <c r="W65" i="67"/>
  <c r="AF405" i="62"/>
  <c r="AF10" i="62" s="1"/>
  <c r="AF406" i="62" s="1"/>
  <c r="AD27" i="67"/>
  <c r="AA405" i="62"/>
  <c r="AA10" i="62" s="1"/>
  <c r="AA406" i="62" s="1"/>
  <c r="AC27" i="67"/>
  <c r="E13" i="66"/>
  <c r="I7" i="62"/>
  <c r="J9" i="71"/>
  <c r="H9" i="61"/>
  <c r="B15" i="68"/>
  <c r="B18" i="68"/>
  <c r="B17" i="68"/>
  <c r="B24" i="63"/>
  <c r="B22" i="63"/>
  <c r="T9" i="71"/>
  <c r="J13" i="66"/>
  <c r="AG7" i="62"/>
  <c r="B53" i="68"/>
  <c r="B93" i="63"/>
  <c r="B52" i="68"/>
  <c r="AF9" i="61"/>
  <c r="B50" i="68"/>
  <c r="B91" i="63"/>
  <c r="W7" i="62"/>
  <c r="H13" i="66"/>
  <c r="P9" i="71"/>
  <c r="V9" i="61"/>
  <c r="B36" i="68"/>
  <c r="B38" i="68"/>
  <c r="B69" i="63"/>
  <c r="B39" i="68"/>
  <c r="B67" i="63"/>
  <c r="I13" i="66"/>
  <c r="R9" i="71"/>
  <c r="AB7" i="62"/>
  <c r="B45" i="68"/>
  <c r="B43" i="68"/>
  <c r="B81" i="63"/>
  <c r="B79" i="63"/>
  <c r="AA9" i="61"/>
  <c r="B46" i="68"/>
  <c r="G13" i="66"/>
  <c r="N9" i="71"/>
  <c r="R7" i="62"/>
  <c r="B46" i="63"/>
  <c r="B29" i="68"/>
  <c r="B31" i="68"/>
  <c r="B32" i="68"/>
  <c r="S65" i="67"/>
  <c r="Q9" i="61"/>
  <c r="B48" i="63"/>
  <c r="O65" i="67"/>
  <c r="F13" i="66"/>
  <c r="L9" i="71"/>
  <c r="B36" i="63"/>
  <c r="B34" i="63"/>
  <c r="M7" i="62"/>
  <c r="B22" i="68"/>
  <c r="B25" i="68"/>
  <c r="L9" i="61"/>
  <c r="B24" i="68"/>
  <c r="X13" i="71"/>
  <c r="V58" i="71"/>
  <c r="X58" i="71" s="1"/>
  <c r="V43" i="71"/>
  <c r="X43" i="71" s="1"/>
  <c r="V36" i="71"/>
  <c r="X36" i="71" s="1"/>
  <c r="AK74" i="67"/>
  <c r="Y479" i="61"/>
  <c r="Y522" i="61"/>
  <c r="U479" i="61"/>
  <c r="U522" i="61"/>
  <c r="R479" i="61"/>
  <c r="R522" i="61"/>
  <c r="R393" i="61"/>
  <c r="R436" i="61"/>
  <c r="Y393" i="61"/>
  <c r="Y436" i="61"/>
  <c r="U393" i="61"/>
  <c r="U436" i="61"/>
  <c r="R307" i="61"/>
  <c r="R350" i="61"/>
  <c r="Y307" i="61"/>
  <c r="Y350" i="61"/>
  <c r="U307" i="61"/>
  <c r="U350" i="61"/>
  <c r="U221" i="61"/>
  <c r="U264" i="61"/>
  <c r="R221" i="61"/>
  <c r="R264" i="61"/>
  <c r="Y221" i="61"/>
  <c r="Y264" i="61"/>
  <c r="U135" i="61"/>
  <c r="U178" i="61"/>
  <c r="Y135" i="61"/>
  <c r="Y178" i="61"/>
  <c r="R135" i="61"/>
  <c r="R178" i="61"/>
  <c r="Y49" i="61"/>
  <c r="Y92" i="61"/>
  <c r="R49" i="61"/>
  <c r="R92" i="61"/>
  <c r="U49" i="61"/>
  <c r="U92" i="61"/>
  <c r="AK4" i="68"/>
  <c r="AT89" i="63" l="1"/>
  <c r="AR89" i="63"/>
  <c r="AR67" i="63"/>
  <c r="AT67" i="63"/>
  <c r="AT34" i="63"/>
  <c r="AR34" i="63"/>
  <c r="AR79" i="63"/>
  <c r="AT79" i="63"/>
  <c r="AR46" i="63"/>
  <c r="AT46" i="63"/>
  <c r="AP68" i="67"/>
  <c r="AP69" i="67" s="1"/>
  <c r="AP74" i="67"/>
  <c r="Z405" i="62"/>
  <c r="Z10" i="62" s="1"/>
  <c r="Z406" i="62" s="1"/>
  <c r="AC26" i="67"/>
  <c r="AN75" i="67"/>
  <c r="AN70" i="67"/>
  <c r="AN71" i="67" s="1"/>
  <c r="P405" i="62"/>
  <c r="P10" i="62" s="1"/>
  <c r="P406" i="62" s="1"/>
  <c r="AL75" i="67"/>
  <c r="AA26" i="67"/>
  <c r="AL70" i="67"/>
  <c r="AL71" i="67" s="1"/>
  <c r="AE405" i="62"/>
  <c r="AE10" i="62" s="1"/>
  <c r="AE406" i="62" s="1"/>
  <c r="AD26" i="67"/>
  <c r="AO75" i="67"/>
  <c r="AO70" i="67"/>
  <c r="AO71" i="67" s="1"/>
  <c r="U405" i="62"/>
  <c r="U10" i="62" s="1"/>
  <c r="U406" i="62" s="1"/>
  <c r="AB26" i="67"/>
  <c r="AM75" i="67"/>
  <c r="AM70" i="67"/>
  <c r="AM71" i="67" s="1"/>
  <c r="AA267" i="61"/>
  <c r="AA310" i="61"/>
  <c r="AA95" i="61"/>
  <c r="AA439" i="61"/>
  <c r="AA482" i="61"/>
  <c r="AA52" i="61"/>
  <c r="AA396" i="61"/>
  <c r="AA525" i="61"/>
  <c r="AA224" i="61"/>
  <c r="AA353" i="61"/>
  <c r="AA138" i="61"/>
  <c r="AA181" i="61"/>
  <c r="BG21" i="62"/>
  <c r="BG149" i="62"/>
  <c r="BG115" i="62"/>
  <c r="BG125" i="62"/>
  <c r="BG229" i="62"/>
  <c r="BG191" i="62"/>
  <c r="BG33" i="62"/>
  <c r="BG189" i="62"/>
  <c r="BG41" i="62"/>
  <c r="BG79" i="62"/>
  <c r="BG359" i="62"/>
  <c r="BG263" i="62"/>
  <c r="BG111" i="62"/>
  <c r="BG365" i="62"/>
  <c r="BG291" i="62"/>
  <c r="BG113" i="62"/>
  <c r="BG341" i="62"/>
  <c r="BG187" i="62"/>
  <c r="BG403" i="62"/>
  <c r="BG183" i="62"/>
  <c r="BG307" i="62"/>
  <c r="BG325" i="62"/>
  <c r="BG293" i="62"/>
  <c r="BG367" i="62"/>
  <c r="BG27" i="62"/>
  <c r="BG37" i="62"/>
  <c r="BG165" i="62"/>
  <c r="BG131" i="62"/>
  <c r="BG129" i="62"/>
  <c r="BG245" i="62"/>
  <c r="BG207" i="62"/>
  <c r="BG63" i="62"/>
  <c r="BG205" i="62"/>
  <c r="BG89" i="62"/>
  <c r="BG195" i="62"/>
  <c r="BG25" i="62"/>
  <c r="BG267" i="62"/>
  <c r="BG161" i="62"/>
  <c r="BG381" i="62"/>
  <c r="BG323" i="62"/>
  <c r="BG177" i="62"/>
  <c r="BG361" i="62"/>
  <c r="BG215" i="62"/>
  <c r="BG175" i="62"/>
  <c r="BG211" i="62"/>
  <c r="BG339" i="62"/>
  <c r="BG363" i="62"/>
  <c r="BG345" i="62"/>
  <c r="BG399" i="62"/>
  <c r="BG43" i="62"/>
  <c r="BG53" i="62"/>
  <c r="BG19" i="62"/>
  <c r="BG147" i="62"/>
  <c r="BG141" i="62"/>
  <c r="BG261" i="62"/>
  <c r="BG223" i="62"/>
  <c r="BG93" i="62"/>
  <c r="BG221" i="62"/>
  <c r="BG201" i="62"/>
  <c r="BG225" i="62"/>
  <c r="BG81" i="62"/>
  <c r="BG283" i="62"/>
  <c r="BG185" i="62"/>
  <c r="BG397" i="62"/>
  <c r="BG355" i="62"/>
  <c r="BG219" i="62"/>
  <c r="BG375" i="62"/>
  <c r="BG249" i="62"/>
  <c r="BG227" i="62"/>
  <c r="BG289" i="62"/>
  <c r="BG369" i="62"/>
  <c r="BG395" i="62"/>
  <c r="BG87" i="62"/>
  <c r="BG15" i="62"/>
  <c r="BG59" i="62"/>
  <c r="BG69" i="62"/>
  <c r="BG35" i="62"/>
  <c r="BG163" i="62"/>
  <c r="BG153" i="62"/>
  <c r="BG277" i="62"/>
  <c r="BG239" i="62"/>
  <c r="BG97" i="62"/>
  <c r="BG237" i="62"/>
  <c r="BG231" i="62"/>
  <c r="BG259" i="62"/>
  <c r="BG105" i="62"/>
  <c r="BG305" i="62"/>
  <c r="BG217" i="62"/>
  <c r="BG55" i="62"/>
  <c r="BG377" i="62"/>
  <c r="BG297" i="62"/>
  <c r="BG391" i="62"/>
  <c r="BG281" i="62"/>
  <c r="BG241" i="62"/>
  <c r="BG333" i="62"/>
  <c r="BG385" i="62"/>
  <c r="BG383" i="62"/>
  <c r="BG247" i="62"/>
  <c r="BG275" i="62"/>
  <c r="BG75" i="62"/>
  <c r="BG85" i="62"/>
  <c r="BG51" i="62"/>
  <c r="BG31" i="62"/>
  <c r="BG173" i="62"/>
  <c r="BG39" i="62"/>
  <c r="BG255" i="62"/>
  <c r="BG127" i="62"/>
  <c r="BG253" i="62"/>
  <c r="BG235" i="62"/>
  <c r="BG295" i="62"/>
  <c r="BG155" i="62"/>
  <c r="BG321" i="62"/>
  <c r="BG251" i="62"/>
  <c r="BG119" i="62"/>
  <c r="BG393" i="62"/>
  <c r="BG303" i="62"/>
  <c r="BG371" i="62"/>
  <c r="BG315" i="62"/>
  <c r="BG77" i="62"/>
  <c r="BG45" i="62"/>
  <c r="BG401" i="62"/>
  <c r="BG209" i="62"/>
  <c r="BG143" i="62"/>
  <c r="BG91" i="62"/>
  <c r="BG101" i="62"/>
  <c r="BG67" i="62"/>
  <c r="BG61" i="62"/>
  <c r="BG181" i="62"/>
  <c r="BG73" i="62"/>
  <c r="BG271" i="62"/>
  <c r="BG137" i="62"/>
  <c r="BG269" i="62"/>
  <c r="BG265" i="62"/>
  <c r="BG311" i="62"/>
  <c r="BG199" i="62"/>
  <c r="BG337" i="62"/>
  <c r="BG279" i="62"/>
  <c r="BG167" i="62"/>
  <c r="BG273" i="62"/>
  <c r="BG309" i="62"/>
  <c r="BG49" i="62"/>
  <c r="BG347" i="62"/>
  <c r="BG109" i="62"/>
  <c r="BG71" i="62"/>
  <c r="BG135" i="62"/>
  <c r="BG319" i="62"/>
  <c r="BG313" i="62"/>
  <c r="BG107" i="62"/>
  <c r="BG117" i="62"/>
  <c r="BG83" i="62"/>
  <c r="BG65" i="62"/>
  <c r="BG197" i="62"/>
  <c r="BG103" i="62"/>
  <c r="BG287" i="62"/>
  <c r="BG157" i="62"/>
  <c r="BG285" i="62"/>
  <c r="BG23" i="62"/>
  <c r="BG327" i="62"/>
  <c r="BG203" i="62"/>
  <c r="BG353" i="62"/>
  <c r="BG299" i="62"/>
  <c r="BG243" i="62"/>
  <c r="BG301" i="62"/>
  <c r="BG329" i="62"/>
  <c r="BG121" i="62"/>
  <c r="BG373" i="62"/>
  <c r="BG145" i="62"/>
  <c r="BG179" i="62"/>
  <c r="BG171" i="62"/>
  <c r="BG349" i="62"/>
  <c r="BG351" i="62"/>
  <c r="BG123" i="62"/>
  <c r="BG133" i="62"/>
  <c r="BG99" i="62"/>
  <c r="BG95" i="62"/>
  <c r="BG213" i="62"/>
  <c r="BG151" i="62"/>
  <c r="BG29" i="62"/>
  <c r="BG169" i="62"/>
  <c r="BG17" i="62"/>
  <c r="BG57" i="62"/>
  <c r="BG343" i="62"/>
  <c r="BG233" i="62"/>
  <c r="BG47" i="62"/>
  <c r="BG331" i="62"/>
  <c r="BG257" i="62"/>
  <c r="BG387" i="62"/>
  <c r="BG335" i="62"/>
  <c r="BG139" i="62"/>
  <c r="BG389" i="62"/>
  <c r="BG159" i="62"/>
  <c r="BG193" i="62"/>
  <c r="BG317" i="62"/>
  <c r="BG357" i="62"/>
  <c r="BG379" i="62"/>
  <c r="BI79" i="62"/>
  <c r="BI89" i="62"/>
  <c r="BI55" i="62"/>
  <c r="BI17" i="62"/>
  <c r="BI217" i="62"/>
  <c r="BI109" i="62"/>
  <c r="BI259" i="62"/>
  <c r="BI171" i="62"/>
  <c r="BI289" i="62"/>
  <c r="BI251" i="62"/>
  <c r="BI231" i="62"/>
  <c r="BI29" i="62"/>
  <c r="BI309" i="62"/>
  <c r="BI345" i="62"/>
  <c r="BI205" i="62"/>
  <c r="BI343" i="62"/>
  <c r="BI143" i="62"/>
  <c r="BI355" i="62"/>
  <c r="BI329" i="62"/>
  <c r="BI253" i="62"/>
  <c r="BI183" i="62"/>
  <c r="BI353" i="62"/>
  <c r="BI371" i="62"/>
  <c r="BI387" i="62"/>
  <c r="BI95" i="62"/>
  <c r="BI105" i="62"/>
  <c r="BI71" i="62"/>
  <c r="BI27" i="62"/>
  <c r="BI233" i="62"/>
  <c r="BI133" i="62"/>
  <c r="BI275" i="62"/>
  <c r="BI177" i="62"/>
  <c r="BI83" i="62"/>
  <c r="BI261" i="62"/>
  <c r="BI255" i="62"/>
  <c r="BI43" i="62"/>
  <c r="BI325" i="62"/>
  <c r="BI369" i="62"/>
  <c r="BI213" i="62"/>
  <c r="BI365" i="62"/>
  <c r="BI163" i="62"/>
  <c r="BI363" i="62"/>
  <c r="BI377" i="62"/>
  <c r="BI391" i="62"/>
  <c r="BI207" i="62"/>
  <c r="BI359" i="62"/>
  <c r="BI383" i="62"/>
  <c r="BI67" i="62"/>
  <c r="BI111" i="62"/>
  <c r="BI121" i="62"/>
  <c r="BI87" i="62"/>
  <c r="BI81" i="62"/>
  <c r="BI249" i="62"/>
  <c r="BI159" i="62"/>
  <c r="BI49" i="62"/>
  <c r="BI193" i="62"/>
  <c r="BI93" i="62"/>
  <c r="BI37" i="62"/>
  <c r="BI281" i="62"/>
  <c r="BI53" i="62"/>
  <c r="BI341" i="62"/>
  <c r="BI385" i="62"/>
  <c r="BI223" i="62"/>
  <c r="BI381" i="62"/>
  <c r="BI239" i="62"/>
  <c r="BI379" i="62"/>
  <c r="BI393" i="62"/>
  <c r="BI51" i="62"/>
  <c r="BI245" i="62"/>
  <c r="BI373" i="62"/>
  <c r="BI125" i="62"/>
  <c r="BI189" i="62"/>
  <c r="BI127" i="62"/>
  <c r="BI137" i="62"/>
  <c r="BI103" i="62"/>
  <c r="BI91" i="62"/>
  <c r="BI265" i="62"/>
  <c r="BI179" i="62"/>
  <c r="BI59" i="62"/>
  <c r="BI209" i="62"/>
  <c r="BI107" i="62"/>
  <c r="BI61" i="62"/>
  <c r="BI299" i="62"/>
  <c r="BI175" i="62"/>
  <c r="BI357" i="62"/>
  <c r="BI401" i="62"/>
  <c r="BI247" i="62"/>
  <c r="BI397" i="62"/>
  <c r="BI267" i="62"/>
  <c r="BI395" i="62"/>
  <c r="BI263" i="62"/>
  <c r="BI65" i="62"/>
  <c r="BI269" i="62"/>
  <c r="BI389" i="62"/>
  <c r="BI199" i="62"/>
  <c r="BI307" i="62"/>
  <c r="BI403" i="62"/>
  <c r="BI25" i="62"/>
  <c r="BI153" i="62"/>
  <c r="BI119" i="62"/>
  <c r="BI155" i="62"/>
  <c r="BI35" i="62"/>
  <c r="BI195" i="62"/>
  <c r="BI113" i="62"/>
  <c r="BI225" i="62"/>
  <c r="BI117" i="62"/>
  <c r="BI149" i="62"/>
  <c r="BI315" i="62"/>
  <c r="BI219" i="62"/>
  <c r="BI147" i="62"/>
  <c r="BI21" i="62"/>
  <c r="BI271" i="62"/>
  <c r="BI335" i="62"/>
  <c r="BI291" i="62"/>
  <c r="BI33" i="62"/>
  <c r="BI303" i="62"/>
  <c r="BI77" i="62"/>
  <c r="BI277" i="62"/>
  <c r="BI85" i="62"/>
  <c r="BI319" i="62"/>
  <c r="BI351" i="62"/>
  <c r="BI31" i="62"/>
  <c r="BI41" i="62"/>
  <c r="BI169" i="62"/>
  <c r="BI135" i="62"/>
  <c r="BI161" i="62"/>
  <c r="BI45" i="62"/>
  <c r="BI211" i="62"/>
  <c r="BI123" i="62"/>
  <c r="BI241" i="62"/>
  <c r="BI173" i="62"/>
  <c r="BI157" i="62"/>
  <c r="BI331" i="62"/>
  <c r="BI229" i="62"/>
  <c r="BI237" i="62"/>
  <c r="BI101" i="62"/>
  <c r="BI305" i="62"/>
  <c r="BI361" i="62"/>
  <c r="BI317" i="62"/>
  <c r="BI235" i="62"/>
  <c r="BI375" i="62"/>
  <c r="BI97" i="62"/>
  <c r="BI295" i="62"/>
  <c r="BI203" i="62"/>
  <c r="BI15" i="62"/>
  <c r="BI399" i="62"/>
  <c r="BI47" i="62"/>
  <c r="BI57" i="62"/>
  <c r="BI23" i="62"/>
  <c r="BI151" i="62"/>
  <c r="BI185" i="62"/>
  <c r="BI69" i="62"/>
  <c r="BI227" i="62"/>
  <c r="BI139" i="62"/>
  <c r="BI257" i="62"/>
  <c r="BI187" i="62"/>
  <c r="BI191" i="62"/>
  <c r="BI347" i="62"/>
  <c r="BI279" i="62"/>
  <c r="BI283" i="62"/>
  <c r="BI131" i="62"/>
  <c r="BI311" i="62"/>
  <c r="BI165" i="62"/>
  <c r="BI323" i="62"/>
  <c r="BI285" i="62"/>
  <c r="BI141" i="62"/>
  <c r="BI115" i="62"/>
  <c r="BI321" i="62"/>
  <c r="BI333" i="62"/>
  <c r="BI301" i="62"/>
  <c r="BI339" i="62"/>
  <c r="BI63" i="62"/>
  <c r="BI73" i="62"/>
  <c r="BI39" i="62"/>
  <c r="BI167" i="62"/>
  <c r="BI201" i="62"/>
  <c r="BI99" i="62"/>
  <c r="BI243" i="62"/>
  <c r="BI145" i="62"/>
  <c r="BI273" i="62"/>
  <c r="BI197" i="62"/>
  <c r="BI221" i="62"/>
  <c r="BI19" i="62"/>
  <c r="BI293" i="62"/>
  <c r="BI313" i="62"/>
  <c r="BI181" i="62"/>
  <c r="BI337" i="62"/>
  <c r="BI75" i="62"/>
  <c r="BI349" i="62"/>
  <c r="BI297" i="62"/>
  <c r="BI215" i="62"/>
  <c r="BI129" i="62"/>
  <c r="BI327" i="62"/>
  <c r="BI287" i="62"/>
  <c r="BI367" i="62"/>
  <c r="H353" i="61"/>
  <c r="H52" i="61"/>
  <c r="H181" i="61"/>
  <c r="H95" i="61"/>
  <c r="H525" i="61"/>
  <c r="H224" i="61"/>
  <c r="H396" i="61"/>
  <c r="H267" i="61"/>
  <c r="H138" i="61"/>
  <c r="H310" i="61"/>
  <c r="H439" i="61"/>
  <c r="H482" i="61"/>
  <c r="AF95" i="61"/>
  <c r="AF353" i="61"/>
  <c r="AF181" i="61"/>
  <c r="AF224" i="61"/>
  <c r="AF396" i="61"/>
  <c r="AF482" i="61"/>
  <c r="AF310" i="61"/>
  <c r="AF138" i="61"/>
  <c r="AF439" i="61"/>
  <c r="AF52" i="61"/>
  <c r="AF525" i="61"/>
  <c r="AF267" i="61"/>
  <c r="BD37" i="62"/>
  <c r="BD47" i="62"/>
  <c r="BD175" i="62"/>
  <c r="BD141" i="62"/>
  <c r="BD191" i="62"/>
  <c r="BD57" i="62"/>
  <c r="BD217" i="62"/>
  <c r="BD131" i="62"/>
  <c r="BD279" i="62"/>
  <c r="BD129" i="62"/>
  <c r="BD305" i="62"/>
  <c r="BD147" i="62"/>
  <c r="BD363" i="62"/>
  <c r="BD361" i="62"/>
  <c r="BD295" i="62"/>
  <c r="BD89" i="62"/>
  <c r="BD333" i="62"/>
  <c r="BD65" i="62"/>
  <c r="BD313" i="62"/>
  <c r="BD17" i="62"/>
  <c r="BD293" i="62"/>
  <c r="BD283" i="62"/>
  <c r="BD275" i="62"/>
  <c r="BD403" i="62"/>
  <c r="BD119" i="62"/>
  <c r="BD53" i="62"/>
  <c r="BD63" i="62"/>
  <c r="BD29" i="62"/>
  <c r="BD157" i="62"/>
  <c r="BD207" i="62"/>
  <c r="BD87" i="62"/>
  <c r="BD233" i="62"/>
  <c r="BD167" i="62"/>
  <c r="BD51" i="62"/>
  <c r="BD145" i="62"/>
  <c r="BD321" i="62"/>
  <c r="BD197" i="62"/>
  <c r="BD181" i="62"/>
  <c r="BD375" i="62"/>
  <c r="BD327" i="62"/>
  <c r="BD187" i="62"/>
  <c r="BD369" i="62"/>
  <c r="BD83" i="62"/>
  <c r="BD339" i="62"/>
  <c r="BD25" i="62"/>
  <c r="BD319" i="62"/>
  <c r="BD287" i="62"/>
  <c r="BD55" i="62"/>
  <c r="BD257" i="62"/>
  <c r="BD309" i="62"/>
  <c r="BD69" i="62"/>
  <c r="BD79" i="62"/>
  <c r="BD45" i="62"/>
  <c r="BD173" i="62"/>
  <c r="BD223" i="62"/>
  <c r="BD97" i="62"/>
  <c r="BD249" i="62"/>
  <c r="BD183" i="62"/>
  <c r="BD71" i="62"/>
  <c r="BD171" i="62"/>
  <c r="BD337" i="62"/>
  <c r="BD237" i="62"/>
  <c r="BD195" i="62"/>
  <c r="BD391" i="62"/>
  <c r="BD359" i="62"/>
  <c r="BD211" i="62"/>
  <c r="BD385" i="62"/>
  <c r="BD103" i="62"/>
  <c r="BD345" i="62"/>
  <c r="BD39" i="62"/>
  <c r="BD41" i="62"/>
  <c r="BD311" i="62"/>
  <c r="BD303" i="62"/>
  <c r="BD335" i="62"/>
  <c r="BD85" i="62"/>
  <c r="BD95" i="62"/>
  <c r="BD61" i="62"/>
  <c r="BD35" i="62"/>
  <c r="BD239" i="62"/>
  <c r="BD121" i="62"/>
  <c r="BD265" i="62"/>
  <c r="BD199" i="62"/>
  <c r="BD137" i="62"/>
  <c r="BD179" i="62"/>
  <c r="BD353" i="62"/>
  <c r="BD261" i="62"/>
  <c r="BD291" i="62"/>
  <c r="BD43" i="62"/>
  <c r="BD371" i="62"/>
  <c r="BD235" i="62"/>
  <c r="BD401" i="62"/>
  <c r="BD169" i="62"/>
  <c r="BD367" i="62"/>
  <c r="BD153" i="62"/>
  <c r="BD161" i="62"/>
  <c r="BD343" i="62"/>
  <c r="BD377" i="62"/>
  <c r="BD107" i="62"/>
  <c r="BD101" i="62"/>
  <c r="BD111" i="62"/>
  <c r="BD77" i="62"/>
  <c r="BD59" i="62"/>
  <c r="BD255" i="62"/>
  <c r="BD149" i="62"/>
  <c r="BD281" i="62"/>
  <c r="BD215" i="62"/>
  <c r="BD205" i="62"/>
  <c r="BD209" i="62"/>
  <c r="BD73" i="62"/>
  <c r="BD299" i="62"/>
  <c r="BD297" i="62"/>
  <c r="BD75" i="62"/>
  <c r="BD387" i="62"/>
  <c r="BD253" i="62"/>
  <c r="BD351" i="62"/>
  <c r="BD225" i="62"/>
  <c r="BD383" i="62"/>
  <c r="BD165" i="62"/>
  <c r="BD213" i="62"/>
  <c r="BD379" i="62"/>
  <c r="BD389" i="62"/>
  <c r="BD317" i="62"/>
  <c r="BD117" i="62"/>
  <c r="BD127" i="62"/>
  <c r="BD93" i="62"/>
  <c r="BD99" i="62"/>
  <c r="BD271" i="62"/>
  <c r="BD155" i="62"/>
  <c r="BD27" i="62"/>
  <c r="BD231" i="62"/>
  <c r="BD229" i="62"/>
  <c r="BD219" i="62"/>
  <c r="BD115" i="62"/>
  <c r="BD315" i="62"/>
  <c r="BD323" i="62"/>
  <c r="BD163" i="62"/>
  <c r="BD325" i="62"/>
  <c r="BD277" i="62"/>
  <c r="BD365" i="62"/>
  <c r="BD245" i="62"/>
  <c r="BD399" i="62"/>
  <c r="BD193" i="62"/>
  <c r="BD105" i="62"/>
  <c r="BD395" i="62"/>
  <c r="BD267" i="62"/>
  <c r="BD373" i="62"/>
  <c r="BD133" i="62"/>
  <c r="BD143" i="62"/>
  <c r="BD109" i="62"/>
  <c r="BD123" i="62"/>
  <c r="BD23" i="62"/>
  <c r="BD185" i="62"/>
  <c r="BD67" i="62"/>
  <c r="BD247" i="62"/>
  <c r="BD269" i="62"/>
  <c r="BD243" i="62"/>
  <c r="BD135" i="62"/>
  <c r="BD331" i="62"/>
  <c r="BD329" i="62"/>
  <c r="BD177" i="62"/>
  <c r="BD19" i="62"/>
  <c r="BD289" i="62"/>
  <c r="BD381" i="62"/>
  <c r="BD259" i="62"/>
  <c r="BD15" i="62"/>
  <c r="BD203" i="62"/>
  <c r="BD221" i="62"/>
  <c r="BD189" i="62"/>
  <c r="BD341" i="62"/>
  <c r="BD393" i="62"/>
  <c r="BD21" i="62"/>
  <c r="BD31" i="62"/>
  <c r="BD159" i="62"/>
  <c r="BD125" i="62"/>
  <c r="BD151" i="62"/>
  <c r="BD33" i="62"/>
  <c r="BD201" i="62"/>
  <c r="BD91" i="62"/>
  <c r="BD263" i="62"/>
  <c r="BD113" i="62"/>
  <c r="BD273" i="62"/>
  <c r="BD139" i="62"/>
  <c r="BD347" i="62"/>
  <c r="BD355" i="62"/>
  <c r="BD285" i="62"/>
  <c r="BD49" i="62"/>
  <c r="BD301" i="62"/>
  <c r="BD397" i="62"/>
  <c r="BD307" i="62"/>
  <c r="BD357" i="62"/>
  <c r="BD241" i="62"/>
  <c r="BD227" i="62"/>
  <c r="BD251" i="62"/>
  <c r="BD349" i="62"/>
  <c r="BD81" i="62"/>
  <c r="BH125" i="62"/>
  <c r="BH135" i="62"/>
  <c r="BH101" i="62"/>
  <c r="BH115" i="62"/>
  <c r="BH49" i="62"/>
  <c r="BH177" i="62"/>
  <c r="BH73" i="62"/>
  <c r="BH271" i="62"/>
  <c r="BH17" i="62"/>
  <c r="BH201" i="62"/>
  <c r="BH159" i="62"/>
  <c r="BH339" i="62"/>
  <c r="BH23" i="62"/>
  <c r="BH151" i="62"/>
  <c r="BH117" i="62"/>
  <c r="BH147" i="62"/>
  <c r="BH59" i="62"/>
  <c r="BH193" i="62"/>
  <c r="BH83" i="62"/>
  <c r="BH287" i="62"/>
  <c r="BH27" i="62"/>
  <c r="BH235" i="62"/>
  <c r="BH179" i="62"/>
  <c r="BH29" i="62"/>
  <c r="BH39" i="62"/>
  <c r="BH167" i="62"/>
  <c r="BH133" i="62"/>
  <c r="BH183" i="62"/>
  <c r="BH79" i="62"/>
  <c r="BH45" i="62"/>
  <c r="BH55" i="62"/>
  <c r="BH21" i="62"/>
  <c r="BH149" i="62"/>
  <c r="BH199" i="62"/>
  <c r="BH113" i="62"/>
  <c r="BH61" i="62"/>
  <c r="BH71" i="62"/>
  <c r="BH37" i="62"/>
  <c r="BH165" i="62"/>
  <c r="BH215" i="62"/>
  <c r="BH123" i="62"/>
  <c r="BH241" i="62"/>
  <c r="BH207" i="62"/>
  <c r="BH211" i="62"/>
  <c r="BH89" i="62"/>
  <c r="BH297" i="62"/>
  <c r="BH253" i="62"/>
  <c r="BH77" i="62"/>
  <c r="BH87" i="62"/>
  <c r="BH53" i="62"/>
  <c r="BH41" i="62"/>
  <c r="BH231" i="62"/>
  <c r="BH139" i="62"/>
  <c r="BH257" i="62"/>
  <c r="BH223" i="62"/>
  <c r="BH221" i="62"/>
  <c r="BH99" i="62"/>
  <c r="BH313" i="62"/>
  <c r="BH93" i="62"/>
  <c r="BH103" i="62"/>
  <c r="BH69" i="62"/>
  <c r="BH51" i="62"/>
  <c r="BH247" i="62"/>
  <c r="BH145" i="62"/>
  <c r="BH273" i="62"/>
  <c r="BH239" i="62"/>
  <c r="BH275" i="62"/>
  <c r="BH153" i="62"/>
  <c r="BH329" i="62"/>
  <c r="BH307" i="62"/>
  <c r="BH109" i="62"/>
  <c r="BH119" i="62"/>
  <c r="BH85" i="62"/>
  <c r="BH105" i="62"/>
  <c r="BH263" i="62"/>
  <c r="BH171" i="62"/>
  <c r="BH19" i="62"/>
  <c r="BH255" i="62"/>
  <c r="BH281" i="62"/>
  <c r="BH181" i="62"/>
  <c r="BH345" i="62"/>
  <c r="BH323" i="62"/>
  <c r="BH75" i="62"/>
  <c r="BH175" i="62"/>
  <c r="BH383" i="62"/>
  <c r="BH349" i="62"/>
  <c r="BH229" i="62"/>
  <c r="BH359" i="62"/>
  <c r="BH341" i="62"/>
  <c r="BH97" i="62"/>
  <c r="BH277" i="62"/>
  <c r="BH289" i="62"/>
  <c r="BH401" i="62"/>
  <c r="BH137" i="62"/>
  <c r="BH35" i="62"/>
  <c r="BH337" i="62"/>
  <c r="BH209" i="62"/>
  <c r="BH245" i="62"/>
  <c r="BH227" i="62"/>
  <c r="BH399" i="62"/>
  <c r="BH363" i="62"/>
  <c r="BH285" i="62"/>
  <c r="BH389" i="62"/>
  <c r="BH361" i="62"/>
  <c r="BH121" i="62"/>
  <c r="BH353" i="62"/>
  <c r="BH301" i="62"/>
  <c r="BH185" i="62"/>
  <c r="BH305" i="62"/>
  <c r="BH299" i="62"/>
  <c r="BH381" i="62"/>
  <c r="BH225" i="62"/>
  <c r="BH265" i="62"/>
  <c r="BH293" i="62"/>
  <c r="BH63" i="62"/>
  <c r="BH379" i="62"/>
  <c r="BH377" i="62"/>
  <c r="BH403" i="62"/>
  <c r="BH375" i="62"/>
  <c r="BH129" i="62"/>
  <c r="BH373" i="62"/>
  <c r="BH333" i="62"/>
  <c r="BH111" i="62"/>
  <c r="BH365" i="62"/>
  <c r="BH343" i="62"/>
  <c r="BH163" i="62"/>
  <c r="BH189" i="62"/>
  <c r="BH319" i="62"/>
  <c r="BH81" i="62"/>
  <c r="BH395" i="62"/>
  <c r="BH393" i="62"/>
  <c r="BH57" i="62"/>
  <c r="BH391" i="62"/>
  <c r="BH173" i="62"/>
  <c r="BH25" i="62"/>
  <c r="BH371" i="62"/>
  <c r="BH233" i="62"/>
  <c r="BH397" i="62"/>
  <c r="BH385" i="62"/>
  <c r="BH191" i="62"/>
  <c r="BH243" i="62"/>
  <c r="BH325" i="62"/>
  <c r="BH107" i="62"/>
  <c r="BH237" i="62"/>
  <c r="BH269" i="62"/>
  <c r="BH219" i="62"/>
  <c r="BH321" i="62"/>
  <c r="BH187" i="62"/>
  <c r="BH91" i="62"/>
  <c r="BH387" i="62"/>
  <c r="BH279" i="62"/>
  <c r="BH155" i="62"/>
  <c r="BH15" i="62"/>
  <c r="BH157" i="62"/>
  <c r="BH291" i="62"/>
  <c r="BH351" i="62"/>
  <c r="BH143" i="62"/>
  <c r="BH43" i="62"/>
  <c r="BH295" i="62"/>
  <c r="BH303" i="62"/>
  <c r="BH347" i="62"/>
  <c r="BH197" i="62"/>
  <c r="BH141" i="62"/>
  <c r="BH195" i="62"/>
  <c r="BH311" i="62"/>
  <c r="BH331" i="62"/>
  <c r="BH213" i="62"/>
  <c r="BH161" i="62"/>
  <c r="BH355" i="62"/>
  <c r="BH357" i="62"/>
  <c r="BH267" i="62"/>
  <c r="BH95" i="62"/>
  <c r="BH315" i="62"/>
  <c r="BH309" i="62"/>
  <c r="BH31" i="62"/>
  <c r="BH249" i="62"/>
  <c r="BH169" i="62"/>
  <c r="BH217" i="62"/>
  <c r="BH251" i="62"/>
  <c r="BH131" i="62"/>
  <c r="BH261" i="62"/>
  <c r="BH33" i="62"/>
  <c r="BH67" i="62"/>
  <c r="BH367" i="62"/>
  <c r="BH317" i="62"/>
  <c r="BH127" i="62"/>
  <c r="BH327" i="62"/>
  <c r="BH335" i="62"/>
  <c r="BH65" i="62"/>
  <c r="BH259" i="62"/>
  <c r="BH203" i="62"/>
  <c r="BH369" i="62"/>
  <c r="BH47" i="62"/>
  <c r="BH205" i="62"/>
  <c r="BH283" i="62"/>
  <c r="V52" i="61"/>
  <c r="V439" i="61"/>
  <c r="V138" i="61"/>
  <c r="V482" i="61"/>
  <c r="V525" i="61"/>
  <c r="V224" i="61"/>
  <c r="V181" i="61"/>
  <c r="V95" i="61"/>
  <c r="V396" i="61"/>
  <c r="V353" i="61"/>
  <c r="V267" i="61"/>
  <c r="V310" i="61"/>
  <c r="L138" i="61"/>
  <c r="L52" i="61"/>
  <c r="L310" i="61"/>
  <c r="L224" i="61"/>
  <c r="L439" i="61"/>
  <c r="L525" i="61"/>
  <c r="L353" i="61"/>
  <c r="L181" i="61"/>
  <c r="L482" i="61"/>
  <c r="L267" i="61"/>
  <c r="L396" i="61"/>
  <c r="L95" i="61"/>
  <c r="BF73" i="62"/>
  <c r="BF83" i="62"/>
  <c r="BF49" i="62"/>
  <c r="BF177" i="62"/>
  <c r="BF195" i="62"/>
  <c r="BF93" i="62"/>
  <c r="BF237" i="62"/>
  <c r="BF107" i="62"/>
  <c r="BF251" i="62"/>
  <c r="BF149" i="62"/>
  <c r="BF71" i="62"/>
  <c r="BF309" i="62"/>
  <c r="BF125" i="62"/>
  <c r="BF303" i="62"/>
  <c r="BF233" i="62"/>
  <c r="BF343" i="62"/>
  <c r="BF297" i="62"/>
  <c r="BF139" i="62"/>
  <c r="BF217" i="62"/>
  <c r="BF263" i="62"/>
  <c r="BF359" i="62"/>
  <c r="BF307" i="62"/>
  <c r="BF367" i="62"/>
  <c r="BF323" i="62"/>
  <c r="BF387" i="62"/>
  <c r="BF89" i="62"/>
  <c r="BF99" i="62"/>
  <c r="BF65" i="62"/>
  <c r="BF21" i="62"/>
  <c r="BF211" i="62"/>
  <c r="BF127" i="62"/>
  <c r="BF253" i="62"/>
  <c r="BF117" i="62"/>
  <c r="BF267" i="62"/>
  <c r="BF153" i="62"/>
  <c r="BF123" i="62"/>
  <c r="BF325" i="62"/>
  <c r="BF151" i="62"/>
  <c r="BF319" i="62"/>
  <c r="BF247" i="62"/>
  <c r="BF349" i="62"/>
  <c r="BF329" i="62"/>
  <c r="BF201" i="62"/>
  <c r="BF31" i="62"/>
  <c r="BF273" i="62"/>
  <c r="BF371" i="62"/>
  <c r="BF59" i="62"/>
  <c r="BF383" i="62"/>
  <c r="BF381" i="62"/>
  <c r="BF115" i="62"/>
  <c r="BF55" i="62"/>
  <c r="BF227" i="62"/>
  <c r="BF269" i="62"/>
  <c r="BF143" i="62"/>
  <c r="BF181" i="62"/>
  <c r="BF341" i="62"/>
  <c r="BF193" i="62"/>
  <c r="BF261" i="62"/>
  <c r="BF363" i="62"/>
  <c r="BF69" i="62"/>
  <c r="BF135" i="62"/>
  <c r="BF299" i="62"/>
  <c r="BF315" i="62"/>
  <c r="BF105" i="62"/>
  <c r="BF81" i="62"/>
  <c r="BF137" i="62"/>
  <c r="BF283" i="62"/>
  <c r="BF141" i="62"/>
  <c r="BF335" i="62"/>
  <c r="BF281" i="62"/>
  <c r="BF399" i="62"/>
  <c r="BF271" i="62"/>
  <c r="BF121" i="62"/>
  <c r="BF131" i="62"/>
  <c r="BF97" i="62"/>
  <c r="BF75" i="62"/>
  <c r="BF243" i="62"/>
  <c r="BF157" i="62"/>
  <c r="BF285" i="62"/>
  <c r="BF175" i="62"/>
  <c r="BF27" i="62"/>
  <c r="BF191" i="62"/>
  <c r="BF185" i="62"/>
  <c r="BF357" i="62"/>
  <c r="BF213" i="62"/>
  <c r="BF351" i="62"/>
  <c r="BF287" i="62"/>
  <c r="BF379" i="62"/>
  <c r="BF301" i="62"/>
  <c r="BF165" i="62"/>
  <c r="BF111" i="62"/>
  <c r="BF19" i="62"/>
  <c r="BF147" i="62"/>
  <c r="BF113" i="62"/>
  <c r="BF85" i="62"/>
  <c r="BF259" i="62"/>
  <c r="BF169" i="62"/>
  <c r="BF23" i="62"/>
  <c r="BF187" i="62"/>
  <c r="BF37" i="62"/>
  <c r="BF225" i="62"/>
  <c r="BF215" i="62"/>
  <c r="BF39" i="62"/>
  <c r="BF223" i="62"/>
  <c r="BF155" i="62"/>
  <c r="BF305" i="62"/>
  <c r="BF395" i="62"/>
  <c r="BF391" i="62"/>
  <c r="BF347" i="62"/>
  <c r="BF133" i="62"/>
  <c r="BF321" i="62"/>
  <c r="BF385" i="62"/>
  <c r="BF231" i="62"/>
  <c r="BF355" i="62"/>
  <c r="BF291" i="62"/>
  <c r="BF25" i="62"/>
  <c r="BF35" i="62"/>
  <c r="BF163" i="62"/>
  <c r="BF129" i="62"/>
  <c r="BF119" i="62"/>
  <c r="BF275" i="62"/>
  <c r="BF189" i="62"/>
  <c r="BF43" i="62"/>
  <c r="BF203" i="62"/>
  <c r="BF61" i="62"/>
  <c r="BF245" i="62"/>
  <c r="BF249" i="62"/>
  <c r="BF77" i="62"/>
  <c r="BF257" i="62"/>
  <c r="BF171" i="62"/>
  <c r="BF311" i="62"/>
  <c r="BF95" i="62"/>
  <c r="BF15" i="62"/>
  <c r="BF373" i="62"/>
  <c r="BF173" i="62"/>
  <c r="BF327" i="62"/>
  <c r="BF401" i="62"/>
  <c r="BF241" i="62"/>
  <c r="BF377" i="62"/>
  <c r="BF167" i="62"/>
  <c r="BF295" i="62"/>
  <c r="BF339" i="62"/>
  <c r="BF41" i="62"/>
  <c r="BF51" i="62"/>
  <c r="BF17" i="62"/>
  <c r="BF145" i="62"/>
  <c r="BF159" i="62"/>
  <c r="BF29" i="62"/>
  <c r="BF205" i="62"/>
  <c r="BF53" i="62"/>
  <c r="BF219" i="62"/>
  <c r="BF79" i="62"/>
  <c r="BF255" i="62"/>
  <c r="BF279" i="62"/>
  <c r="BF91" i="62"/>
  <c r="BF277" i="62"/>
  <c r="BF199" i="62"/>
  <c r="BF317" i="62"/>
  <c r="BF229" i="62"/>
  <c r="BF369" i="62"/>
  <c r="BF389" i="62"/>
  <c r="BF183" i="62"/>
  <c r="BF333" i="62"/>
  <c r="BF45" i="62"/>
  <c r="BF313" i="62"/>
  <c r="BF365" i="62"/>
  <c r="BF331" i="62"/>
  <c r="BF109" i="62"/>
  <c r="BF57" i="62"/>
  <c r="BF67" i="62"/>
  <c r="BF33" i="62"/>
  <c r="BF161" i="62"/>
  <c r="BF179" i="62"/>
  <c r="BF63" i="62"/>
  <c r="BF221" i="62"/>
  <c r="BF87" i="62"/>
  <c r="BF235" i="62"/>
  <c r="BF103" i="62"/>
  <c r="BF47" i="62"/>
  <c r="BF293" i="62"/>
  <c r="BF101" i="62"/>
  <c r="BF289" i="62"/>
  <c r="BF209" i="62"/>
  <c r="BF337" i="62"/>
  <c r="BF239" i="62"/>
  <c r="BF265" i="62"/>
  <c r="BF403" i="62"/>
  <c r="BF197" i="62"/>
  <c r="BF353" i="62"/>
  <c r="BF207" i="62"/>
  <c r="BF345" i="62"/>
  <c r="BF397" i="62"/>
  <c r="BF393" i="62"/>
  <c r="BF361" i="62"/>
  <c r="BF375" i="62"/>
  <c r="Q396" i="61"/>
  <c r="Q52" i="61"/>
  <c r="Q224" i="61"/>
  <c r="Q439" i="61"/>
  <c r="Q95" i="61"/>
  <c r="Q482" i="61"/>
  <c r="Q525" i="61"/>
  <c r="Q267" i="61"/>
  <c r="Q353" i="61"/>
  <c r="Q138" i="61"/>
  <c r="Q181" i="61"/>
  <c r="Q310" i="61"/>
  <c r="BE23" i="62"/>
  <c r="BE17" i="62"/>
  <c r="BE145" i="62"/>
  <c r="BE111" i="62"/>
  <c r="BE109" i="62"/>
  <c r="BE257" i="62"/>
  <c r="BE163" i="62"/>
  <c r="BE57" i="62"/>
  <c r="BE233" i="62"/>
  <c r="BE195" i="62"/>
  <c r="BE167" i="62"/>
  <c r="BE323" i="62"/>
  <c r="BE301" i="62"/>
  <c r="BE93" i="62"/>
  <c r="BE393" i="62"/>
  <c r="BE373" i="62"/>
  <c r="BE37" i="62"/>
  <c r="BE295" i="62"/>
  <c r="BE147" i="62"/>
  <c r="BE385" i="62"/>
  <c r="BE231" i="62"/>
  <c r="BE319" i="62"/>
  <c r="BE105" i="62"/>
  <c r="BE375" i="62"/>
  <c r="BE337" i="62"/>
  <c r="BE19" i="62"/>
  <c r="BE355" i="62"/>
  <c r="BE403" i="62"/>
  <c r="BE331" i="62"/>
  <c r="BE157" i="62"/>
  <c r="BE39" i="62"/>
  <c r="BE33" i="62"/>
  <c r="BE161" i="62"/>
  <c r="BE127" i="62"/>
  <c r="BE139" i="62"/>
  <c r="BE273" i="62"/>
  <c r="BE187" i="62"/>
  <c r="BE77" i="62"/>
  <c r="BE249" i="62"/>
  <c r="BE215" i="62"/>
  <c r="BE205" i="62"/>
  <c r="BE339" i="62"/>
  <c r="BE317" i="62"/>
  <c r="BE125" i="62"/>
  <c r="BE29" i="62"/>
  <c r="BE389" i="62"/>
  <c r="BE69" i="62"/>
  <c r="BE321" i="62"/>
  <c r="BE261" i="62"/>
  <c r="BE401" i="62"/>
  <c r="BE245" i="62"/>
  <c r="BE325" i="62"/>
  <c r="BE243" i="62"/>
  <c r="BE101" i="62"/>
  <c r="BE361" i="62"/>
  <c r="BE177" i="62"/>
  <c r="BE165" i="62"/>
  <c r="BE203" i="62"/>
  <c r="BE259" i="62"/>
  <c r="BE333" i="62"/>
  <c r="BE151" i="62"/>
  <c r="BE255" i="62"/>
  <c r="BE329" i="62"/>
  <c r="BE159" i="62"/>
  <c r="BE239" i="62"/>
  <c r="BE353" i="62"/>
  <c r="BE343" i="62"/>
  <c r="BE49" i="62"/>
  <c r="BE143" i="62"/>
  <c r="BE121" i="62"/>
  <c r="BE229" i="62"/>
  <c r="BE327" i="62"/>
  <c r="BE85" i="62"/>
  <c r="BE65" i="62"/>
  <c r="BE219" i="62"/>
  <c r="BE189" i="62"/>
  <c r="BE351" i="62"/>
  <c r="BE87" i="62"/>
  <c r="BE81" i="62"/>
  <c r="BE47" i="62"/>
  <c r="BE175" i="62"/>
  <c r="BE193" i="62"/>
  <c r="BE53" i="62"/>
  <c r="BE235" i="62"/>
  <c r="BE155" i="62"/>
  <c r="BE75" i="62"/>
  <c r="BE51" i="62"/>
  <c r="BE269" i="62"/>
  <c r="BE59" i="62"/>
  <c r="BE27" i="62"/>
  <c r="BE213" i="62"/>
  <c r="BE315" i="62"/>
  <c r="BE345" i="62"/>
  <c r="BE173" i="62"/>
  <c r="BE359" i="62"/>
  <c r="BE253" i="62"/>
  <c r="BE91" i="62"/>
  <c r="BE153" i="62"/>
  <c r="BE357" i="62"/>
  <c r="BE311" i="62"/>
  <c r="BE379" i="62"/>
  <c r="BE313" i="62"/>
  <c r="BE103" i="62"/>
  <c r="BE97" i="62"/>
  <c r="BE63" i="62"/>
  <c r="BE25" i="62"/>
  <c r="BE209" i="62"/>
  <c r="BE83" i="62"/>
  <c r="BE251" i="62"/>
  <c r="BE185" i="62"/>
  <c r="BE99" i="62"/>
  <c r="BE67" i="62"/>
  <c r="BE285" i="62"/>
  <c r="BE183" i="62"/>
  <c r="BE41" i="62"/>
  <c r="BE271" i="62"/>
  <c r="BE335" i="62"/>
  <c r="BE383" i="62"/>
  <c r="BE191" i="62"/>
  <c r="BE371" i="62"/>
  <c r="BE277" i="62"/>
  <c r="BE115" i="62"/>
  <c r="BE237" i="62"/>
  <c r="BE365" i="62"/>
  <c r="BE305" i="62"/>
  <c r="BE395" i="62"/>
  <c r="BE265" i="62"/>
  <c r="BE131" i="62"/>
  <c r="BE207" i="62"/>
  <c r="BE287" i="62"/>
  <c r="BE171" i="62"/>
  <c r="BE35" i="62"/>
  <c r="BE199" i="62"/>
  <c r="BE119" i="62"/>
  <c r="BE113" i="62"/>
  <c r="BE79" i="62"/>
  <c r="BE45" i="62"/>
  <c r="BE225" i="62"/>
  <c r="BE107" i="62"/>
  <c r="BE267" i="62"/>
  <c r="BE201" i="62"/>
  <c r="BE123" i="62"/>
  <c r="BE133" i="62"/>
  <c r="BE291" i="62"/>
  <c r="BE227" i="62"/>
  <c r="BE61" i="62"/>
  <c r="BE275" i="62"/>
  <c r="BE341" i="62"/>
  <c r="BE399" i="62"/>
  <c r="BE197" i="62"/>
  <c r="BE387" i="62"/>
  <c r="BE289" i="62"/>
  <c r="BE169" i="62"/>
  <c r="BE293" i="62"/>
  <c r="BE381" i="62"/>
  <c r="BE391" i="62"/>
  <c r="BE21" i="62"/>
  <c r="BE55" i="62"/>
  <c r="BE303" i="62"/>
  <c r="BE363" i="62"/>
  <c r="BE71" i="62"/>
  <c r="BE43" i="62"/>
  <c r="BE281" i="62"/>
  <c r="BE349" i="62"/>
  <c r="BE211" i="62"/>
  <c r="BE135" i="62"/>
  <c r="BE129" i="62"/>
  <c r="BE95" i="62"/>
  <c r="BE89" i="62"/>
  <c r="BE241" i="62"/>
  <c r="BE117" i="62"/>
  <c r="BE283" i="62"/>
  <c r="BE217" i="62"/>
  <c r="BE141" i="62"/>
  <c r="BE137" i="62"/>
  <c r="BE307" i="62"/>
  <c r="BE247" i="62"/>
  <c r="BE73" i="62"/>
  <c r="BE377" i="62"/>
  <c r="BE347" i="62"/>
  <c r="BE221" i="62"/>
  <c r="BE263" i="62"/>
  <c r="BE15" i="62"/>
  <c r="BE369" i="62"/>
  <c r="BE179" i="62"/>
  <c r="BE299" i="62"/>
  <c r="BE397" i="62"/>
  <c r="BE181" i="62"/>
  <c r="BE223" i="62"/>
  <c r="BE367" i="62"/>
  <c r="BE31" i="62"/>
  <c r="BE149" i="62"/>
  <c r="BE279" i="62"/>
  <c r="BE309" i="62"/>
  <c r="BE297" i="62"/>
  <c r="AF18" i="71"/>
  <c r="AB18" i="71"/>
  <c r="AT77" i="63" l="1"/>
  <c r="AR77" i="63"/>
  <c r="AR65" i="63"/>
  <c r="AT65" i="63"/>
  <c r="AR32" i="63"/>
  <c r="AT32" i="63"/>
  <c r="AT44" i="63"/>
  <c r="AR44" i="63"/>
  <c r="BC401" i="62"/>
  <c r="B401" i="62" s="1"/>
  <c r="H2" i="62"/>
  <c r="BC241" i="62"/>
  <c r="B241" i="62" s="1"/>
  <c r="BC27" i="62"/>
  <c r="B27" i="62" s="1"/>
  <c r="BC137" i="62"/>
  <c r="B137" i="62" s="1"/>
  <c r="BC365" i="62"/>
  <c r="B365" i="62" s="1"/>
  <c r="BC311" i="62"/>
  <c r="B311" i="62" s="1"/>
  <c r="BC235" i="62"/>
  <c r="B235" i="62" s="1"/>
  <c r="BC189" i="62"/>
  <c r="B189" i="62" s="1"/>
  <c r="BC297" i="62"/>
  <c r="B297" i="62" s="1"/>
  <c r="BC343" i="62"/>
  <c r="B343" i="62" s="1"/>
  <c r="BC145" i="62"/>
  <c r="B145" i="62" s="1"/>
  <c r="BC387" i="62"/>
  <c r="B387" i="62" s="1"/>
  <c r="BC105" i="62"/>
  <c r="B105" i="62" s="1"/>
  <c r="BC379" i="62"/>
  <c r="B379" i="62" s="1"/>
  <c r="BC347" i="62"/>
  <c r="B347" i="62" s="1"/>
  <c r="BC349" i="62"/>
  <c r="B349" i="62" s="1"/>
  <c r="BC391" i="62"/>
  <c r="B391" i="62" s="1"/>
  <c r="BC341" i="62"/>
  <c r="B341" i="62" s="1"/>
  <c r="BC271" i="62"/>
  <c r="B271" i="62" s="1"/>
  <c r="BC49" i="62"/>
  <c r="B49" i="62" s="1"/>
  <c r="BC325" i="62"/>
  <c r="B325" i="62" s="1"/>
  <c r="BC273" i="62"/>
  <c r="B273" i="62" s="1"/>
  <c r="BC323" i="62"/>
  <c r="B323" i="62" s="1"/>
  <c r="BC259" i="62"/>
  <c r="B259" i="62" s="1"/>
  <c r="BC355" i="62"/>
  <c r="B355" i="62" s="1"/>
  <c r="BC21" i="62"/>
  <c r="B21" i="62" s="1"/>
  <c r="BC29" i="62"/>
  <c r="B29" i="62" s="1"/>
  <c r="BC171" i="62"/>
  <c r="B171" i="62" s="1"/>
  <c r="BC293" i="62"/>
  <c r="B293" i="62" s="1"/>
  <c r="BC61" i="62"/>
  <c r="B61" i="62" s="1"/>
  <c r="BC115" i="62"/>
  <c r="B115" i="62" s="1"/>
  <c r="BC359" i="62"/>
  <c r="B359" i="62" s="1"/>
  <c r="BC397" i="62"/>
  <c r="B397" i="62" s="1"/>
  <c r="BC213" i="62"/>
  <c r="B213" i="62" s="1"/>
  <c r="BC53" i="62"/>
  <c r="B53" i="62" s="1"/>
  <c r="BC245" i="62"/>
  <c r="B245" i="62" s="1"/>
  <c r="AS28" i="67"/>
  <c r="AL68" i="67"/>
  <c r="AL69" i="67" s="1"/>
  <c r="AL74" i="67"/>
  <c r="BC377" i="62"/>
  <c r="B377" i="62" s="1"/>
  <c r="BC281" i="62"/>
  <c r="B281" i="62" s="1"/>
  <c r="BC73" i="62"/>
  <c r="B73" i="62" s="1"/>
  <c r="BC43" i="62"/>
  <c r="B43" i="62" s="1"/>
  <c r="AN74" i="67"/>
  <c r="AN68" i="67"/>
  <c r="AN69" i="67" s="1"/>
  <c r="AM68" i="67"/>
  <c r="AM69" i="67" s="1"/>
  <c r="AM74" i="67"/>
  <c r="BC117" i="62"/>
  <c r="B117" i="62" s="1"/>
  <c r="BC381" i="62"/>
  <c r="B381" i="62" s="1"/>
  <c r="BC247" i="62"/>
  <c r="B247" i="62" s="1"/>
  <c r="BC45" i="62"/>
  <c r="B45" i="62" s="1"/>
  <c r="BC337" i="62"/>
  <c r="B337" i="62" s="1"/>
  <c r="BC31" i="62"/>
  <c r="B31" i="62" s="1"/>
  <c r="AO68" i="67"/>
  <c r="AO69" i="67" s="1"/>
  <c r="AO74" i="67"/>
  <c r="BC191" i="62"/>
  <c r="B191" i="62" s="1"/>
  <c r="BC51" i="62"/>
  <c r="B51" i="62" s="1"/>
  <c r="BC223" i="62"/>
  <c r="B223" i="62" s="1"/>
  <c r="BC217" i="62"/>
  <c r="B217" i="62" s="1"/>
  <c r="BC211" i="62"/>
  <c r="B211" i="62" s="1"/>
  <c r="BC201" i="62"/>
  <c r="B201" i="62" s="1"/>
  <c r="BC81" i="62"/>
  <c r="B81" i="62" s="1"/>
  <c r="BC199" i="62"/>
  <c r="B199" i="62" s="1"/>
  <c r="BC335" i="62"/>
  <c r="B335" i="62" s="1"/>
  <c r="BC179" i="62"/>
  <c r="B179" i="62" s="1"/>
  <c r="BC265" i="62"/>
  <c r="B265" i="62" s="1"/>
  <c r="BC103" i="62"/>
  <c r="B103" i="62" s="1"/>
  <c r="BC71" i="62"/>
  <c r="B71" i="62" s="1"/>
  <c r="BC305" i="62"/>
  <c r="B305" i="62" s="1"/>
  <c r="BC155" i="62"/>
  <c r="B155" i="62" s="1"/>
  <c r="BC151" i="62"/>
  <c r="B151" i="62" s="1"/>
  <c r="BC243" i="62"/>
  <c r="B243" i="62" s="1"/>
  <c r="BC279" i="62"/>
  <c r="B279" i="62" s="1"/>
  <c r="BC89" i="62"/>
  <c r="B89" i="62" s="1"/>
  <c r="BC169" i="62"/>
  <c r="B169" i="62" s="1"/>
  <c r="BC109" i="62"/>
  <c r="B109" i="62" s="1"/>
  <c r="BC317" i="62"/>
  <c r="B317" i="62" s="1"/>
  <c r="BC187" i="62"/>
  <c r="B187" i="62" s="1"/>
  <c r="BC15" i="62"/>
  <c r="B15" i="62" s="1"/>
  <c r="BC303" i="62"/>
  <c r="B303" i="62" s="1"/>
  <c r="BC399" i="62"/>
  <c r="B399" i="62" s="1"/>
  <c r="BC351" i="62"/>
  <c r="B351" i="62" s="1"/>
  <c r="BC143" i="62"/>
  <c r="B143" i="62" s="1"/>
  <c r="BC231" i="62"/>
  <c r="B231" i="62" s="1"/>
  <c r="BC221" i="62"/>
  <c r="B221" i="62" s="1"/>
  <c r="BC181" i="62"/>
  <c r="B181" i="62" s="1"/>
  <c r="BC283" i="62"/>
  <c r="B283" i="62" s="1"/>
  <c r="BC267" i="62"/>
  <c r="B267" i="62" s="1"/>
  <c r="BC35" i="62"/>
  <c r="B35" i="62" s="1"/>
  <c r="BC83" i="62"/>
  <c r="B83" i="62" s="1"/>
  <c r="BC315" i="62"/>
  <c r="B315" i="62" s="1"/>
  <c r="BC333" i="62"/>
  <c r="B333" i="62" s="1"/>
  <c r="BC125" i="62"/>
  <c r="B125" i="62" s="1"/>
  <c r="BC385" i="62"/>
  <c r="B385" i="62" s="1"/>
  <c r="BC111" i="62"/>
  <c r="B111" i="62" s="1"/>
  <c r="BC183" i="62"/>
  <c r="B183" i="62" s="1"/>
  <c r="BC25" i="62"/>
  <c r="B25" i="62" s="1"/>
  <c r="BC107" i="62"/>
  <c r="B107" i="62" s="1"/>
  <c r="BC309" i="62"/>
  <c r="B309" i="62" s="1"/>
  <c r="BC91" i="62"/>
  <c r="B91" i="62" s="1"/>
  <c r="BC175" i="62"/>
  <c r="B175" i="62" s="1"/>
  <c r="BC129" i="62"/>
  <c r="B129" i="62" s="1"/>
  <c r="BC133" i="62"/>
  <c r="B133" i="62" s="1"/>
  <c r="BC113" i="62"/>
  <c r="B113" i="62" s="1"/>
  <c r="BC99" i="62"/>
  <c r="B99" i="62" s="1"/>
  <c r="BC229" i="62"/>
  <c r="B229" i="62" s="1"/>
  <c r="BC329" i="62"/>
  <c r="B329" i="62" s="1"/>
  <c r="BC249" i="62"/>
  <c r="B249" i="62" s="1"/>
  <c r="BC39" i="62"/>
  <c r="B39" i="62" s="1"/>
  <c r="BC163" i="62"/>
  <c r="B163" i="62" s="1"/>
  <c r="BC251" i="62"/>
  <c r="B251" i="62" s="1"/>
  <c r="BC345" i="62"/>
  <c r="B345" i="62" s="1"/>
  <c r="BC331" i="62"/>
  <c r="B331" i="62" s="1"/>
  <c r="BC301" i="62"/>
  <c r="B301" i="62" s="1"/>
  <c r="BC275" i="62"/>
  <c r="B275" i="62" s="1"/>
  <c r="BC237" i="62"/>
  <c r="B237" i="62" s="1"/>
  <c r="BC41" i="62"/>
  <c r="B41" i="62" s="1"/>
  <c r="BC209" i="62"/>
  <c r="B209" i="62" s="1"/>
  <c r="BC219" i="62"/>
  <c r="B219" i="62" s="1"/>
  <c r="BC139" i="62"/>
  <c r="B139" i="62" s="1"/>
  <c r="BC147" i="62"/>
  <c r="B147" i="62" s="1"/>
  <c r="BC403" i="62"/>
  <c r="B403" i="62" s="1"/>
  <c r="BC299" i="62"/>
  <c r="B299" i="62" s="1"/>
  <c r="BC225" i="62"/>
  <c r="B225" i="62" s="1"/>
  <c r="BC287" i="62"/>
  <c r="B287" i="62" s="1"/>
  <c r="BC153" i="62"/>
  <c r="B153" i="62" s="1"/>
  <c r="BC193" i="62"/>
  <c r="B193" i="62" s="1"/>
  <c r="BC353" i="62"/>
  <c r="B353" i="62" s="1"/>
  <c r="BC127" i="62"/>
  <c r="B127" i="62" s="1"/>
  <c r="BC295" i="62"/>
  <c r="B295" i="62" s="1"/>
  <c r="BC195" i="62"/>
  <c r="B195" i="62" s="1"/>
  <c r="BC17" i="62"/>
  <c r="B17" i="62" s="1"/>
  <c r="BC227" i="62"/>
  <c r="B227" i="62" s="1"/>
  <c r="BC207" i="62"/>
  <c r="B207" i="62" s="1"/>
  <c r="BC277" i="62"/>
  <c r="B277" i="62" s="1"/>
  <c r="BC285" i="62"/>
  <c r="B285" i="62" s="1"/>
  <c r="BC63" i="62"/>
  <c r="B63" i="62" s="1"/>
  <c r="BC59" i="62"/>
  <c r="B59" i="62" s="1"/>
  <c r="BC85" i="62"/>
  <c r="B85" i="62" s="1"/>
  <c r="BC233" i="62"/>
  <c r="B233" i="62" s="1"/>
  <c r="BC239" i="62"/>
  <c r="B239" i="62" s="1"/>
  <c r="BC261" i="62"/>
  <c r="B261" i="62" s="1"/>
  <c r="BC149" i="62"/>
  <c r="B149" i="62" s="1"/>
  <c r="BC369" i="62"/>
  <c r="B369" i="62" s="1"/>
  <c r="BC307" i="62"/>
  <c r="B307" i="62" s="1"/>
  <c r="BC95" i="62"/>
  <c r="B95" i="62" s="1"/>
  <c r="BC363" i="62"/>
  <c r="B363" i="62" s="1"/>
  <c r="BC289" i="62"/>
  <c r="B289" i="62" s="1"/>
  <c r="BC291" i="62"/>
  <c r="B291" i="62" s="1"/>
  <c r="BC79" i="62"/>
  <c r="B79" i="62" s="1"/>
  <c r="BC131" i="62"/>
  <c r="B131" i="62" s="1"/>
  <c r="BC371" i="62"/>
  <c r="B371" i="62" s="1"/>
  <c r="BC67" i="62"/>
  <c r="B67" i="62" s="1"/>
  <c r="BC97" i="62"/>
  <c r="B97" i="62" s="1"/>
  <c r="BC253" i="62"/>
  <c r="B253" i="62" s="1"/>
  <c r="BC269" i="62"/>
  <c r="B269" i="62" s="1"/>
  <c r="BC327" i="62"/>
  <c r="B327" i="62" s="1"/>
  <c r="BC321" i="62"/>
  <c r="B321" i="62" s="1"/>
  <c r="BC361" i="62"/>
  <c r="B361" i="62" s="1"/>
  <c r="BC367" i="62"/>
  <c r="B367" i="62" s="1"/>
  <c r="BC263" i="62"/>
  <c r="B263" i="62" s="1"/>
  <c r="BC141" i="62"/>
  <c r="B141" i="62" s="1"/>
  <c r="BC135" i="62"/>
  <c r="B135" i="62" s="1"/>
  <c r="BC55" i="62"/>
  <c r="B55" i="62" s="1"/>
  <c r="BC123" i="62"/>
  <c r="B123" i="62" s="1"/>
  <c r="BC119" i="62"/>
  <c r="B119" i="62" s="1"/>
  <c r="BC395" i="62"/>
  <c r="B395" i="62" s="1"/>
  <c r="BC383" i="62"/>
  <c r="B383" i="62" s="1"/>
  <c r="BC185" i="62"/>
  <c r="B185" i="62" s="1"/>
  <c r="BC313" i="62"/>
  <c r="B313" i="62" s="1"/>
  <c r="BC173" i="62"/>
  <c r="B173" i="62" s="1"/>
  <c r="BC87" i="62"/>
  <c r="B87" i="62" s="1"/>
  <c r="BC121" i="62"/>
  <c r="B121" i="62" s="1"/>
  <c r="BC255" i="62"/>
  <c r="B255" i="62" s="1"/>
  <c r="BC101" i="62"/>
  <c r="B101" i="62" s="1"/>
  <c r="BC389" i="62"/>
  <c r="B389" i="62" s="1"/>
  <c r="BC77" i="62"/>
  <c r="B77" i="62" s="1"/>
  <c r="BC319" i="62"/>
  <c r="B319" i="62" s="1"/>
  <c r="BC257" i="62"/>
  <c r="B257" i="62" s="1"/>
  <c r="BC165" i="62"/>
  <c r="B165" i="62" s="1"/>
  <c r="BC205" i="62"/>
  <c r="B205" i="62" s="1"/>
  <c r="BC23" i="62"/>
  <c r="B23" i="62" s="1"/>
  <c r="BC339" i="62"/>
  <c r="B339" i="62" s="1"/>
  <c r="BC215" i="62"/>
  <c r="B215" i="62" s="1"/>
  <c r="BC373" i="62"/>
  <c r="B373" i="62" s="1"/>
  <c r="BC157" i="62"/>
  <c r="B157" i="62" s="1"/>
  <c r="BC93" i="62"/>
  <c r="B93" i="62" s="1"/>
  <c r="BC357" i="62"/>
  <c r="B357" i="62" s="1"/>
  <c r="BC167" i="62"/>
  <c r="B167" i="62" s="1"/>
  <c r="BC65" i="62"/>
  <c r="B65" i="62" s="1"/>
  <c r="BC203" i="62"/>
  <c r="B203" i="62" s="1"/>
  <c r="BC19" i="62"/>
  <c r="B19" i="62" s="1"/>
  <c r="BC161" i="62"/>
  <c r="B161" i="62" s="1"/>
  <c r="BC37" i="62"/>
  <c r="B37" i="62" s="1"/>
  <c r="BC47" i="62"/>
  <c r="B47" i="62" s="1"/>
  <c r="BC159" i="62"/>
  <c r="B159" i="62" s="1"/>
  <c r="BC177" i="62"/>
  <c r="B177" i="62" s="1"/>
  <c r="BC33" i="62"/>
  <c r="B33" i="62" s="1"/>
  <c r="BC375" i="62"/>
  <c r="B375" i="62" s="1"/>
  <c r="BC57" i="62"/>
  <c r="B57" i="62" s="1"/>
  <c r="BC69" i="62"/>
  <c r="B69" i="62" s="1"/>
  <c r="BC393" i="62"/>
  <c r="B393" i="62" s="1"/>
  <c r="BC197" i="62"/>
  <c r="B197" i="62" s="1"/>
  <c r="BC75" i="62"/>
  <c r="B75" i="62" s="1"/>
  <c r="AK73" i="67" l="1"/>
  <c r="B65" i="67" s="1"/>
  <c r="D5" i="67" s="1"/>
  <c r="N3" i="62"/>
  <c r="B405" i="62"/>
  <c r="H3" i="62" s="1"/>
  <c r="I6" i="67" s="1"/>
  <c r="V28" i="71"/>
  <c r="X28" i="71" s="1"/>
  <c r="V16" i="71"/>
  <c r="X16" i="71" s="1"/>
  <c r="V22" i="71"/>
  <c r="V30" i="71"/>
  <c r="X30" i="71" s="1"/>
  <c r="V26" i="71"/>
  <c r="X26" i="71" s="1"/>
  <c r="V18" i="71"/>
  <c r="X18" i="71" s="1"/>
  <c r="V20" i="71"/>
  <c r="X20" i="71" s="1"/>
  <c r="B2" i="67" l="1"/>
  <c r="X62" i="71"/>
  <c r="V62" i="71" s="1"/>
</calcChain>
</file>

<file path=xl/sharedStrings.xml><?xml version="1.0" encoding="utf-8"?>
<sst xmlns="http://schemas.openxmlformats.org/spreadsheetml/2006/main" count="2803" uniqueCount="603">
  <si>
    <t>月</t>
    <rPh sb="0" eb="1">
      <t>ガツ</t>
    </rPh>
    <phoneticPr fontId="1"/>
  </si>
  <si>
    <t>日</t>
    <rPh sb="0" eb="1">
      <t>ニチ</t>
    </rPh>
    <phoneticPr fontId="1"/>
  </si>
  <si>
    <t>利用団体名</t>
    <rPh sb="0" eb="2">
      <t>リヨウ</t>
    </rPh>
    <rPh sb="2" eb="5">
      <t>ダンタイメイ</t>
    </rPh>
    <phoneticPr fontId="6"/>
  </si>
  <si>
    <t>利用期日</t>
    <rPh sb="0" eb="2">
      <t>リヨウ</t>
    </rPh>
    <rPh sb="2" eb="4">
      <t>キジツ</t>
    </rPh>
    <phoneticPr fontId="6"/>
  </si>
  <si>
    <t>年</t>
    <rPh sb="0" eb="1">
      <t>ネン</t>
    </rPh>
    <phoneticPr fontId="1"/>
  </si>
  <si>
    <t>　</t>
  </si>
  <si>
    <t>※整理番号　　　　　　　　　　　　　　　　　　</t>
    <phoneticPr fontId="1"/>
  </si>
  <si>
    <t>※精算日時</t>
    <phoneticPr fontId="1"/>
  </si>
  <si>
    <t>団 体 名</t>
    <phoneticPr fontId="1"/>
  </si>
  <si>
    <t>連絡責任者</t>
    <phoneticPr fontId="1"/>
  </si>
  <si>
    <t>※</t>
    <phoneticPr fontId="1"/>
  </si>
  <si>
    <t>領 収 書 等 の 宛 名</t>
    <phoneticPr fontId="1"/>
  </si>
  <si>
    <t>支払方法</t>
    <phoneticPr fontId="1"/>
  </si>
  <si>
    <t>備　　 考</t>
    <phoneticPr fontId="1"/>
  </si>
  <si>
    <t>年</t>
    <phoneticPr fontId="1"/>
  </si>
  <si>
    <t>月</t>
    <phoneticPr fontId="1"/>
  </si>
  <si>
    <t>（</t>
    <phoneticPr fontId="1"/>
  </si>
  <si>
    <t>）</t>
    <phoneticPr fontId="1"/>
  </si>
  <si>
    <t>日（</t>
    <phoneticPr fontId="1"/>
  </si>
  <si>
    <t>－</t>
  </si>
  <si>
    <t>領収書等の宛名</t>
    <phoneticPr fontId="1"/>
  </si>
  <si>
    <t>活　動　名</t>
    <rPh sb="0" eb="1">
      <t>カツ</t>
    </rPh>
    <rPh sb="2" eb="3">
      <t>ドウ</t>
    </rPh>
    <rPh sb="4" eb="5">
      <t>メイ</t>
    </rPh>
    <phoneticPr fontId="1"/>
  </si>
  <si>
    <t>納入日時</t>
    <rPh sb="0" eb="2">
      <t>ノウニュウ</t>
    </rPh>
    <rPh sb="2" eb="4">
      <t>ニチジ</t>
    </rPh>
    <phoneticPr fontId="1"/>
  </si>
  <si>
    <t>発　　　注　　　物　　　品　　　名</t>
    <phoneticPr fontId="1"/>
  </si>
  <si>
    <t>金　額</t>
    <phoneticPr fontId="1"/>
  </si>
  <si>
    <t>数 量</t>
    <phoneticPr fontId="1"/>
  </si>
  <si>
    <t>単 価</t>
    <phoneticPr fontId="1"/>
  </si>
  <si>
    <t>支払方法</t>
    <phoneticPr fontId="1"/>
  </si>
  <si>
    <t>備　　　考</t>
    <phoneticPr fontId="1"/>
  </si>
  <si>
    <t>利 用 期 日</t>
    <phoneticPr fontId="1"/>
  </si>
  <si>
    <t>年</t>
    <phoneticPr fontId="1"/>
  </si>
  <si>
    <t>月</t>
    <phoneticPr fontId="1"/>
  </si>
  <si>
    <t>日</t>
    <phoneticPr fontId="1"/>
  </si>
  <si>
    <t>（</t>
    <phoneticPr fontId="1"/>
  </si>
  <si>
    <t>）</t>
    <phoneticPr fontId="1"/>
  </si>
  <si>
    <t>から</t>
    <phoneticPr fontId="1"/>
  </si>
  <si>
    <t>日</t>
    <phoneticPr fontId="1"/>
  </si>
  <si>
    <t>（</t>
    <phoneticPr fontId="1"/>
  </si>
  <si>
    <t>日</t>
    <phoneticPr fontId="1"/>
  </si>
  <si>
    <t>利 用 期 日</t>
    <phoneticPr fontId="1"/>
  </si>
  <si>
    <t>代表者名</t>
    <rPh sb="0" eb="3">
      <t>ダイヒョウシャ</t>
    </rPh>
    <rPh sb="3" eb="4">
      <t>メイ</t>
    </rPh>
    <phoneticPr fontId="6"/>
  </si>
  <si>
    <t>連絡責任者名</t>
    <rPh sb="0" eb="2">
      <t>レンラク</t>
    </rPh>
    <rPh sb="2" eb="5">
      <t>セキニンシャ</t>
    </rPh>
    <rPh sb="5" eb="6">
      <t>メイ</t>
    </rPh>
    <phoneticPr fontId="6"/>
  </si>
  <si>
    <t>－</t>
    <phoneticPr fontId="1"/>
  </si>
  <si>
    <t>　　　　　　　　　　　　　　　　　　　　　　　　　</t>
    <phoneticPr fontId="1"/>
  </si>
  <si>
    <t>）</t>
  </si>
  <si>
    <t>）</t>
    <phoneticPr fontId="1"/>
  </si>
  <si>
    <t>分</t>
    <rPh sb="0" eb="1">
      <t>フン</t>
    </rPh>
    <phoneticPr fontId="1"/>
  </si>
  <si>
    <t xml:space="preserve">時　 </t>
    <phoneticPr fontId="1"/>
  </si>
  <si>
    <t>まで</t>
    <phoneticPr fontId="1"/>
  </si>
  <si>
    <t>自然の家の食器利用（</t>
  </si>
  <si>
    <t>使い捨て食器購入（</t>
  </si>
  <si>
    <t>食器持参（</t>
  </si>
  <si>
    <t>から</t>
    <phoneticPr fontId="1"/>
  </si>
  <si>
    <t>時</t>
    <rPh sb="0" eb="1">
      <t>ジ</t>
    </rPh>
    <phoneticPr fontId="1"/>
  </si>
  <si>
    <t>発　注　物　品　名</t>
    <phoneticPr fontId="1"/>
  </si>
  <si>
    <t>印刷枚数は</t>
    <rPh sb="0" eb="2">
      <t>インサツ</t>
    </rPh>
    <rPh sb="2" eb="4">
      <t>マイスウ</t>
    </rPh>
    <phoneticPr fontId="1"/>
  </si>
  <si>
    <t>枚です</t>
    <rPh sb="0" eb="1">
      <t>マイ</t>
    </rPh>
    <phoneticPr fontId="1"/>
  </si>
  <si>
    <t>/</t>
    <phoneticPr fontId="1"/>
  </si>
  <si>
    <t>)</t>
    <phoneticPr fontId="1"/>
  </si>
  <si>
    <t>円</t>
    <rPh sb="0" eb="1">
      <t>エン</t>
    </rPh>
    <phoneticPr fontId="1"/>
  </si>
  <si>
    <t>年</t>
    <rPh sb="0" eb="1">
      <t>ネン</t>
    </rPh>
    <phoneticPr fontId="60"/>
  </si>
  <si>
    <t>月</t>
    <rPh sb="0" eb="1">
      <t>ツキ</t>
    </rPh>
    <phoneticPr fontId="60"/>
  </si>
  <si>
    <t>日</t>
    <rPh sb="0" eb="1">
      <t>ニチ</t>
    </rPh>
    <phoneticPr fontId="60"/>
  </si>
  <si>
    <t>　</t>
    <phoneticPr fontId="60"/>
  </si>
  <si>
    <t>申請者</t>
    <rPh sb="0" eb="3">
      <t>シンセイシャ</t>
    </rPh>
    <phoneticPr fontId="60"/>
  </si>
  <si>
    <t>所在地</t>
    <rPh sb="0" eb="3">
      <t>ショザイチ</t>
    </rPh>
    <phoneticPr fontId="60"/>
  </si>
  <si>
    <t>団体名</t>
    <rPh sb="0" eb="3">
      <t>ダンタイメイ</t>
    </rPh>
    <phoneticPr fontId="60"/>
  </si>
  <si>
    <t>代表者</t>
    <rPh sb="0" eb="3">
      <t>ダイヒョウシャ</t>
    </rPh>
    <phoneticPr fontId="60"/>
  </si>
  <si>
    <t>電　話</t>
    <rPh sb="0" eb="1">
      <t>デン</t>
    </rPh>
    <rPh sb="2" eb="3">
      <t>ハナシ</t>
    </rPh>
    <phoneticPr fontId="60"/>
  </si>
  <si>
    <t>　次のとおり栃木県立とちぎ海浜自然の家を利用したいので申請します。</t>
    <rPh sb="6" eb="8">
      <t>トチギ</t>
    </rPh>
    <rPh sb="8" eb="10">
      <t>ケンリツ</t>
    </rPh>
    <phoneticPr fontId="60"/>
  </si>
  <si>
    <t>利用目的</t>
    <rPh sb="0" eb="2">
      <t>リヨウ</t>
    </rPh>
    <rPh sb="2" eb="4">
      <t>モクテキ</t>
    </rPh>
    <phoneticPr fontId="60"/>
  </si>
  <si>
    <t>利用期間</t>
  </si>
  <si>
    <t>時</t>
    <rPh sb="0" eb="1">
      <t>ジ</t>
    </rPh>
    <phoneticPr fontId="60"/>
  </si>
  <si>
    <t>泊</t>
    <rPh sb="0" eb="1">
      <t>ハク</t>
    </rPh>
    <phoneticPr fontId="60"/>
  </si>
  <si>
    <t>プールの利用</t>
    <rPh sb="4" eb="6">
      <t>リヨウ</t>
    </rPh>
    <phoneticPr fontId="60"/>
  </si>
  <si>
    <t>有</t>
    <rPh sb="0" eb="1">
      <t>ユウ</t>
    </rPh>
    <phoneticPr fontId="60"/>
  </si>
  <si>
    <t>無</t>
    <rPh sb="0" eb="1">
      <t>ム</t>
    </rPh>
    <phoneticPr fontId="60"/>
  </si>
  <si>
    <t>※実利用者(人)</t>
    <rPh sb="1" eb="2">
      <t>ジツ</t>
    </rPh>
    <rPh sb="2" eb="5">
      <t>リヨウシャ</t>
    </rPh>
    <rPh sb="6" eb="7">
      <t>ヒト</t>
    </rPh>
    <phoneticPr fontId="60"/>
  </si>
  <si>
    <t>男</t>
    <rPh sb="0" eb="1">
      <t>オトコ</t>
    </rPh>
    <phoneticPr fontId="60"/>
  </si>
  <si>
    <t>女</t>
    <rPh sb="0" eb="1">
      <t>オンナ</t>
    </rPh>
    <phoneticPr fontId="60"/>
  </si>
  <si>
    <t>計</t>
    <rPh sb="0" eb="1">
      <t>ケイ</t>
    </rPh>
    <phoneticPr fontId="60"/>
  </si>
  <si>
    <t>３才未満</t>
    <rPh sb="1" eb="2">
      <t>サイ</t>
    </rPh>
    <rPh sb="2" eb="4">
      <t>ミマン</t>
    </rPh>
    <phoneticPr fontId="60"/>
  </si>
  <si>
    <t>宿  泊</t>
    <rPh sb="0" eb="1">
      <t>ヤド</t>
    </rPh>
    <rPh sb="3" eb="4">
      <t>ハク</t>
    </rPh>
    <phoneticPr fontId="60"/>
  </si>
  <si>
    <t>３才から学齢前</t>
    <rPh sb="1" eb="2">
      <t>サイ</t>
    </rPh>
    <rPh sb="4" eb="6">
      <t>ガクレイ</t>
    </rPh>
    <rPh sb="6" eb="7">
      <t>マエ</t>
    </rPh>
    <phoneticPr fontId="60"/>
  </si>
  <si>
    <t>小学生</t>
    <rPh sb="0" eb="3">
      <t>ショウガクセイ</t>
    </rPh>
    <phoneticPr fontId="60"/>
  </si>
  <si>
    <t>中学生</t>
    <rPh sb="0" eb="3">
      <t>チュウガクセイ</t>
    </rPh>
    <phoneticPr fontId="60"/>
  </si>
  <si>
    <t>高校生等</t>
    <rPh sb="0" eb="3">
      <t>コウコウセイ</t>
    </rPh>
    <rPh sb="3" eb="4">
      <t>ナド</t>
    </rPh>
    <phoneticPr fontId="60"/>
  </si>
  <si>
    <t>一般</t>
    <rPh sb="0" eb="2">
      <t>イッパン</t>
    </rPh>
    <phoneticPr fontId="60"/>
  </si>
  <si>
    <t>日帰り　</t>
    <phoneticPr fontId="60"/>
  </si>
  <si>
    <t>連絡先</t>
    <phoneticPr fontId="60"/>
  </si>
  <si>
    <t>〒</t>
    <phoneticPr fontId="60"/>
  </si>
  <si>
    <t>　　　　　　　　　　　電話　　　　 　      　　　  　　 　　　　</t>
    <phoneticPr fontId="60"/>
  </si>
  <si>
    <t>（注１）</t>
    <rPh sb="1" eb="2">
      <t>チュウ</t>
    </rPh>
    <phoneticPr fontId="60"/>
  </si>
  <si>
    <t>１　※印の欄は記入しない。　　２　プールを利用する場合は「有」に○を付けること。</t>
    <rPh sb="3" eb="4">
      <t>ジルシ</t>
    </rPh>
    <rPh sb="5" eb="6">
      <t>ラン</t>
    </rPh>
    <rPh sb="7" eb="9">
      <t>キニュウ</t>
    </rPh>
    <rPh sb="21" eb="22">
      <t>リ</t>
    </rPh>
    <phoneticPr fontId="60"/>
  </si>
  <si>
    <t>(注２)</t>
    <rPh sb="1" eb="2">
      <t>チュウ</t>
    </rPh>
    <phoneticPr fontId="60"/>
  </si>
  <si>
    <t>（</t>
  </si>
  <si>
    <t>（</t>
    <phoneticPr fontId="60"/>
  </si>
  <si>
    <t>日帰り　</t>
    <phoneticPr fontId="60"/>
  </si>
  <si>
    <t>○</t>
    <phoneticPr fontId="60"/>
  </si>
  <si>
    <t>１　利用計画及び食事数についての資料を添付すること。 　　 ２　学校教育活動として利用する場合は、学校長名で申請し学校長印を押印すること。</t>
    <phoneticPr fontId="60"/>
  </si>
  <si>
    <t xml:space="preserve">  連絡（引率）責任者名　　</t>
    <phoneticPr fontId="60"/>
  </si>
  <si>
    <t xml:space="preserve">                         住所　</t>
    <phoneticPr fontId="60"/>
  </si>
  <si>
    <t>日帰り　</t>
    <phoneticPr fontId="60"/>
  </si>
  <si>
    <t>区　分</t>
    <phoneticPr fontId="60"/>
  </si>
  <si>
    <t>）</t>
    <phoneticPr fontId="60"/>
  </si>
  <si>
    <t>（</t>
    <phoneticPr fontId="60"/>
  </si>
  <si>
    <t>・</t>
    <phoneticPr fontId="60"/>
  </si>
  <si>
    <t>）</t>
    <phoneticPr fontId="60"/>
  </si>
  <si>
    <t>（</t>
    <phoneticPr fontId="60"/>
  </si>
  <si>
    <t>日</t>
    <phoneticPr fontId="60"/>
  </si>
  <si>
    <t>～</t>
    <phoneticPr fontId="60"/>
  </si>
  <si>
    <t>行事等の名称</t>
    <phoneticPr fontId="60"/>
  </si>
  <si>
    <r>
      <rPr>
        <sz val="10.5"/>
        <color indexed="8"/>
        <rFont val="ＭＳ Ｐ明朝"/>
        <family val="1"/>
        <charset val="128"/>
      </rPr>
      <t>別記様式第</t>
    </r>
    <r>
      <rPr>
        <sz val="10.5"/>
        <color indexed="8"/>
        <rFont val="Century"/>
        <family val="1"/>
      </rPr>
      <t>1</t>
    </r>
    <r>
      <rPr>
        <sz val="10.5"/>
        <color indexed="8"/>
        <rFont val="ＭＳ Ｐ明朝"/>
        <family val="1"/>
        <charset val="128"/>
      </rPr>
      <t>号</t>
    </r>
    <r>
      <rPr>
        <sz val="10.5"/>
        <color indexed="8"/>
        <rFont val="Century"/>
        <family val="1"/>
      </rPr>
      <t>(</t>
    </r>
    <r>
      <rPr>
        <sz val="10.5"/>
        <color indexed="8"/>
        <rFont val="ＭＳ Ｐ明朝"/>
        <family val="1"/>
        <charset val="128"/>
      </rPr>
      <t>第</t>
    </r>
    <r>
      <rPr>
        <sz val="10.5"/>
        <color indexed="8"/>
        <rFont val="Century"/>
        <family val="1"/>
      </rPr>
      <t>5</t>
    </r>
    <r>
      <rPr>
        <sz val="10.5"/>
        <color indexed="8"/>
        <rFont val="ＭＳ Ｐ明朝"/>
        <family val="1"/>
        <charset val="128"/>
      </rPr>
      <t>条関係</t>
    </r>
    <r>
      <rPr>
        <sz val="10.5"/>
        <color indexed="8"/>
        <rFont val="Century"/>
        <family val="1"/>
      </rPr>
      <t>)</t>
    </r>
    <phoneticPr fontId="60"/>
  </si>
  <si>
    <t>　公益財団法人　　とちぎ未来づくり財団</t>
    <phoneticPr fontId="1"/>
  </si>
  <si>
    <t>-</t>
    <phoneticPr fontId="1"/>
  </si>
  <si>
    <t>(1)</t>
    <phoneticPr fontId="1"/>
  </si>
  <si>
    <t>(2)</t>
  </si>
  <si>
    <t>(3)</t>
  </si>
  <si>
    <r>
      <rPr>
        <b/>
        <sz val="8"/>
        <color rgb="FF000000"/>
        <rFont val="ＭＳ 明朝"/>
        <family val="1"/>
        <charset val="128"/>
      </rPr>
      <t>シーツ</t>
    </r>
    <r>
      <rPr>
        <b/>
        <sz val="8"/>
        <color rgb="FF000000"/>
        <rFont val="Times New Roman"/>
        <family val="1"/>
      </rPr>
      <t>(</t>
    </r>
    <r>
      <rPr>
        <b/>
        <sz val="8"/>
        <color rgb="FF000000"/>
        <rFont val="ＭＳ 明朝"/>
        <family val="1"/>
        <charset val="128"/>
      </rPr>
      <t>リネン</t>
    </r>
    <r>
      <rPr>
        <b/>
        <sz val="8"/>
        <color rgb="FF000000"/>
        <rFont val="Times New Roman"/>
        <family val="1"/>
      </rPr>
      <t>)</t>
    </r>
    <r>
      <rPr>
        <b/>
        <sz val="8"/>
        <color rgb="FF000000"/>
        <rFont val="ＭＳ 明朝"/>
        <family val="1"/>
        <charset val="128"/>
      </rPr>
      <t>のセット数</t>
    </r>
    <phoneticPr fontId="1"/>
  </si>
  <si>
    <t>社－</t>
  </si>
  <si>
    <t>朝　　　食</t>
    <rPh sb="0" eb="1">
      <t>アサ</t>
    </rPh>
    <rPh sb="4" eb="5">
      <t>ショク</t>
    </rPh>
    <phoneticPr fontId="60"/>
  </si>
  <si>
    <t>昼　　　食</t>
    <rPh sb="0" eb="1">
      <t>ヒル</t>
    </rPh>
    <rPh sb="4" eb="5">
      <t>ショク</t>
    </rPh>
    <phoneticPr fontId="60"/>
  </si>
  <si>
    <t>夕　　　食</t>
    <rPh sb="0" eb="1">
      <t>ユウ</t>
    </rPh>
    <rPh sb="4" eb="5">
      <t>ショク</t>
    </rPh>
    <phoneticPr fontId="60"/>
  </si>
  <si>
    <t>期　日</t>
    <rPh sb="0" eb="1">
      <t>キ</t>
    </rPh>
    <rPh sb="2" eb="3">
      <t>ヒ</t>
    </rPh>
    <phoneticPr fontId="60"/>
  </si>
  <si>
    <t>小学生以下</t>
    <rPh sb="0" eb="3">
      <t>ショウガクセイ</t>
    </rPh>
    <rPh sb="3" eb="5">
      <t>イカ</t>
    </rPh>
    <phoneticPr fontId="60"/>
  </si>
  <si>
    <t>中学生
以上</t>
    <rPh sb="0" eb="3">
      <t>チュウガクセイ</t>
    </rPh>
    <rPh sb="4" eb="5">
      <t>イ</t>
    </rPh>
    <rPh sb="5" eb="6">
      <t>ジョウ</t>
    </rPh>
    <phoneticPr fontId="60"/>
  </si>
  <si>
    <t>２歳児
以下</t>
    <rPh sb="1" eb="3">
      <t>サイジ</t>
    </rPh>
    <rPh sb="4" eb="5">
      <t>イ</t>
    </rPh>
    <rPh sb="5" eb="6">
      <t>シタ</t>
    </rPh>
    <phoneticPr fontId="60"/>
  </si>
  <si>
    <t>３歳～
学齢前</t>
    <rPh sb="1" eb="2">
      <t>サイ</t>
    </rPh>
    <rPh sb="4" eb="6">
      <t>ガクレイ</t>
    </rPh>
    <rPh sb="6" eb="7">
      <t>マエ</t>
    </rPh>
    <phoneticPr fontId="60"/>
  </si>
  <si>
    <t>（無料）</t>
    <rPh sb="1" eb="3">
      <t>ムリョウ</t>
    </rPh>
    <phoneticPr fontId="60"/>
  </si>
  <si>
    <t>団体名と同じ</t>
    <phoneticPr fontId="60"/>
  </si>
  <si>
    <t>※備 考</t>
    <rPh sb="1" eb="2">
      <t>ビ</t>
    </rPh>
    <rPh sb="3" eb="4">
      <t>コウ</t>
    </rPh>
    <phoneticPr fontId="60"/>
  </si>
  <si>
    <t>領 収 書 等 の 宛 名</t>
    <rPh sb="0" eb="1">
      <t>リョウ</t>
    </rPh>
    <rPh sb="2" eb="3">
      <t>オサム</t>
    </rPh>
    <rPh sb="4" eb="5">
      <t>ショ</t>
    </rPh>
    <rPh sb="6" eb="7">
      <t>トウ</t>
    </rPh>
    <rPh sb="10" eb="11">
      <t>アテ</t>
    </rPh>
    <rPh sb="12" eb="13">
      <t>メイ</t>
    </rPh>
    <phoneticPr fontId="60"/>
  </si>
  <si>
    <t>支払方法</t>
    <rPh sb="0" eb="2">
      <t>シハラ</t>
    </rPh>
    <rPh sb="2" eb="4">
      <t>ホウホウ</t>
    </rPh>
    <phoneticPr fontId="60"/>
  </si>
  <si>
    <t>【備考】</t>
    <rPh sb="1" eb="3">
      <t>ビコウ</t>
    </rPh>
    <phoneticPr fontId="60"/>
  </si>
  <si>
    <t>食</t>
    <rPh sb="0" eb="1">
      <t>ショク</t>
    </rPh>
    <phoneticPr fontId="60"/>
  </si>
  <si>
    <t>合　計</t>
    <rPh sb="0" eb="1">
      <t>ゴウ</t>
    </rPh>
    <rPh sb="2" eb="3">
      <t>ケイ</t>
    </rPh>
    <phoneticPr fontId="60"/>
  </si>
  <si>
    <t>食堂</t>
    <rPh sb="0" eb="2">
      <t>ショクドウ</t>
    </rPh>
    <phoneticPr fontId="60"/>
  </si>
  <si>
    <t>〒</t>
    <phoneticPr fontId="1"/>
  </si>
  <si>
    <t>利用期日</t>
    <phoneticPr fontId="1"/>
  </si>
  <si>
    <t>住　所
所在地</t>
    <rPh sb="4" eb="7">
      <t>ショザイチ</t>
    </rPh>
    <phoneticPr fontId="1"/>
  </si>
  <si>
    <t>TEL</t>
    <phoneticPr fontId="1"/>
  </si>
  <si>
    <t>とちぎ海浜自然の家　食材･活動物品発注依頼書</t>
    <phoneticPr fontId="1"/>
  </si>
  <si>
    <t>ありません</t>
  </si>
  <si>
    <t>あります</t>
  </si>
  <si>
    <t>→</t>
  </si>
  <si>
    <t>下の欄に記入をして、提出してください。</t>
  </si>
  <si>
    <t>発注がない場合でも、提出してください。</t>
    <phoneticPr fontId="1"/>
  </si>
  <si>
    <t>金額　計</t>
  </si>
  <si>
    <t>　※発注する物品はありますか。どちらかに◯をつけてください。</t>
    <phoneticPr fontId="1"/>
  </si>
  <si>
    <t>　※野外調理等を行う場合には、該当する項目に◯をつけてください。
 　（☆の欄は職員が記入します。）</t>
    <phoneticPr fontId="1"/>
  </si>
  <si>
    <t>☆</t>
    <phoneticPr fontId="1"/>
  </si>
  <si>
    <t>団体名と同じ　　　</t>
    <phoneticPr fontId="1"/>
  </si>
  <si>
    <t>品　　　  　名</t>
    <phoneticPr fontId="1"/>
  </si>
  <si>
    <t>昼</t>
    <rPh sb="0" eb="1">
      <t>ヒル</t>
    </rPh>
    <phoneticPr fontId="60"/>
  </si>
  <si>
    <t>朝</t>
    <rPh sb="0" eb="1">
      <t>アサ</t>
    </rPh>
    <phoneticPr fontId="60"/>
  </si>
  <si>
    <t>宿泊</t>
    <rPh sb="0" eb="2">
      <t>シュクハク</t>
    </rPh>
    <phoneticPr fontId="60"/>
  </si>
  <si>
    <t>日帰り</t>
    <rPh sb="0" eb="2">
      <t>ヒガエ</t>
    </rPh>
    <phoneticPr fontId="60"/>
  </si>
  <si>
    <t>中３</t>
    <rPh sb="0" eb="1">
      <t>チュウ</t>
    </rPh>
    <phoneticPr fontId="60"/>
  </si>
  <si>
    <t>海　浜　太　郎</t>
    <rPh sb="0" eb="1">
      <t>ウミ</t>
    </rPh>
    <rPh sb="2" eb="3">
      <t>ハマ</t>
    </rPh>
    <rPh sb="4" eb="5">
      <t>フトシ</t>
    </rPh>
    <rPh sb="6" eb="7">
      <t>ロウ</t>
    </rPh>
    <phoneticPr fontId="60"/>
  </si>
  <si>
    <t>例</t>
    <rPh sb="0" eb="1">
      <t>レイ</t>
    </rPh>
    <phoneticPr fontId="60"/>
  </si>
  <si>
    <t>食堂の食事</t>
    <rPh sb="0" eb="2">
      <t>ショクドウ</t>
    </rPh>
    <rPh sb="3" eb="5">
      <t>ショクジ</t>
    </rPh>
    <phoneticPr fontId="60"/>
  </si>
  <si>
    <t>食堂の食事</t>
    <phoneticPr fontId="60"/>
  </si>
  <si>
    <t>備　考</t>
    <rPh sb="0" eb="1">
      <t>ビ</t>
    </rPh>
    <rPh sb="2" eb="3">
      <t>コウ</t>
    </rPh>
    <phoneticPr fontId="60"/>
  </si>
  <si>
    <t>３日目</t>
    <rPh sb="1" eb="3">
      <t>ニチメ</t>
    </rPh>
    <phoneticPr fontId="60"/>
  </si>
  <si>
    <t>２日目</t>
    <rPh sb="1" eb="3">
      <t>ニチメ</t>
    </rPh>
    <phoneticPr fontId="60"/>
  </si>
  <si>
    <t>１日目</t>
    <rPh sb="1" eb="3">
      <t>ニチメ</t>
    </rPh>
    <phoneticPr fontId="60"/>
  </si>
  <si>
    <t>性別</t>
    <rPh sb="0" eb="2">
      <t>セイベツ</t>
    </rPh>
    <phoneticPr fontId="60"/>
  </si>
  <si>
    <t>氏　　名</t>
    <rPh sb="0" eb="1">
      <t>シ</t>
    </rPh>
    <rPh sb="3" eb="4">
      <t>メイ</t>
    </rPh>
    <phoneticPr fontId="60"/>
  </si>
  <si>
    <t>）</t>
    <phoneticPr fontId="60"/>
  </si>
  <si>
    <t>（</t>
    <phoneticPr fontId="60"/>
  </si>
  <si>
    <t>～</t>
    <phoneticPr fontId="60"/>
  </si>
  <si>
    <t>）</t>
    <phoneticPr fontId="60"/>
  </si>
  <si>
    <t>（</t>
    <phoneticPr fontId="60"/>
  </si>
  <si>
    <t>宿泊期間</t>
    <rPh sb="0" eb="2">
      <t>シュクハク</t>
    </rPh>
    <rPh sb="2" eb="4">
      <t>キカン</t>
    </rPh>
    <phoneticPr fontId="60"/>
  </si>
  <si>
    <t>団 体 名</t>
    <rPh sb="0" eb="1">
      <t>ダン</t>
    </rPh>
    <rPh sb="2" eb="3">
      <t>カラダ</t>
    </rPh>
    <rPh sb="4" eb="5">
      <t>メイ</t>
    </rPh>
    <phoneticPr fontId="60"/>
  </si>
  <si>
    <t>№</t>
    <phoneticPr fontId="60"/>
  </si>
  <si>
    <t>日帰り
または
宿　泊</t>
    <rPh sb="0" eb="2">
      <t>ヒガエ</t>
    </rPh>
    <rPh sb="8" eb="9">
      <t>ヤド</t>
    </rPh>
    <rPh sb="10" eb="11">
      <t>トマリ</t>
    </rPh>
    <phoneticPr fontId="60"/>
  </si>
  <si>
    <t>台</t>
    <rPh sb="0" eb="1">
      <t>ダイ</t>
    </rPh>
    <phoneticPr fontId="1"/>
  </si>
  <si>
    <t>※「OT」（オリエンテーション）は、自然の家職員からの施設の使い方についての説明および職員との打合せ等として１時間とってください。　　　　　　　　　　　　　　　　　　　　　</t>
    <rPh sb="27" eb="29">
      <t>シセツ</t>
    </rPh>
    <rPh sb="30" eb="31">
      <t>ツカ</t>
    </rPh>
    <rPh sb="32" eb="33">
      <t>カタ</t>
    </rPh>
    <rPh sb="38" eb="40">
      <t>セツメイ</t>
    </rPh>
    <phoneticPr fontId="60"/>
  </si>
  <si>
    <t>荒天時の計画
（使用施設）</t>
    <rPh sb="0" eb="2">
      <t>コウテン</t>
    </rPh>
    <rPh sb="2" eb="3">
      <t>ジ</t>
    </rPh>
    <rPh sb="4" eb="6">
      <t>ケイカク</t>
    </rPh>
    <rPh sb="8" eb="10">
      <t>シヨウ</t>
    </rPh>
    <rPh sb="10" eb="12">
      <t>シセツ</t>
    </rPh>
    <phoneticPr fontId="60"/>
  </si>
  <si>
    <t>・野調→野外調理</t>
    <rPh sb="1" eb="2">
      <t>ノ</t>
    </rPh>
    <rPh sb="2" eb="3">
      <t>チョウ</t>
    </rPh>
    <rPh sb="4" eb="6">
      <t>ヤガイ</t>
    </rPh>
    <rPh sb="6" eb="8">
      <t>チョウリ</t>
    </rPh>
    <phoneticPr fontId="60"/>
  </si>
  <si>
    <t>・食堂→食堂利用</t>
    <rPh sb="1" eb="3">
      <t>ショクドウ</t>
    </rPh>
    <rPh sb="4" eb="6">
      <t>ショクドウ</t>
    </rPh>
    <rPh sb="6" eb="8">
      <t>リヨウ</t>
    </rPh>
    <phoneticPr fontId="60"/>
  </si>
  <si>
    <t>指導体制</t>
    <rPh sb="0" eb="2">
      <t>シドウ</t>
    </rPh>
    <rPh sb="2" eb="4">
      <t>タイセイ</t>
    </rPh>
    <phoneticPr fontId="60"/>
  </si>
  <si>
    <t>夕食</t>
    <rPh sb="0" eb="2">
      <t>ユウショク</t>
    </rPh>
    <phoneticPr fontId="60"/>
  </si>
  <si>
    <t>グループ数</t>
    <rPh sb="4" eb="5">
      <t>スウ</t>
    </rPh>
    <phoneticPr fontId="60"/>
  </si>
  <si>
    <t>昼食</t>
    <rPh sb="0" eb="2">
      <t>チュウショク</t>
    </rPh>
    <phoneticPr fontId="60"/>
  </si>
  <si>
    <t>朝食</t>
    <rPh sb="0" eb="2">
      <t>チョウショク</t>
    </rPh>
    <phoneticPr fontId="60"/>
  </si>
  <si>
    <t>就寝準備</t>
    <rPh sb="0" eb="2">
      <t>シュウシン</t>
    </rPh>
    <rPh sb="2" eb="4">
      <t>ジュンビ</t>
    </rPh>
    <phoneticPr fontId="60"/>
  </si>
  <si>
    <t>野調</t>
    <rPh sb="0" eb="1">
      <t>ノ</t>
    </rPh>
    <rPh sb="1" eb="2">
      <t>チョウ</t>
    </rPh>
    <phoneticPr fontId="60"/>
  </si>
  <si>
    <t>活動名</t>
    <rPh sb="0" eb="2">
      <t>カツドウ</t>
    </rPh>
    <rPh sb="2" eb="3">
      <t>メイ</t>
    </rPh>
    <phoneticPr fontId="60"/>
  </si>
  <si>
    <t>食事様式（該当欄に○）</t>
    <rPh sb="0" eb="2">
      <t>ショクジ</t>
    </rPh>
    <rPh sb="2" eb="4">
      <t>ヨウシキ</t>
    </rPh>
    <rPh sb="5" eb="7">
      <t>ガイトウ</t>
    </rPh>
    <rPh sb="7" eb="8">
      <t>ラン</t>
    </rPh>
    <phoneticPr fontId="60"/>
  </si>
  <si>
    <t>宿泊施設</t>
    <rPh sb="0" eb="2">
      <t>シュクハク</t>
    </rPh>
    <rPh sb="2" eb="4">
      <t>シセツ</t>
    </rPh>
    <phoneticPr fontId="60"/>
  </si>
  <si>
    <t>区分</t>
    <rPh sb="0" eb="2">
      <t>クブン</t>
    </rPh>
    <phoneticPr fontId="60"/>
  </si>
  <si>
    <t>活動終了時刻</t>
    <rPh sb="0" eb="2">
      <t>カツドウ</t>
    </rPh>
    <rPh sb="2" eb="4">
      <t>シュウリョウ</t>
    </rPh>
    <rPh sb="4" eb="6">
      <t>ジコク</t>
    </rPh>
    <phoneticPr fontId="60"/>
  </si>
  <si>
    <t>←食堂利用時間→</t>
    <rPh sb="1" eb="3">
      <t>ショクドウ</t>
    </rPh>
    <rPh sb="3" eb="5">
      <t>リヨウ</t>
    </rPh>
    <rPh sb="5" eb="7">
      <t>ジカン</t>
    </rPh>
    <phoneticPr fontId="60"/>
  </si>
  <si>
    <t>AT活動開始時刻</t>
    <rPh sb="2" eb="4">
      <t>カツドウ</t>
    </rPh>
    <rPh sb="4" eb="6">
      <t>カイシ</t>
    </rPh>
    <rPh sb="6" eb="8">
      <t>ジコク</t>
    </rPh>
    <phoneticPr fontId="60"/>
  </si>
  <si>
    <t>食堂利用・活動時間帯</t>
    <rPh sb="0" eb="2">
      <t>ショクドウ</t>
    </rPh>
    <rPh sb="2" eb="4">
      <t>リヨウ</t>
    </rPh>
    <rPh sb="5" eb="7">
      <t>カツドウ</t>
    </rPh>
    <rPh sb="7" eb="10">
      <t>ジカンタイ</t>
    </rPh>
    <phoneticPr fontId="60"/>
  </si>
  <si>
    <t>氏　名</t>
    <rPh sb="0" eb="1">
      <t>シ</t>
    </rPh>
    <rPh sb="2" eb="3">
      <t>メイ</t>
    </rPh>
    <phoneticPr fontId="60"/>
  </si>
  <si>
    <t>連絡先電話番号２</t>
    <phoneticPr fontId="60"/>
  </si>
  <si>
    <t>連絡先電話番号１</t>
    <rPh sb="0" eb="3">
      <t>レンラクサキ</t>
    </rPh>
    <phoneticPr fontId="60"/>
  </si>
  <si>
    <t>ふりがな</t>
    <phoneticPr fontId="60"/>
  </si>
  <si>
    <t>連　絡
責任者</t>
    <rPh sb="0" eb="1">
      <t>レン</t>
    </rPh>
    <rPh sb="2" eb="3">
      <t>カラメル</t>
    </rPh>
    <rPh sb="4" eb="7">
      <t>セキニンシャ</t>
    </rPh>
    <phoneticPr fontId="60"/>
  </si>
  <si>
    <t>利用期日</t>
    <rPh sb="0" eb="2">
      <t>リヨウ</t>
    </rPh>
    <rPh sb="2" eb="4">
      <t>キジツ</t>
    </rPh>
    <phoneticPr fontId="60"/>
  </si>
  <si>
    <t>　　団　体　利　用　計　画　書</t>
    <rPh sb="2" eb="3">
      <t>ダン</t>
    </rPh>
    <rPh sb="4" eb="5">
      <t>カラダ</t>
    </rPh>
    <rPh sb="6" eb="7">
      <t>リ</t>
    </rPh>
    <rPh sb="8" eb="9">
      <t>ヨウ</t>
    </rPh>
    <rPh sb="10" eb="11">
      <t>ケイ</t>
    </rPh>
    <rPh sb="12" eb="13">
      <t>ガ</t>
    </rPh>
    <rPh sb="14" eb="15">
      <t>ショ</t>
    </rPh>
    <phoneticPr fontId="60"/>
  </si>
  <si>
    <t>（</t>
    <phoneticPr fontId="60"/>
  </si>
  <si>
    <t>）</t>
    <phoneticPr fontId="1"/>
  </si>
  <si>
    <t>日（</t>
    <rPh sb="0" eb="1">
      <t>ニチ</t>
    </rPh>
    <phoneticPr fontId="1"/>
  </si>
  <si>
    <t>名</t>
    <phoneticPr fontId="1"/>
  </si>
  <si>
    <t>（うち大人の数</t>
    <phoneticPr fontId="1"/>
  </si>
  <si>
    <t>名）</t>
    <rPh sb="0" eb="1">
      <t>メイ</t>
    </rPh>
    <phoneticPr fontId="1"/>
  </si>
  <si>
    <t xml:space="preserve"> 利用者数</t>
    <rPh sb="1" eb="4">
      <t>リヨウシャ</t>
    </rPh>
    <rPh sb="4" eb="5">
      <t>スウ</t>
    </rPh>
    <phoneticPr fontId="60"/>
  </si>
  <si>
    <t>№（</t>
    <phoneticPr fontId="60"/>
  </si>
  <si>
    <t>）</t>
    <phoneticPr fontId="1"/>
  </si>
  <si>
    <t>（　</t>
  </si>
  <si>
    <t>泊</t>
    <rPh sb="0" eb="1">
      <t>ぱく</t>
    </rPh>
    <phoneticPr fontId="1" type="Hiragana"/>
  </si>
  <si>
    <t>日</t>
    <rPh sb="0" eb="1">
      <t>にち</t>
    </rPh>
    <phoneticPr fontId="1" type="Hiragana"/>
  </si>
  <si>
    <t>泊　数</t>
    <rPh sb="0" eb="1">
      <t>とまり</t>
    </rPh>
    <rPh sb="2" eb="3">
      <t>す</t>
    </rPh>
    <phoneticPr fontId="1" type="Hiragana"/>
  </si>
  <si>
    <t>１日目（</t>
    <rPh sb="1" eb="2">
      <t>ニチ</t>
    </rPh>
    <rPh sb="2" eb="3">
      <t>メ</t>
    </rPh>
    <phoneticPr fontId="60"/>
  </si>
  <si>
    <t>）</t>
    <phoneticPr fontId="1"/>
  </si>
  <si>
    <t>２日目（</t>
    <rPh sb="1" eb="2">
      <t>ニチ</t>
    </rPh>
    <rPh sb="2" eb="3">
      <t>メ</t>
    </rPh>
    <phoneticPr fontId="60"/>
  </si>
  <si>
    <t>３日目（</t>
    <rPh sb="1" eb="2">
      <t>ニチ</t>
    </rPh>
    <rPh sb="2" eb="3">
      <t>メ</t>
    </rPh>
    <phoneticPr fontId="60"/>
  </si>
  <si>
    <t>利用者人数</t>
    <rPh sb="0" eb="3">
      <t>りようしゃ</t>
    </rPh>
    <rPh sb="3" eb="5">
      <t>にんずう</t>
    </rPh>
    <phoneticPr fontId="1" type="Hiragana"/>
  </si>
  <si>
    <t>名</t>
    <rPh sb="0" eb="1">
      <t>めい</t>
    </rPh>
    <phoneticPr fontId="1" type="Hiragana"/>
  </si>
  <si>
    <t>）</t>
    <phoneticPr fontId="1" type="Hiragana"/>
  </si>
  <si>
    <t>うち大人の数</t>
    <rPh sb="2" eb="4">
      <t>おとな</t>
    </rPh>
    <rPh sb="5" eb="6">
      <t>かず</t>
    </rPh>
    <phoneticPr fontId="1" type="Hiragana"/>
  </si>
  <si>
    <t>ロッジ</t>
    <phoneticPr fontId="1"/>
  </si>
  <si>
    <t>生活館</t>
    <rPh sb="0" eb="3">
      <t>セイカツカン</t>
    </rPh>
    <phoneticPr fontId="60"/>
  </si>
  <si>
    <t>４日目（</t>
    <rPh sb="1" eb="2">
      <t>ニチ</t>
    </rPh>
    <rPh sb="2" eb="3">
      <t>メ</t>
    </rPh>
    <phoneticPr fontId="60"/>
  </si>
  <si>
    <t>５日目（</t>
    <rPh sb="1" eb="2">
      <t>ニチ</t>
    </rPh>
    <rPh sb="2" eb="3">
      <t>メ</t>
    </rPh>
    <phoneticPr fontId="60"/>
  </si>
  <si>
    <t>６日目（</t>
    <rPh sb="1" eb="2">
      <t>ニチ</t>
    </rPh>
    <rPh sb="2" eb="3">
      <t>メ</t>
    </rPh>
    <phoneticPr fontId="60"/>
  </si>
  <si>
    <t>男</t>
    <rPh sb="0" eb="1">
      <t>ダン</t>
    </rPh>
    <phoneticPr fontId="60"/>
  </si>
  <si>
    <t>日帰り</t>
    <rPh sb="0" eb="2">
      <t>ひがえ</t>
    </rPh>
    <phoneticPr fontId="1" type="Hiragana"/>
  </si>
  <si>
    <t>連絡責任者住所</t>
    <rPh sb="0" eb="2">
      <t>れんらく</t>
    </rPh>
    <rPh sb="2" eb="5">
      <t>せきにんしゃ</t>
    </rPh>
    <rPh sb="5" eb="7">
      <t>じゅうしょ</t>
    </rPh>
    <phoneticPr fontId="1" type="Hiragana"/>
  </si>
  <si>
    <t>電話番号</t>
    <rPh sb="0" eb="2">
      <t>でんわ</t>
    </rPh>
    <rPh sb="2" eb="4">
      <t>ばんごう</t>
    </rPh>
    <phoneticPr fontId="1" type="Hiragana"/>
  </si>
  <si>
    <t>団体</t>
    <rPh sb="0" eb="1">
      <t>だん</t>
    </rPh>
    <rPh sb="1" eb="2">
      <t>からだ</t>
    </rPh>
    <phoneticPr fontId="1" type="Hiragana"/>
  </si>
  <si>
    <t>連　絡
責任者</t>
    <rPh sb="0" eb="1">
      <t>レン</t>
    </rPh>
    <rPh sb="2" eb="3">
      <t>ラク</t>
    </rPh>
    <rPh sb="4" eb="7">
      <t>セキニンシャ</t>
    </rPh>
    <phoneticPr fontId="6"/>
  </si>
  <si>
    <t>書類提出日</t>
    <rPh sb="0" eb="2">
      <t>ショルイ</t>
    </rPh>
    <rPh sb="2" eb="3">
      <t>テイ</t>
    </rPh>
    <rPh sb="3" eb="4">
      <t>デ</t>
    </rPh>
    <rPh sb="4" eb="5">
      <t>ヒ</t>
    </rPh>
    <phoneticPr fontId="6"/>
  </si>
  <si>
    <t xml:space="preserve">
［精算関係記入欄］
　※支払方法の欄に○をつけてください。
　※宛名が団体名と同じで良いときは「団体名と同じ」の（　　）に○を記入し、必要事項を記入
　　してください。</t>
    <rPh sb="64" eb="66">
      <t>キニュウ</t>
    </rPh>
    <phoneticPr fontId="1"/>
  </si>
  <si>
    <t>）</t>
    <phoneticPr fontId="1"/>
  </si>
  <si>
    <t>団体名と同じ　（</t>
    <phoneticPr fontId="1"/>
  </si>
  <si>
    <t>シーツ(リネン)
のセット数</t>
    <phoneticPr fontId="1"/>
  </si>
  <si>
    <t>2</t>
    <phoneticPr fontId="1" type="Hiragana"/>
  </si>
  <si>
    <t>1</t>
    <phoneticPr fontId="1" type="Hiragana"/>
  </si>
  <si>
    <t>3</t>
    <phoneticPr fontId="1" type="Hiragana"/>
  </si>
  <si>
    <t>人</t>
    <rPh sb="0" eb="1">
      <t>にん</t>
    </rPh>
    <phoneticPr fontId="1" type="Hiragana"/>
  </si>
  <si>
    <t>(</t>
    <phoneticPr fontId="1"/>
  </si>
  <si>
    <t>物品発注</t>
    <rPh sb="0" eb="2">
      <t>ブッピン</t>
    </rPh>
    <rPh sb="2" eb="4">
      <t>ハッチュウ</t>
    </rPh>
    <phoneticPr fontId="60"/>
  </si>
  <si>
    <r>
      <t xml:space="preserve"> [精算関係記入欄]　</t>
    </r>
    <r>
      <rPr>
        <b/>
        <sz val="10.5"/>
        <color rgb="FF000000"/>
        <rFont val="ＭＳ ゴシック"/>
        <family val="3"/>
        <charset val="128"/>
      </rPr>
      <t>　</t>
    </r>
    <r>
      <rPr>
        <b/>
        <sz val="11"/>
        <color rgb="FF000000"/>
        <rFont val="ＭＳ ゴシック"/>
        <family val="3"/>
        <charset val="128"/>
      </rPr>
      <t xml:space="preserve">　　　　　　　 
</t>
    </r>
    <r>
      <rPr>
        <sz val="10"/>
        <color rgb="FF000000"/>
        <rFont val="ＭＳ ゴシック"/>
        <family val="3"/>
        <charset val="128"/>
      </rPr>
      <t>　 ※支払方法を選択してください。
　 ※宛名が団体名と同じで良いときは「団体名と同じ」の（　 ）に○を書き、必要事項を記入してください｡</t>
    </r>
    <rPh sb="29" eb="31">
      <t>センタク</t>
    </rPh>
    <phoneticPr fontId="1"/>
  </si>
  <si>
    <t>整理番号</t>
    <rPh sb="0" eb="2">
      <t>せいり</t>
    </rPh>
    <rPh sb="2" eb="4">
      <t>ばんごう</t>
    </rPh>
    <phoneticPr fontId="1" type="Hiragana"/>
  </si>
  <si>
    <t>４日目</t>
    <rPh sb="1" eb="3">
      <t>ニチメ</t>
    </rPh>
    <phoneticPr fontId="60"/>
  </si>
  <si>
    <t>５日目</t>
    <rPh sb="1" eb="3">
      <t>ニチメ</t>
    </rPh>
    <phoneticPr fontId="60"/>
  </si>
  <si>
    <t>６日目</t>
    <rPh sb="1" eb="3">
      <t>ニチメ</t>
    </rPh>
    <phoneticPr fontId="60"/>
  </si>
  <si>
    <t>利　用　許　可　申　請　書</t>
    <rPh sb="0" eb="1">
      <t>リ</t>
    </rPh>
    <rPh sb="2" eb="3">
      <t>ヨウ</t>
    </rPh>
    <rPh sb="4" eb="5">
      <t>モト</t>
    </rPh>
    <rPh sb="6" eb="7">
      <t>カ</t>
    </rPh>
    <rPh sb="8" eb="9">
      <t>サル</t>
    </rPh>
    <rPh sb="10" eb="11">
      <t>ショウ</t>
    </rPh>
    <rPh sb="12" eb="13">
      <t>ショ</t>
    </rPh>
    <phoneticPr fontId="1"/>
  </si>
  <si>
    <t>(</t>
    <phoneticPr fontId="1"/>
  </si>
  <si>
    <t>) から</t>
    <phoneticPr fontId="1"/>
  </si>
  <si>
    <t>) まで</t>
    <phoneticPr fontId="1"/>
  </si>
  <si>
    <r>
      <rPr>
        <b/>
        <sz val="10"/>
        <color rgb="FFFF0000"/>
        <rFont val="BIZ UDPゴシック"/>
        <family val="3"/>
        <charset val="128"/>
      </rPr>
      <t>※</t>
    </r>
    <r>
      <rPr>
        <b/>
        <sz val="10"/>
        <rFont val="BIZ UDPゴシック"/>
        <family val="3"/>
        <charset val="128"/>
      </rPr>
      <t xml:space="preserve"> 印刷の設定で必ずページ指定してください。　（ 例 ： 印刷枚数</t>
    </r>
    <r>
      <rPr>
        <b/>
        <sz val="10"/>
        <color rgb="FFFF0000"/>
        <rFont val="BIZ UDPゴシック"/>
        <family val="3"/>
        <charset val="128"/>
      </rPr>
      <t>２</t>
    </r>
    <r>
      <rPr>
        <b/>
        <sz val="10"/>
        <rFont val="BIZ UDPゴシック"/>
        <family val="3"/>
        <charset val="128"/>
      </rPr>
      <t>枚 → ページ指定 １から</t>
    </r>
    <r>
      <rPr>
        <b/>
        <sz val="10"/>
        <color rgb="FFFF0000"/>
        <rFont val="BIZ UDPゴシック"/>
        <family val="3"/>
        <charset val="128"/>
      </rPr>
      <t>２</t>
    </r>
    <r>
      <rPr>
        <b/>
        <sz val="10"/>
        <rFont val="BIZ UDPゴシック"/>
        <family val="3"/>
        <charset val="128"/>
      </rPr>
      <t>ページ ）
　  そのまま印刷すると、不要なページも含め８枚印刷されてしまいます。</t>
    </r>
    <rPh sb="2" eb="4">
      <t>インサツ</t>
    </rPh>
    <rPh sb="5" eb="7">
      <t>セッテイ</t>
    </rPh>
    <rPh sb="8" eb="9">
      <t>カナラ</t>
    </rPh>
    <rPh sb="13" eb="15">
      <t>シテイ</t>
    </rPh>
    <rPh sb="25" eb="26">
      <t>レイ</t>
    </rPh>
    <rPh sb="29" eb="31">
      <t>インサツ</t>
    </rPh>
    <rPh sb="31" eb="33">
      <t>マイスウ</t>
    </rPh>
    <rPh sb="34" eb="35">
      <t>マイ</t>
    </rPh>
    <rPh sb="41" eb="43">
      <t>シテイ</t>
    </rPh>
    <rPh sb="61" eb="63">
      <t>インサツ</t>
    </rPh>
    <rPh sb="67" eb="69">
      <t>フヨウ</t>
    </rPh>
    <rPh sb="74" eb="75">
      <t>フク</t>
    </rPh>
    <rPh sb="77" eb="78">
      <t>マイ</t>
    </rPh>
    <rPh sb="78" eb="80">
      <t>インサツ</t>
    </rPh>
    <phoneticPr fontId="1"/>
  </si>
  <si>
    <r>
      <rPr>
        <b/>
        <sz val="10"/>
        <color rgb="FFFF0000"/>
        <rFont val="BIZ UDPゴシック"/>
        <family val="3"/>
        <charset val="128"/>
      </rPr>
      <t>※</t>
    </r>
    <r>
      <rPr>
        <b/>
        <sz val="10"/>
        <rFont val="BIZ UDPゴシック"/>
        <family val="3"/>
        <charset val="128"/>
      </rPr>
      <t xml:space="preserve"> 印刷の設定で必ずページ指定してください。
　（ 例 ： 印刷枚数</t>
    </r>
    <r>
      <rPr>
        <b/>
        <sz val="10"/>
        <color rgb="FFFF0000"/>
        <rFont val="BIZ UDPゴシック"/>
        <family val="3"/>
        <charset val="128"/>
      </rPr>
      <t>１</t>
    </r>
    <r>
      <rPr>
        <b/>
        <sz val="10"/>
        <rFont val="BIZ UDPゴシック"/>
        <family val="3"/>
        <charset val="128"/>
      </rPr>
      <t>枚 → ページ指定 １から</t>
    </r>
    <r>
      <rPr>
        <b/>
        <sz val="10"/>
        <color rgb="FFFF0000"/>
        <rFont val="BIZ UDPゴシック"/>
        <family val="3"/>
        <charset val="128"/>
      </rPr>
      <t>１</t>
    </r>
    <r>
      <rPr>
        <b/>
        <sz val="10"/>
        <rFont val="BIZ UDPゴシック"/>
        <family val="3"/>
        <charset val="128"/>
      </rPr>
      <t>ページ ）</t>
    </r>
    <rPh sb="2" eb="4">
      <t>インサツ</t>
    </rPh>
    <rPh sb="5" eb="7">
      <t>セッテイ</t>
    </rPh>
    <rPh sb="8" eb="9">
      <t>カナラ</t>
    </rPh>
    <rPh sb="13" eb="15">
      <t>シテイ</t>
    </rPh>
    <rPh sb="26" eb="27">
      <t>レイ</t>
    </rPh>
    <rPh sb="30" eb="32">
      <t>インサツ</t>
    </rPh>
    <rPh sb="32" eb="34">
      <t>マイスウ</t>
    </rPh>
    <rPh sb="35" eb="36">
      <t>マイ</t>
    </rPh>
    <rPh sb="42" eb="44">
      <t>シテイ</t>
    </rPh>
    <phoneticPr fontId="1"/>
  </si>
  <si>
    <t>朝
食</t>
    <rPh sb="0" eb="1">
      <t>あさ</t>
    </rPh>
    <rPh sb="3" eb="4">
      <t>しょく</t>
    </rPh>
    <phoneticPr fontId="1" type="Hiragana"/>
  </si>
  <si>
    <t>昼
食</t>
    <rPh sb="0" eb="1">
      <t>ひる</t>
    </rPh>
    <rPh sb="3" eb="4">
      <t>しょく</t>
    </rPh>
    <phoneticPr fontId="1" type="Hiragana"/>
  </si>
  <si>
    <t>夕
食</t>
    <rPh sb="0" eb="1">
      <t>ゆう</t>
    </rPh>
    <rPh sb="3" eb="4">
      <t>しょく</t>
    </rPh>
    <phoneticPr fontId="1" type="Hiragana"/>
  </si>
  <si>
    <t xml:space="preserve">
円</t>
    <rPh sb="1" eb="2">
      <t>エン</t>
    </rPh>
    <phoneticPr fontId="1"/>
  </si>
  <si>
    <t>利用者人数</t>
    <rPh sb="0" eb="3">
      <t>リヨウシャ</t>
    </rPh>
    <rPh sb="3" eb="5">
      <t>ニンズウ</t>
    </rPh>
    <phoneticPr fontId="1"/>
  </si>
  <si>
    <t>うち大人</t>
    <rPh sb="2" eb="4">
      <t>オトナ</t>
    </rPh>
    <phoneticPr fontId="1"/>
  </si>
  <si>
    <t>▶</t>
    <phoneticPr fontId="1"/>
  </si>
  <si>
    <t>▶</t>
    <phoneticPr fontId="1"/>
  </si>
  <si>
    <t>一般</t>
    <rPh sb="0" eb="2">
      <t>イッパン</t>
    </rPh>
    <phoneticPr fontId="1"/>
  </si>
  <si>
    <t>光熱水費</t>
    <rPh sb="0" eb="4">
      <t>こうねつすいひ</t>
    </rPh>
    <phoneticPr fontId="1" type="Hiragana"/>
  </si>
  <si>
    <t>県内</t>
    <rPh sb="0" eb="2">
      <t>けんない</t>
    </rPh>
    <phoneticPr fontId="1" type="Hiragana"/>
  </si>
  <si>
    <t>県外</t>
    <rPh sb="0" eb="2">
      <t>けんがい</t>
    </rPh>
    <phoneticPr fontId="1" type="Hiragana"/>
  </si>
  <si>
    <t>一般</t>
    <rPh sb="0" eb="2">
      <t>いっぱん</t>
    </rPh>
    <phoneticPr fontId="1" type="Hiragana"/>
  </si>
  <si>
    <t>プール</t>
    <phoneticPr fontId="1" type="Hiragana"/>
  </si>
  <si>
    <t>日帰り</t>
    <rPh sb="0" eb="2">
      <t>ひがえ</t>
    </rPh>
    <phoneticPr fontId="1" type="Hiragana"/>
  </si>
  <si>
    <t>高校生等</t>
    <rPh sb="0" eb="4">
      <t>コウコウセイトウ</t>
    </rPh>
    <phoneticPr fontId="1"/>
  </si>
  <si>
    <t>宿泊</t>
    <rPh sb="0" eb="2">
      <t>しゅくはく</t>
    </rPh>
    <phoneticPr fontId="1" type="Hiragana"/>
  </si>
  <si>
    <t>【 添い寝</t>
    <rPh sb="2" eb="3">
      <t>そ</t>
    </rPh>
    <rPh sb="4" eb="5">
      <t>ね</t>
    </rPh>
    <phoneticPr fontId="1" type="Hiragana"/>
  </si>
  <si>
    <t>中学以下</t>
    <rPh sb="0" eb="1">
      <t>なか</t>
    </rPh>
    <rPh sb="1" eb="2">
      <t>がく</t>
    </rPh>
    <rPh sb="2" eb="4">
      <t>いか</t>
    </rPh>
    <phoneticPr fontId="1" type="Hiragana"/>
  </si>
  <si>
    <t>高校生等</t>
    <rPh sb="0" eb="2">
      <t>こうこう</t>
    </rPh>
    <rPh sb="2" eb="3">
      <t>せい</t>
    </rPh>
    <rPh sb="3" eb="4">
      <t>など</t>
    </rPh>
    <phoneticPr fontId="1" type="Hiragana"/>
  </si>
  <si>
    <t>使用施設
集合場所</t>
    <rPh sb="0" eb="2">
      <t>シヨウ</t>
    </rPh>
    <rPh sb="2" eb="4">
      <t>シセツ</t>
    </rPh>
    <rPh sb="5" eb="9">
      <t>シュウゴウバショ</t>
    </rPh>
    <phoneticPr fontId="60"/>
  </si>
  <si>
    <t>（</t>
    <phoneticPr fontId="1" type="Hiragana"/>
  </si>
  <si>
    <t>夕</t>
    <phoneticPr fontId="60"/>
  </si>
  <si>
    <t>夕</t>
    <phoneticPr fontId="60"/>
  </si>
  <si>
    <t>利用者名簿　</t>
    <rPh sb="0" eb="1">
      <t>リ</t>
    </rPh>
    <rPh sb="1" eb="2">
      <t>ヨウ</t>
    </rPh>
    <rPh sb="2" eb="3">
      <t>シャ</t>
    </rPh>
    <rPh sb="3" eb="4">
      <t>ナ</t>
    </rPh>
    <rPh sb="4" eb="5">
      <t>ボ</t>
    </rPh>
    <phoneticPr fontId="60"/>
  </si>
  <si>
    <t>OT：オリエンテーション　　ST：団体引率者　　AT：自然の家職員　　VT：外部講師　　FT：自由時間　　RC：部屋確認　　G：グループ</t>
    <rPh sb="17" eb="19">
      <t>ダンタイ</t>
    </rPh>
    <rPh sb="19" eb="22">
      <t>インソツシャ</t>
    </rPh>
    <rPh sb="27" eb="29">
      <t>シゼン</t>
    </rPh>
    <rPh sb="30" eb="31">
      <t>イエ</t>
    </rPh>
    <rPh sb="31" eb="33">
      <t>ショクイン</t>
    </rPh>
    <rPh sb="38" eb="42">
      <t>ガイブコウシ</t>
    </rPh>
    <rPh sb="47" eb="49">
      <t>ジユウ</t>
    </rPh>
    <rPh sb="49" eb="51">
      <t>ジカン</t>
    </rPh>
    <rPh sb="56" eb="58">
      <t>ヘヤ</t>
    </rPh>
    <rPh sb="58" eb="60">
      <t>カクニン</t>
    </rPh>
    <phoneticPr fontId="60"/>
  </si>
  <si>
    <r>
      <t>※「RC」（部屋確認）の時間は、退室する日の部屋掃除・荷物移動後、午前８時３５分から３０分程度とってください。</t>
    </r>
    <r>
      <rPr>
        <b/>
        <sz val="12"/>
        <color theme="1"/>
        <rFont val="ＭＳ Ｐゴシック"/>
        <family val="3"/>
        <charset val="128"/>
      </rPr>
      <t>（団体指導者による事前の確認をお願いいたします。）</t>
    </r>
    <rPh sb="56" eb="58">
      <t>ダンタイ</t>
    </rPh>
    <rPh sb="58" eb="61">
      <t>シドウシャ</t>
    </rPh>
    <rPh sb="64" eb="66">
      <t>ジゼン</t>
    </rPh>
    <rPh sb="67" eb="69">
      <t>カクニン</t>
    </rPh>
    <rPh sb="71" eb="72">
      <t>ネガ</t>
    </rPh>
    <phoneticPr fontId="60"/>
  </si>
  <si>
    <t>とちぎ海浜自然の家
TEL  (0291) 37-4004
FAX  (0291) 37-4008</t>
    <rPh sb="3" eb="5">
      <t>カイヒン</t>
    </rPh>
    <rPh sb="5" eb="7">
      <t>シゼン</t>
    </rPh>
    <rPh sb="8" eb="9">
      <t>イエ</t>
    </rPh>
    <phoneticPr fontId="60"/>
  </si>
  <si>
    <t>　                                    理事長 　様</t>
    <phoneticPr fontId="1"/>
  </si>
  <si>
    <t>No.</t>
    <phoneticPr fontId="60"/>
  </si>
  <si>
    <t>１日目</t>
  </si>
  <si>
    <t>２日目</t>
  </si>
  <si>
    <t>３日目</t>
  </si>
  <si>
    <t>４日目</t>
  </si>
  <si>
    <t>５日目</t>
  </si>
  <si>
    <t>６日目</t>
  </si>
  <si>
    <t>氏　　名</t>
  </si>
  <si>
    <t>性別</t>
  </si>
  <si>
    <t>該当データ数</t>
    <rPh sb="0" eb="2">
      <t>ガイトウ</t>
    </rPh>
    <rPh sb="5" eb="6">
      <t>スウ</t>
    </rPh>
    <phoneticPr fontId="60"/>
  </si>
  <si>
    <t>名簿入力人数</t>
    <rPh sb="0" eb="2">
      <t>メイボ</t>
    </rPh>
    <rPh sb="2" eb="4">
      <t>ニュウリョク</t>
    </rPh>
    <rPh sb="4" eb="6">
      <t>ニンズウ</t>
    </rPh>
    <phoneticPr fontId="60"/>
  </si>
  <si>
    <t>利用許可申請人数</t>
    <rPh sb="0" eb="2">
      <t>リヨウ</t>
    </rPh>
    <rPh sb="2" eb="4">
      <t>キョカ</t>
    </rPh>
    <rPh sb="4" eb="6">
      <t>シンセイ</t>
    </rPh>
    <rPh sb="6" eb="7">
      <t>ニン</t>
    </rPh>
    <rPh sb="7" eb="8">
      <t>スウ</t>
    </rPh>
    <phoneticPr fontId="60"/>
  </si>
  <si>
    <t>人数確認用</t>
    <rPh sb="0" eb="2">
      <t>ニンズウ</t>
    </rPh>
    <rPh sb="2" eb="4">
      <t>カクニン</t>
    </rPh>
    <rPh sb="4" eb="5">
      <t>ヨウ</t>
    </rPh>
    <phoneticPr fontId="60"/>
  </si>
  <si>
    <t>～</t>
    <phoneticPr fontId="1"/>
  </si>
  <si>
    <t>（</t>
    <phoneticPr fontId="1"/>
  </si>
  <si>
    <t>出入時刻</t>
    <rPh sb="0" eb="2">
      <t>デイ</t>
    </rPh>
    <rPh sb="2" eb="4">
      <t>ジコク</t>
    </rPh>
    <phoneticPr fontId="60"/>
  </si>
  <si>
    <t>車両</t>
    <rPh sb="0" eb="1">
      <t>クルマ</t>
    </rPh>
    <rPh sb="1" eb="2">
      <t>リョウ</t>
    </rPh>
    <phoneticPr fontId="60"/>
  </si>
  <si>
    <t xml:space="preserve">        出入り車両について</t>
    <rPh sb="8" eb="10">
      <t>デイ</t>
    </rPh>
    <rPh sb="11" eb="13">
      <t>シャリョウ</t>
    </rPh>
    <phoneticPr fontId="60"/>
  </si>
  <si>
    <t>団 体 名 ：</t>
    <phoneticPr fontId="1"/>
  </si>
  <si>
    <t>利用期日：</t>
    <phoneticPr fontId="1"/>
  </si>
  <si>
    <t>総利用人数</t>
    <rPh sb="0" eb="1">
      <t>ソウ</t>
    </rPh>
    <rPh sb="1" eb="3">
      <t>リヨウ</t>
    </rPh>
    <rPh sb="3" eb="5">
      <t>ニンズウ</t>
    </rPh>
    <phoneticPr fontId="60"/>
  </si>
  <si>
    <t>団体等所在地
又はご自宅住所</t>
    <rPh sb="0" eb="2">
      <t>ダンタイ</t>
    </rPh>
    <rPh sb="2" eb="3">
      <t>トウ</t>
    </rPh>
    <rPh sb="3" eb="6">
      <t>ショザイチ</t>
    </rPh>
    <rPh sb="7" eb="8">
      <t>マタ</t>
    </rPh>
    <phoneticPr fontId="6"/>
  </si>
  <si>
    <t>県</t>
  </si>
  <si>
    <t>西暦</t>
    <rPh sb="0" eb="2">
      <t>セイレキ</t>
    </rPh>
    <phoneticPr fontId="1"/>
  </si>
  <si>
    <t>無料</t>
    <rPh sb="0" eb="2">
      <t>ムリョウ</t>
    </rPh>
    <phoneticPr fontId="60"/>
  </si>
  <si>
    <t>野外調理</t>
    <rPh sb="0" eb="2">
      <t>ヤガイ</t>
    </rPh>
    <rPh sb="2" eb="4">
      <t>チョウリ</t>
    </rPh>
    <phoneticPr fontId="1"/>
  </si>
  <si>
    <t>朝</t>
    <rPh sb="0" eb="1">
      <t>アサ</t>
    </rPh>
    <phoneticPr fontId="1"/>
  </si>
  <si>
    <t>昼</t>
    <rPh sb="0" eb="1">
      <t>ヒル</t>
    </rPh>
    <phoneticPr fontId="1"/>
  </si>
  <si>
    <t>西暦</t>
    <rPh sb="0" eb="2">
      <t>セイレキ</t>
    </rPh>
    <phoneticPr fontId="1"/>
  </si>
  <si>
    <t>－</t>
    <phoneticPr fontId="1"/>
  </si>
  <si>
    <t>－</t>
    <phoneticPr fontId="1"/>
  </si>
  <si>
    <t>－</t>
    <phoneticPr fontId="1"/>
  </si>
  <si>
    <t>－</t>
    <phoneticPr fontId="1"/>
  </si>
  <si>
    <r>
      <t xml:space="preserve"> </t>
    </r>
    <r>
      <rPr>
        <sz val="13"/>
        <color rgb="FFFF6600"/>
        <rFont val="BIZ UDゴシック"/>
        <family val="3"/>
        <charset val="128"/>
      </rPr>
      <t>★</t>
    </r>
    <r>
      <rPr>
        <sz val="10.5"/>
        <rFont val="BIZ UDゴシック"/>
        <family val="3"/>
        <charset val="128"/>
      </rPr>
      <t xml:space="preserve"> </t>
    </r>
    <r>
      <rPr>
        <b/>
        <sz val="10.5"/>
        <color rgb="FFFF0000"/>
        <rFont val="BIZ UDゴシック"/>
        <family val="3"/>
        <charset val="128"/>
      </rPr>
      <t>『連絡責任者住所』</t>
    </r>
    <r>
      <rPr>
        <sz val="10.5"/>
        <rFont val="BIZ UDゴシック"/>
        <family val="3"/>
        <charset val="128"/>
      </rPr>
      <t>と</t>
    </r>
    <r>
      <rPr>
        <b/>
        <sz val="10.5"/>
        <color rgb="FFFF0000"/>
        <rFont val="BIZ UDゴシック"/>
        <family val="3"/>
        <charset val="128"/>
      </rPr>
      <t>『団体等所在地・ご自宅住所』</t>
    </r>
    <r>
      <rPr>
        <sz val="10.5"/>
        <rFont val="BIZ UDゴシック"/>
        <family val="3"/>
        <charset val="128"/>
      </rPr>
      <t>は、同じ場合もそれぞれ入力してください。</t>
    </r>
    <r>
      <rPr>
        <sz val="12"/>
        <color rgb="FFFF0000"/>
        <rFont val="HGP創英角ﾎﾟｯﾌﾟ体"/>
        <family val="3"/>
        <charset val="128"/>
      </rPr>
      <t/>
    </r>
    <rPh sb="4" eb="6">
      <t>レンラク</t>
    </rPh>
    <rPh sb="6" eb="9">
      <t>セキニンシャ</t>
    </rPh>
    <rPh sb="9" eb="11">
      <t>ジュウショ</t>
    </rPh>
    <phoneticPr fontId="1"/>
  </si>
  <si>
    <r>
      <t xml:space="preserve"> </t>
    </r>
    <r>
      <rPr>
        <sz val="13"/>
        <color rgb="FFFF6600"/>
        <rFont val="BIZ UDゴシック"/>
        <family val="3"/>
        <charset val="128"/>
      </rPr>
      <t>★</t>
    </r>
    <r>
      <rPr>
        <sz val="10.5"/>
        <rFont val="BIZ UDゴシック"/>
        <family val="3"/>
        <charset val="128"/>
      </rPr>
      <t xml:space="preserve"> 電話番号は、</t>
    </r>
    <r>
      <rPr>
        <b/>
        <sz val="10.5"/>
        <color rgb="FFFF0000"/>
        <rFont val="BIZ UDゴシック"/>
        <family val="3"/>
        <charset val="128"/>
      </rPr>
      <t>必ず『団体』『連絡責任者』のどちらも入力</t>
    </r>
    <r>
      <rPr>
        <sz val="10.5"/>
        <rFont val="BIZ UDゴシック"/>
        <family val="3"/>
        <charset val="128"/>
      </rPr>
      <t>してください。同じ番号の場合もそれぞれ入力してください。</t>
    </r>
    <rPh sb="3" eb="5">
      <t>デンワ</t>
    </rPh>
    <rPh sb="5" eb="7">
      <t>バンゴウ</t>
    </rPh>
    <rPh sb="9" eb="10">
      <t>カナラ</t>
    </rPh>
    <rPh sb="12" eb="14">
      <t>ダンタイ</t>
    </rPh>
    <rPh sb="16" eb="18">
      <t>レンラク</t>
    </rPh>
    <rPh sb="18" eb="21">
      <t>セキニンシャ</t>
    </rPh>
    <rPh sb="27" eb="29">
      <t>ニュウリョク</t>
    </rPh>
    <rPh sb="36" eb="37">
      <t>オナ</t>
    </rPh>
    <rPh sb="38" eb="40">
      <t>バンゴウ</t>
    </rPh>
    <rPh sb="41" eb="43">
      <t>バアイ</t>
    </rPh>
    <rPh sb="48" eb="50">
      <t>ニュウリョク</t>
    </rPh>
    <phoneticPr fontId="1"/>
  </si>
  <si>
    <t>日帰</t>
    <rPh sb="0" eb="2">
      <t>ヒガエ</t>
    </rPh>
    <phoneticPr fontId="60"/>
  </si>
  <si>
    <t>2歳児以下</t>
    <rPh sb="1" eb="3">
      <t>サイジ</t>
    </rPh>
    <rPh sb="3" eb="5">
      <t>イカ</t>
    </rPh>
    <phoneticPr fontId="60"/>
  </si>
  <si>
    <t>3歳-学齢前</t>
    <rPh sb="1" eb="2">
      <t>サイ</t>
    </rPh>
    <rPh sb="3" eb="5">
      <t>ガクレイ</t>
    </rPh>
    <rPh sb="5" eb="6">
      <t>マエ</t>
    </rPh>
    <phoneticPr fontId="60"/>
  </si>
  <si>
    <t>高校生</t>
    <rPh sb="0" eb="3">
      <t>コウコウセイ</t>
    </rPh>
    <phoneticPr fontId="60"/>
  </si>
  <si>
    <t>指導者等</t>
    <rPh sb="0" eb="2">
      <t>シドウ</t>
    </rPh>
    <rPh sb="2" eb="4">
      <t>シャトウ</t>
    </rPh>
    <phoneticPr fontId="60"/>
  </si>
  <si>
    <t>夜</t>
    <rPh sb="0" eb="1">
      <t>ヨル</t>
    </rPh>
    <phoneticPr fontId="60"/>
  </si>
  <si>
    <t>合　　計</t>
    <rPh sb="0" eb="1">
      <t>ゴウ</t>
    </rPh>
    <rPh sb="3" eb="4">
      <t>ケイ</t>
    </rPh>
    <phoneticPr fontId="60"/>
  </si>
  <si>
    <t>中学生</t>
  </si>
  <si>
    <t>食物アレルギー等の
対応希望者</t>
    <rPh sb="0" eb="2">
      <t>ショクモツ</t>
    </rPh>
    <rPh sb="7" eb="8">
      <t>トウ</t>
    </rPh>
    <rPh sb="10" eb="12">
      <t>タイオウ</t>
    </rPh>
    <rPh sb="12" eb="15">
      <t>キボウシャ</t>
    </rPh>
    <phoneticPr fontId="60"/>
  </si>
  <si>
    <t>忘れず記入</t>
    <phoneticPr fontId="1"/>
  </si>
  <si>
    <r>
      <t>　　　 とちぎ海浜自然の家食事予定表</t>
    </r>
    <r>
      <rPr>
        <b/>
        <sz val="18"/>
        <color theme="1"/>
        <rFont val="ＭＳ Ｐゴシック"/>
        <family val="3"/>
        <charset val="128"/>
        <scheme val="minor"/>
      </rPr>
      <t xml:space="preserve">　　 　　       </t>
    </r>
    <rPh sb="7" eb="9">
      <t>カイヒン</t>
    </rPh>
    <rPh sb="9" eb="11">
      <t>シゼン</t>
    </rPh>
    <rPh sb="12" eb="13">
      <t>イエ</t>
    </rPh>
    <rPh sb="13" eb="15">
      <t>ショクジ</t>
    </rPh>
    <rPh sb="15" eb="18">
      <t>ヨテイヒョウ</t>
    </rPh>
    <phoneticPr fontId="60"/>
  </si>
  <si>
    <t>アレルギー食</t>
    <rPh sb="5" eb="6">
      <t>ショク</t>
    </rPh>
    <phoneticPr fontId="1"/>
  </si>
  <si>
    <r>
      <rPr>
        <sz val="10"/>
        <rFont val="ＭＳ Ｐゴシック"/>
        <family val="3"/>
        <charset val="128"/>
      </rPr>
      <t>食 堂</t>
    </r>
    <r>
      <rPr>
        <sz val="9"/>
        <rFont val="ＭＳ Ｐゴシック"/>
        <family val="3"/>
        <charset val="128"/>
      </rPr>
      <t xml:space="preserve">
</t>
    </r>
    <r>
      <rPr>
        <sz val="8"/>
        <rFont val="ＭＳ Ｐゴシック"/>
        <family val="3"/>
        <charset val="128"/>
      </rPr>
      <t>（通常食）</t>
    </r>
    <rPh sb="0" eb="1">
      <t>ショク</t>
    </rPh>
    <rPh sb="2" eb="3">
      <t>ドウ</t>
    </rPh>
    <rPh sb="5" eb="8">
      <t>ツウジョウショク</t>
    </rPh>
    <phoneticPr fontId="60"/>
  </si>
  <si>
    <t>月</t>
    <rPh sb="0" eb="1">
      <t>ガツ</t>
    </rPh>
    <phoneticPr fontId="1"/>
  </si>
  <si>
    <t xml:space="preserve"> １ 予定食数を記入してください。
    アレルギー対応食数は、通常食
 　 数と分けて記入してください。
 ２ 野外調理で食堂を利用しない場
 　 合は、野外調理の欄に実施人数
    を記入してください。
 ３ 食数の増減があった場合は、速
 　 やかにご連絡ください。なお、
 　 直近の食数減は、減数前の料金
  　をいただく場合があります。</t>
    <rPh sb="3" eb="5">
      <t>ヨテイ</t>
    </rPh>
    <rPh sb="5" eb="6">
      <t>ショク</t>
    </rPh>
    <rPh sb="6" eb="7">
      <t>カズ</t>
    </rPh>
    <rPh sb="8" eb="10">
      <t>キニュウ</t>
    </rPh>
    <rPh sb="27" eb="29">
      <t>タイオウ</t>
    </rPh>
    <rPh sb="29" eb="30">
      <t>ショク</t>
    </rPh>
    <rPh sb="30" eb="31">
      <t>スウ</t>
    </rPh>
    <rPh sb="33" eb="36">
      <t>ツウジョウショク</t>
    </rPh>
    <rPh sb="40" eb="41">
      <t>スウ</t>
    </rPh>
    <rPh sb="42" eb="43">
      <t>ワ</t>
    </rPh>
    <rPh sb="45" eb="47">
      <t>キニュウ</t>
    </rPh>
    <rPh sb="66" eb="68">
      <t>リヨウ</t>
    </rPh>
    <rPh sb="79" eb="81">
      <t>ヤガイ</t>
    </rPh>
    <rPh sb="81" eb="83">
      <t>チョウリ</t>
    </rPh>
    <rPh sb="86" eb="88">
      <t>ジッシ</t>
    </rPh>
    <rPh sb="122" eb="123">
      <t>スミ</t>
    </rPh>
    <rPh sb="145" eb="147">
      <t>チョッキン</t>
    </rPh>
    <rPh sb="148" eb="149">
      <t>ショク</t>
    </rPh>
    <rPh sb="149" eb="150">
      <t>スウ</t>
    </rPh>
    <rPh sb="150" eb="151">
      <t>ゲン</t>
    </rPh>
    <rPh sb="153" eb="155">
      <t>ゲンスウ</t>
    </rPh>
    <rPh sb="155" eb="156">
      <t>マエ</t>
    </rPh>
    <rPh sb="157" eb="159">
      <t>リョウキン</t>
    </rPh>
    <rPh sb="168" eb="170">
      <t>バアイ</t>
    </rPh>
    <phoneticPr fontId="60"/>
  </si>
  <si>
    <r>
      <rPr>
        <sz val="10"/>
        <rFont val="ＭＳ Ｐゴシック"/>
        <family val="3"/>
        <charset val="128"/>
      </rPr>
      <t xml:space="preserve"> </t>
    </r>
    <r>
      <rPr>
        <sz val="10"/>
        <rFont val="ＭＳ ゴシック"/>
        <family val="3"/>
        <charset val="128"/>
      </rPr>
      <t xml:space="preserve">◎ 領収書等を分ける必要がある場合は、領収書ごとに記入してください。
</t>
    </r>
    <r>
      <rPr>
        <sz val="10"/>
        <rFont val="ＭＳ Ｐゴシック"/>
        <family val="3"/>
        <charset val="128"/>
      </rPr>
      <t xml:space="preserve"> </t>
    </r>
    <r>
      <rPr>
        <sz val="10"/>
        <rFont val="ＭＳ ゴシック"/>
        <family val="3"/>
        <charset val="128"/>
      </rPr>
      <t xml:space="preserve">◎ 宛名が団体名と同じで良いときは「団体名と同じ」の（　）に○を記入
 　 し、必要事項を記入してください。
                                      ※印の欄は本所が記入します。
 </t>
    </r>
    <r>
      <rPr>
        <b/>
        <sz val="11"/>
        <rFont val="ＭＳ Ｐゴシック"/>
        <family val="3"/>
        <charset val="128"/>
      </rPr>
      <t>食堂　TEL　０２９１－３７－４０１５</t>
    </r>
    <r>
      <rPr>
        <sz val="10"/>
        <rFont val="ＭＳ ゴシック"/>
        <family val="3"/>
        <charset val="128"/>
      </rPr>
      <t>　　　　　　　　　　　　　　　　</t>
    </r>
    <rPh sb="3" eb="6">
      <t>リョウシュウショ</t>
    </rPh>
    <rPh sb="6" eb="7">
      <t>トウ</t>
    </rPh>
    <rPh sb="8" eb="9">
      <t>ワ</t>
    </rPh>
    <rPh sb="11" eb="13">
      <t>ヒツヨウ</t>
    </rPh>
    <rPh sb="16" eb="18">
      <t>バアイ</t>
    </rPh>
    <rPh sb="20" eb="23">
      <t>リョウシュウショ</t>
    </rPh>
    <rPh sb="26" eb="28">
      <t>キニュウ</t>
    </rPh>
    <rPh sb="69" eb="71">
      <t>キニュウ</t>
    </rPh>
    <phoneticPr fontId="60"/>
  </si>
  <si>
    <t>※アレルギー対応食希望者</t>
    <rPh sb="6" eb="8">
      <t>タイオウ</t>
    </rPh>
    <rPh sb="8" eb="9">
      <t>ショク</t>
    </rPh>
    <rPh sb="9" eb="12">
      <t>キボウシャ</t>
    </rPh>
    <phoneticPr fontId="1"/>
  </si>
  <si>
    <t xml:space="preserve"> [ 食 事 予 定 数 ]　</t>
    <rPh sb="11" eb="12">
      <t>スウ</t>
    </rPh>
    <phoneticPr fontId="1"/>
  </si>
  <si>
    <t xml:space="preserve"> [ 精算関係記入欄 ]　</t>
    <phoneticPr fontId="60"/>
  </si>
  <si>
    <r>
      <t xml:space="preserve">
</t>
    </r>
    <r>
      <rPr>
        <sz val="10.5"/>
        <rFont val="HGP創英角ｺﾞｼｯｸUB"/>
        <family val="3"/>
        <charset val="128"/>
      </rPr>
      <t>年齢</t>
    </r>
    <r>
      <rPr>
        <sz val="9"/>
        <rFont val="HGP創英角ｺﾞｼｯｸUB"/>
        <family val="3"/>
        <charset val="128"/>
      </rPr>
      <t xml:space="preserve">
</t>
    </r>
    <r>
      <rPr>
        <sz val="8"/>
        <rFont val="HGP創英角ｺﾞｼｯｸUB"/>
        <family val="3"/>
        <charset val="128"/>
      </rPr>
      <t>学生は
学 年</t>
    </r>
    <rPh sb="1" eb="3">
      <t>ネンレイ</t>
    </rPh>
    <rPh sb="5" eb="7">
      <t>ガクセイ</t>
    </rPh>
    <rPh sb="9" eb="10">
      <t>マナブ</t>
    </rPh>
    <rPh sb="11" eb="12">
      <t>トシ</t>
    </rPh>
    <phoneticPr fontId="60"/>
  </si>
  <si>
    <t>アレルギー食希望</t>
    <rPh sb="5" eb="6">
      <t>ショク</t>
    </rPh>
    <rPh sb="6" eb="8">
      <t>キボウ</t>
    </rPh>
    <phoneticPr fontId="1"/>
  </si>
  <si>
    <r>
      <t xml:space="preserve">※ </t>
    </r>
    <r>
      <rPr>
        <sz val="8"/>
        <color rgb="FFFF0000"/>
        <rFont val="HGS創英角ｺﾞｼｯｸUB"/>
        <family val="3"/>
        <charset val="128"/>
      </rPr>
      <t>アレルギー食</t>
    </r>
    <r>
      <rPr>
        <sz val="8"/>
        <rFont val="HGS創英角ｺﾞｼｯｸUB"/>
        <family val="3"/>
        <charset val="128"/>
      </rPr>
      <t>希望者は
　 本人欄に</t>
    </r>
    <r>
      <rPr>
        <sz val="8"/>
        <color rgb="FFFF0000"/>
        <rFont val="HGS創英角ｺﾞｼｯｸUB"/>
        <family val="3"/>
        <charset val="128"/>
      </rPr>
      <t>必ず</t>
    </r>
    <r>
      <rPr>
        <sz val="8"/>
        <color theme="1"/>
        <rFont val="HGS創英角ｺﾞｼｯｸUB"/>
        <family val="3"/>
        <charset val="128"/>
      </rPr>
      <t>記入。
※ その他、施設に伝えて
　 おきたいことなど、記
　 入してください。</t>
    </r>
    <rPh sb="7" eb="8">
      <t>ショク</t>
    </rPh>
    <rPh sb="8" eb="10">
      <t>キボウ</t>
    </rPh>
    <rPh sb="10" eb="11">
      <t>モノ</t>
    </rPh>
    <rPh sb="15" eb="17">
      <t>ホンニン</t>
    </rPh>
    <rPh sb="17" eb="18">
      <t>ラン</t>
    </rPh>
    <rPh sb="19" eb="20">
      <t>カナラ</t>
    </rPh>
    <rPh sb="21" eb="23">
      <t>キニュウ</t>
    </rPh>
    <rPh sb="29" eb="30">
      <t>タ</t>
    </rPh>
    <rPh sb="31" eb="33">
      <t>シセツ</t>
    </rPh>
    <rPh sb="34" eb="35">
      <t>ツタ</t>
    </rPh>
    <rPh sb="49" eb="50">
      <t>キ</t>
    </rPh>
    <rPh sb="53" eb="54">
      <t>ニュウ</t>
    </rPh>
    <phoneticPr fontId="60"/>
  </si>
  <si>
    <t>〔１〕</t>
    <phoneticPr fontId="1"/>
  </si>
  <si>
    <t>〔２〕</t>
    <phoneticPr fontId="1"/>
  </si>
  <si>
    <t>〔３〕</t>
    <phoneticPr fontId="1"/>
  </si>
  <si>
    <t>〔４〕</t>
    <phoneticPr fontId="1"/>
  </si>
  <si>
    <t>〔５〕</t>
    <phoneticPr fontId="1"/>
  </si>
  <si>
    <t>〔６〕</t>
    <phoneticPr fontId="1"/>
  </si>
  <si>
    <r>
      <t xml:space="preserve"> </t>
    </r>
    <r>
      <rPr>
        <sz val="13"/>
        <color rgb="FFFF6600"/>
        <rFont val="BIZ UDゴシック"/>
        <family val="3"/>
        <charset val="128"/>
      </rPr>
      <t>★</t>
    </r>
    <r>
      <rPr>
        <sz val="10.5"/>
        <color rgb="FFFF0000"/>
        <rFont val="BIZ UDゴシック"/>
        <family val="3"/>
        <charset val="128"/>
      </rPr>
      <t xml:space="preserve"> </t>
    </r>
    <r>
      <rPr>
        <b/>
        <sz val="10.5"/>
        <color rgb="FFFF0000"/>
        <rFont val="BIZ UDゴシック"/>
        <family val="3"/>
        <charset val="128"/>
      </rPr>
      <t>『代表者名』</t>
    </r>
    <r>
      <rPr>
        <b/>
        <sz val="10.5"/>
        <rFont val="BIZ UDゴシック"/>
        <family val="3"/>
        <charset val="128"/>
      </rPr>
      <t>と</t>
    </r>
    <r>
      <rPr>
        <b/>
        <sz val="10.5"/>
        <color rgb="FFFF0000"/>
        <rFont val="BIZ UDゴシック"/>
        <family val="3"/>
        <charset val="128"/>
      </rPr>
      <t>『連絡責任者名』</t>
    </r>
    <r>
      <rPr>
        <sz val="10.5"/>
        <rFont val="BIZ UDゴシック"/>
        <family val="3"/>
        <charset val="128"/>
      </rPr>
      <t>は、同じ場合もそれぞれ入力してください。ふりがなは自動入力されますが、うまく表示されない場合は</t>
    </r>
    <r>
      <rPr>
        <b/>
        <sz val="10.5"/>
        <color rgb="FFFF0000"/>
        <rFont val="BIZ UDゴシック"/>
        <family val="3"/>
        <charset val="128"/>
      </rPr>
      <t>ひらがなで入力</t>
    </r>
    <r>
      <rPr>
        <sz val="10.5"/>
        <rFont val="BIZ UDゴシック"/>
        <family val="3"/>
        <charset val="128"/>
      </rPr>
      <t>してください。</t>
    </r>
    <rPh sb="4" eb="7">
      <t>ダイヒョウシャ</t>
    </rPh>
    <rPh sb="7" eb="8">
      <t>メイ</t>
    </rPh>
    <rPh sb="11" eb="13">
      <t>レンラク</t>
    </rPh>
    <rPh sb="13" eb="16">
      <t>セキニンシャ</t>
    </rPh>
    <rPh sb="16" eb="17">
      <t>メイ</t>
    </rPh>
    <rPh sb="43" eb="45">
      <t>ジドウ</t>
    </rPh>
    <rPh sb="45" eb="47">
      <t>ニュウリョク</t>
    </rPh>
    <rPh sb="56" eb="58">
      <t>ヒョウジ</t>
    </rPh>
    <rPh sb="62" eb="64">
      <t>バアイ</t>
    </rPh>
    <rPh sb="70" eb="72">
      <t>ニュウリョク</t>
    </rPh>
    <phoneticPr fontId="1"/>
  </si>
  <si>
    <t>アレ</t>
    <phoneticPr fontId="1"/>
  </si>
  <si>
    <t>通常食</t>
    <rPh sb="0" eb="2">
      <t>ツウジョウ</t>
    </rPh>
    <rPh sb="2" eb="3">
      <t>ショク</t>
    </rPh>
    <phoneticPr fontId="1"/>
  </si>
  <si>
    <t>　　   　 とちぎ海浜自然の家施設利用料等精算予定表</t>
    <phoneticPr fontId="1"/>
  </si>
  <si>
    <t>合　計</t>
    <rPh sb="0" eb="1">
      <t>ゴウ</t>
    </rPh>
    <rPh sb="2" eb="3">
      <t>ケイ</t>
    </rPh>
    <phoneticPr fontId="1"/>
  </si>
  <si>
    <r>
      <rPr>
        <sz val="13"/>
        <color rgb="FFFF0000"/>
        <rFont val="BIZ UDゴシック"/>
        <family val="3"/>
        <charset val="128"/>
      </rPr>
      <t xml:space="preserve"> </t>
    </r>
    <r>
      <rPr>
        <sz val="13"/>
        <color rgb="FFFF6600"/>
        <rFont val="BIZ UDゴシック"/>
        <family val="3"/>
        <charset val="128"/>
      </rPr>
      <t>★</t>
    </r>
    <r>
      <rPr>
        <sz val="10.5"/>
        <color rgb="FFFF0000"/>
        <rFont val="BIZ UDゴシック"/>
        <family val="3"/>
        <charset val="128"/>
      </rPr>
      <t xml:space="preserve"> </t>
    </r>
    <r>
      <rPr>
        <b/>
        <sz val="10.5"/>
        <color rgb="FFFF0000"/>
        <rFont val="BIZ UDゴシック"/>
        <family val="3"/>
        <charset val="128"/>
      </rPr>
      <t>『利用期日』</t>
    </r>
    <r>
      <rPr>
        <sz val="10.5"/>
        <rFont val="BIZ UDゴシック"/>
        <family val="3"/>
        <charset val="128"/>
      </rPr>
      <t>の時間の欄は１時間単位で入力してください。
 　　 【例】</t>
    </r>
    <r>
      <rPr>
        <b/>
        <sz val="10.5"/>
        <color theme="8" tint="-0.249977111117893"/>
        <rFont val="BIZ UDゴシック"/>
        <family val="3"/>
        <charset val="128"/>
      </rPr>
      <t>９：３０</t>
    </r>
    <r>
      <rPr>
        <sz val="10.5"/>
        <rFont val="BIZ UDゴシック"/>
        <family val="3"/>
        <charset val="128"/>
      </rPr>
      <t>入所、</t>
    </r>
    <r>
      <rPr>
        <b/>
        <sz val="10.5"/>
        <color theme="8" tint="-0.249977111117893"/>
        <rFont val="BIZ UDゴシック"/>
        <family val="3"/>
        <charset val="128"/>
      </rPr>
      <t>１３：３０</t>
    </r>
    <r>
      <rPr>
        <sz val="10.5"/>
        <rFont val="BIZ UDゴシック"/>
        <family val="3"/>
        <charset val="128"/>
      </rPr>
      <t>退所予定の場合 → 『 　月　日（　）</t>
    </r>
    <r>
      <rPr>
        <b/>
        <sz val="10.5"/>
        <color rgb="FFFF0000"/>
        <rFont val="BIZ UDゴシック"/>
        <family val="3"/>
        <charset val="128"/>
      </rPr>
      <t xml:space="preserve">９時 </t>
    </r>
    <r>
      <rPr>
        <sz val="10.5"/>
        <rFont val="BIZ UDゴシック"/>
        <family val="3"/>
        <charset val="128"/>
      </rPr>
      <t>～　月　日（　）</t>
    </r>
    <r>
      <rPr>
        <b/>
        <sz val="10.5"/>
        <color rgb="FFFF0000"/>
        <rFont val="BIZ UDゴシック"/>
        <family val="3"/>
        <charset val="128"/>
      </rPr>
      <t xml:space="preserve">１４時 </t>
    </r>
    <r>
      <rPr>
        <sz val="10.5"/>
        <rFont val="BIZ UDゴシック"/>
        <family val="3"/>
        <charset val="128"/>
      </rPr>
      <t>』　</t>
    </r>
    <rPh sb="4" eb="6">
      <t>リヨウ</t>
    </rPh>
    <rPh sb="6" eb="8">
      <t>キジツ</t>
    </rPh>
    <rPh sb="10" eb="12">
      <t>ジカン</t>
    </rPh>
    <rPh sb="13" eb="14">
      <t>ラン</t>
    </rPh>
    <rPh sb="16" eb="18">
      <t>ジカン</t>
    </rPh>
    <rPh sb="18" eb="20">
      <t>タンイ</t>
    </rPh>
    <rPh sb="21" eb="23">
      <t>ニュウリョク</t>
    </rPh>
    <rPh sb="36" eb="37">
      <t>レイ</t>
    </rPh>
    <rPh sb="42" eb="44">
      <t>ニュウショ</t>
    </rPh>
    <rPh sb="50" eb="52">
      <t>タイショ</t>
    </rPh>
    <rPh sb="52" eb="54">
      <t>ヨテイ</t>
    </rPh>
    <rPh sb="55" eb="57">
      <t>バアイ</t>
    </rPh>
    <rPh sb="63" eb="64">
      <t>ガツ</t>
    </rPh>
    <rPh sb="65" eb="66">
      <t>ニチ</t>
    </rPh>
    <rPh sb="70" eb="71">
      <t>ジ</t>
    </rPh>
    <rPh sb="74" eb="75">
      <t>ガツ</t>
    </rPh>
    <rPh sb="76" eb="77">
      <t>ニチ</t>
    </rPh>
    <rPh sb="82" eb="83">
      <t>ジ</t>
    </rPh>
    <phoneticPr fontId="1"/>
  </si>
  <si>
    <t>食品・活動物品発注依頼書１枚目の記載内容分も合計した金額 →</t>
    <rPh sb="0" eb="2">
      <t>ショクヒン</t>
    </rPh>
    <rPh sb="3" eb="5">
      <t>カツドウ</t>
    </rPh>
    <rPh sb="5" eb="7">
      <t>ブッピン</t>
    </rPh>
    <rPh sb="7" eb="9">
      <t>ハッチュウ</t>
    </rPh>
    <rPh sb="9" eb="12">
      <t>イライショ</t>
    </rPh>
    <rPh sb="13" eb="15">
      <t>マイメ</t>
    </rPh>
    <rPh sb="16" eb="18">
      <t>キサイ</t>
    </rPh>
    <rPh sb="18" eb="20">
      <t>ナイヨウ</t>
    </rPh>
    <rPh sb="20" eb="21">
      <t>ブン</t>
    </rPh>
    <rPh sb="22" eb="24">
      <t>ゴウケイ</t>
    </rPh>
    <rPh sb="26" eb="28">
      <t>キンガク</t>
    </rPh>
    <phoneticPr fontId="1"/>
  </si>
  <si>
    <r>
      <t>高校生等</t>
    </r>
    <r>
      <rPr>
        <sz val="10"/>
        <color theme="1"/>
        <rFont val="HGS創英角ｺﾞｼｯｸUB"/>
        <family val="3"/>
        <charset val="128"/>
      </rPr>
      <t>（～18才）</t>
    </r>
    <rPh sb="0" eb="3">
      <t>コウコウセイ</t>
    </rPh>
    <rPh sb="3" eb="4">
      <t>ナド</t>
    </rPh>
    <rPh sb="8" eb="9">
      <t>サイ</t>
    </rPh>
    <phoneticPr fontId="60"/>
  </si>
  <si>
    <r>
      <t>一　般</t>
    </r>
    <r>
      <rPr>
        <sz val="10"/>
        <color theme="1"/>
        <rFont val="HGS創英角ｺﾞｼｯｸUB"/>
        <family val="3"/>
        <charset val="128"/>
      </rPr>
      <t>（19才～）</t>
    </r>
    <rPh sb="0" eb="1">
      <t>イチ</t>
    </rPh>
    <rPh sb="2" eb="3">
      <t>ハン</t>
    </rPh>
    <rPh sb="6" eb="7">
      <t>サイ</t>
    </rPh>
    <phoneticPr fontId="60"/>
  </si>
  <si>
    <r>
      <rPr>
        <sz val="12"/>
        <color rgb="FF000000"/>
        <rFont val="ＭＳ 明朝"/>
        <family val="1"/>
        <charset val="128"/>
      </rPr>
      <t>１　本表の※の欄は、本所で記入します。
２　シーツ（リネン）について　
　　　・１セット（シーツ２枚、枕カバー１枚）につき</t>
    </r>
    <r>
      <rPr>
        <b/>
        <sz val="12"/>
        <color rgb="FF000000"/>
        <rFont val="HGPｺﾞｼｯｸM"/>
        <family val="3"/>
        <charset val="128"/>
      </rPr>
      <t>２００円</t>
    </r>
    <r>
      <rPr>
        <sz val="12"/>
        <color rgb="FF000000"/>
        <rFont val="ＭＳ 明朝"/>
        <family val="1"/>
        <charset val="128"/>
      </rPr>
      <t>になります。
　　　・１つのベッドまたは布団で、１セットのリネンが必要となります。
  　　・小さなお子様が添い寝をする場合は、数に含める必要はありません。
  　　・必要なシーツのセット数を御記入ください。
３　利用料金の合計が概ね</t>
    </r>
    <r>
      <rPr>
        <sz val="12"/>
        <color rgb="FFFF0000"/>
        <rFont val="ＭＳ 明朝"/>
        <family val="1"/>
        <charset val="128"/>
      </rPr>
      <t>２０万円</t>
    </r>
    <r>
      <rPr>
        <sz val="12"/>
        <color rgb="FF000000"/>
        <rFont val="ＭＳ 明朝"/>
        <family val="1"/>
        <charset val="128"/>
      </rPr>
      <t>未満の場合は、現金でのお支払いをお願いします。
４　領収書（</t>
    </r>
    <r>
      <rPr>
        <b/>
        <sz val="12"/>
        <color rgb="FF000000"/>
        <rFont val="HGPｺﾞｼｯｸM"/>
        <family val="3"/>
        <charset val="128"/>
      </rPr>
      <t>施設利用料・光熱水費・リネン料</t>
    </r>
    <r>
      <rPr>
        <sz val="12"/>
        <color rgb="FF000000"/>
        <rFont val="ＭＳ 明朝"/>
        <family val="1"/>
        <charset val="128"/>
      </rPr>
      <t>）は、原則として一団体一枚となります。
　　特に領収書の分割を希望される場合は、上記の２段目以降の欄を御利用ください。
　　なお、</t>
    </r>
    <r>
      <rPr>
        <b/>
        <sz val="12"/>
        <color rgb="FF000000"/>
        <rFont val="HGPｺﾞｼｯｸM"/>
        <family val="3"/>
        <charset val="128"/>
      </rPr>
      <t>食事料および食材、活動物品代</t>
    </r>
    <r>
      <rPr>
        <sz val="12"/>
        <color rgb="FF000000"/>
        <rFont val="ＭＳ 明朝"/>
        <family val="1"/>
        <charset val="128"/>
      </rPr>
      <t>については、別会計になります。</t>
    </r>
    <r>
      <rPr>
        <sz val="12"/>
        <color rgb="FF000000"/>
        <rFont val="ＭＳ ゴシック"/>
        <family val="3"/>
        <charset val="128"/>
      </rPr>
      <t xml:space="preserve">
</t>
    </r>
    <phoneticPr fontId="1"/>
  </si>
  <si>
    <t xml:space="preserve">
</t>
    <phoneticPr fontId="1"/>
  </si>
  <si>
    <t>その他</t>
    <phoneticPr fontId="60"/>
  </si>
  <si>
    <t>実利用者</t>
    <rPh sb="0" eb="1">
      <t>ジツ</t>
    </rPh>
    <rPh sb="1" eb="4">
      <t>リヨウシャ</t>
    </rPh>
    <phoneticPr fontId="60"/>
  </si>
  <si>
    <t>その他</t>
    <phoneticPr fontId="60"/>
  </si>
  <si>
    <t>食事数</t>
    <rPh sb="0" eb="2">
      <t>ショクジ</t>
    </rPh>
    <rPh sb="2" eb="3">
      <t>スウ</t>
    </rPh>
    <phoneticPr fontId="60"/>
  </si>
  <si>
    <t>その他</t>
    <phoneticPr fontId="60"/>
  </si>
  <si>
    <t>女</t>
    <rPh sb="0" eb="1">
      <t>オンナ</t>
    </rPh>
    <phoneticPr fontId="60"/>
  </si>
  <si>
    <t>男</t>
    <rPh sb="0" eb="1">
      <t>オトコ</t>
    </rPh>
    <phoneticPr fontId="60"/>
  </si>
  <si>
    <t>六日目</t>
    <rPh sb="0" eb="3">
      <t>ムイカメ</t>
    </rPh>
    <phoneticPr fontId="60"/>
  </si>
  <si>
    <t>五日目</t>
    <rPh sb="0" eb="3">
      <t>イツカメ</t>
    </rPh>
    <phoneticPr fontId="60"/>
  </si>
  <si>
    <t>四日目</t>
    <rPh sb="0" eb="3">
      <t>ヨッカメ</t>
    </rPh>
    <phoneticPr fontId="60"/>
  </si>
  <si>
    <t>三日目</t>
    <rPh sb="0" eb="3">
      <t>ミッカメ</t>
    </rPh>
    <phoneticPr fontId="60"/>
  </si>
  <si>
    <t>二日目</t>
    <rPh sb="0" eb="3">
      <t>フツカメ</t>
    </rPh>
    <phoneticPr fontId="60"/>
  </si>
  <si>
    <t>一日目</t>
    <rPh sb="0" eb="2">
      <t>イチニチ</t>
    </rPh>
    <rPh sb="2" eb="3">
      <t>メ</t>
    </rPh>
    <phoneticPr fontId="60"/>
  </si>
  <si>
    <t>実利用</t>
    <rPh sb="0" eb="1">
      <t>ジツ</t>
    </rPh>
    <rPh sb="1" eb="3">
      <t>リヨウ</t>
    </rPh>
    <phoneticPr fontId="60"/>
  </si>
  <si>
    <t>６日目</t>
    <rPh sb="0" eb="2">
      <t>ムイカ</t>
    </rPh>
    <rPh sb="2" eb="3">
      <t>メ</t>
    </rPh>
    <phoneticPr fontId="60"/>
  </si>
  <si>
    <t>５日目</t>
    <rPh sb="0" eb="2">
      <t>イツカ</t>
    </rPh>
    <rPh sb="2" eb="3">
      <t>メ</t>
    </rPh>
    <phoneticPr fontId="60"/>
  </si>
  <si>
    <t>４日目</t>
    <phoneticPr fontId="60"/>
  </si>
  <si>
    <t>集計表</t>
    <rPh sb="0" eb="3">
      <t>シュウケイヒョウ</t>
    </rPh>
    <phoneticPr fontId="60"/>
  </si>
  <si>
    <t>使用数（１セット）</t>
    <rPh sb="0" eb="3">
      <t>シヨウスウ</t>
    </rPh>
    <phoneticPr fontId="60"/>
  </si>
  <si>
    <t>リネン</t>
    <phoneticPr fontId="60"/>
  </si>
  <si>
    <t>宿泊を伴う利用（１人１泊）</t>
    <rPh sb="0" eb="2">
      <t>シュクハク</t>
    </rPh>
    <rPh sb="3" eb="4">
      <t>トモナ</t>
    </rPh>
    <rPh sb="5" eb="7">
      <t>リヨウ</t>
    </rPh>
    <rPh sb="9" eb="10">
      <t>ニン</t>
    </rPh>
    <rPh sb="11" eb="12">
      <t>ハク</t>
    </rPh>
    <phoneticPr fontId="60"/>
  </si>
  <si>
    <t>光熱水費</t>
    <rPh sb="0" eb="4">
      <t>コウネツスイヒ</t>
    </rPh>
    <phoneticPr fontId="60"/>
  </si>
  <si>
    <t>その他の者</t>
    <rPh sb="2" eb="3">
      <t>タ</t>
    </rPh>
    <rPh sb="4" eb="5">
      <t>モノ</t>
    </rPh>
    <phoneticPr fontId="60"/>
  </si>
  <si>
    <t>高校生等</t>
    <rPh sb="0" eb="3">
      <t>コウコウセイ</t>
    </rPh>
    <rPh sb="3" eb="4">
      <t>トウ</t>
    </rPh>
    <phoneticPr fontId="60"/>
  </si>
  <si>
    <t>２時間
１人</t>
    <rPh sb="5" eb="6">
      <t>ニン</t>
    </rPh>
    <phoneticPr fontId="60"/>
  </si>
  <si>
    <t>中学生以下（３歳以上）</t>
    <rPh sb="0" eb="3">
      <t>チュウガクセイ</t>
    </rPh>
    <rPh sb="3" eb="5">
      <t>イカ</t>
    </rPh>
    <rPh sb="7" eb="8">
      <t>サイ</t>
    </rPh>
    <rPh sb="8" eb="10">
      <t>イジョウ</t>
    </rPh>
    <phoneticPr fontId="60"/>
  </si>
  <si>
    <t>プール</t>
    <phoneticPr fontId="60"/>
  </si>
  <si>
    <t>高校生等</t>
    <rPh sb="0" eb="4">
      <t>コウコウセイナド</t>
    </rPh>
    <phoneticPr fontId="60"/>
  </si>
  <si>
    <t>２歳以下</t>
    <rPh sb="1" eb="4">
      <t>サイイカ</t>
    </rPh>
    <phoneticPr fontId="60"/>
  </si>
  <si>
    <t>3歳以上就学前(内数)</t>
    <rPh sb="1" eb="2">
      <t>サイ</t>
    </rPh>
    <rPh sb="2" eb="4">
      <t>イジョウ</t>
    </rPh>
    <rPh sb="4" eb="7">
      <t>シュウガクマエ</t>
    </rPh>
    <rPh sb="8" eb="9">
      <t>ウチ</t>
    </rPh>
    <rPh sb="9" eb="10">
      <t>スウ</t>
    </rPh>
    <phoneticPr fontId="60"/>
  </si>
  <si>
    <t>1人1日</t>
    <rPh sb="1" eb="2">
      <t>ニン</t>
    </rPh>
    <rPh sb="3" eb="4">
      <t>ニチ</t>
    </rPh>
    <phoneticPr fontId="60"/>
  </si>
  <si>
    <t>小学生以下</t>
    <phoneticPr fontId="60"/>
  </si>
  <si>
    <t>宿泊を伴わない利用</t>
    <rPh sb="0" eb="2">
      <t>シュクハク</t>
    </rPh>
    <rPh sb="3" eb="4">
      <t>トモナ</t>
    </rPh>
    <rPh sb="7" eb="9">
      <t>リヨウ</t>
    </rPh>
    <phoneticPr fontId="60"/>
  </si>
  <si>
    <t>生活館及びロッジ
（テント）</t>
    <rPh sb="0" eb="2">
      <t>セイカツ</t>
    </rPh>
    <rPh sb="2" eb="3">
      <t>カン</t>
    </rPh>
    <rPh sb="3" eb="4">
      <t>オヨ</t>
    </rPh>
    <phoneticPr fontId="60"/>
  </si>
  <si>
    <t>その他の者</t>
    <phoneticPr fontId="60"/>
  </si>
  <si>
    <t>１　人　１　泊</t>
  </si>
  <si>
    <t>生活館及びロッジ（テント）</t>
    <phoneticPr fontId="60"/>
  </si>
  <si>
    <t>宿泊を伴う利用</t>
    <rPh sb="0" eb="2">
      <t>シュクハク</t>
    </rPh>
    <rPh sb="3" eb="4">
      <t>トモナ</t>
    </rPh>
    <rPh sb="5" eb="7">
      <t>リヨウ</t>
    </rPh>
    <phoneticPr fontId="60"/>
  </si>
  <si>
    <t>県外の利用</t>
    <phoneticPr fontId="60"/>
  </si>
  <si>
    <t>中学生以下（３歳以上）</t>
    <rPh sb="0" eb="3">
      <t>チュウガクセイ</t>
    </rPh>
    <rPh sb="3" eb="5">
      <t>イカ</t>
    </rPh>
    <rPh sb="7" eb="10">
      <t>サイイジョウ</t>
    </rPh>
    <phoneticPr fontId="60"/>
  </si>
  <si>
    <t>栃木県内の利用</t>
    <phoneticPr fontId="60"/>
  </si>
  <si>
    <t>利用数計</t>
    <rPh sb="0" eb="2">
      <t>リヨウ</t>
    </rPh>
    <rPh sb="2" eb="3">
      <t>スウ</t>
    </rPh>
    <rPh sb="3" eb="4">
      <t>ケイ</t>
    </rPh>
    <phoneticPr fontId="60"/>
  </si>
  <si>
    <t>6日目</t>
    <rPh sb="1" eb="2">
      <t>ニチ</t>
    </rPh>
    <rPh sb="2" eb="3">
      <t>メ</t>
    </rPh>
    <phoneticPr fontId="60"/>
  </si>
  <si>
    <t>5日目</t>
    <rPh sb="1" eb="2">
      <t>ニチ</t>
    </rPh>
    <rPh sb="2" eb="3">
      <t>メ</t>
    </rPh>
    <phoneticPr fontId="60"/>
  </si>
  <si>
    <t>4日目</t>
    <rPh sb="1" eb="2">
      <t>ニチ</t>
    </rPh>
    <rPh sb="2" eb="3">
      <t>メ</t>
    </rPh>
    <phoneticPr fontId="60"/>
  </si>
  <si>
    <t>3日目</t>
    <rPh sb="1" eb="2">
      <t>ニチ</t>
    </rPh>
    <rPh sb="2" eb="3">
      <t>メ</t>
    </rPh>
    <phoneticPr fontId="60"/>
  </si>
  <si>
    <t>2日目</t>
    <rPh sb="1" eb="2">
      <t>ニチ</t>
    </rPh>
    <rPh sb="2" eb="3">
      <t>メ</t>
    </rPh>
    <phoneticPr fontId="60"/>
  </si>
  <si>
    <t>1日目</t>
    <rPh sb="1" eb="2">
      <t>ニチ</t>
    </rPh>
    <rPh sb="2" eb="3">
      <t>メ</t>
    </rPh>
    <phoneticPr fontId="60"/>
  </si>
  <si>
    <t>使用料
の　額</t>
    <rPh sb="0" eb="3">
      <t>シヨウリョウ</t>
    </rPh>
    <rPh sb="6" eb="7">
      <t>ガク</t>
    </rPh>
    <phoneticPr fontId="60"/>
  </si>
  <si>
    <t>単位</t>
    <rPh sb="0" eb="2">
      <t>タンイ</t>
    </rPh>
    <phoneticPr fontId="60"/>
  </si>
  <si>
    <t>区　　　　　　分</t>
    <rPh sb="0" eb="1">
      <t>ク</t>
    </rPh>
    <rPh sb="7" eb="8">
      <t>ブン</t>
    </rPh>
    <phoneticPr fontId="60"/>
  </si>
  <si>
    <t>No.</t>
  </si>
  <si>
    <t>利 用 数 記 載 表</t>
    <phoneticPr fontId="60"/>
  </si>
  <si>
    <t>退所</t>
    <rPh sb="0" eb="2">
      <t>タイショ</t>
    </rPh>
    <phoneticPr fontId="60"/>
  </si>
  <si>
    <t>予定している
交 通 手 段</t>
    <rPh sb="0" eb="2">
      <t>ヨテイ</t>
    </rPh>
    <rPh sb="7" eb="8">
      <t>コウ</t>
    </rPh>
    <rPh sb="9" eb="10">
      <t>ツウ</t>
    </rPh>
    <rPh sb="11" eb="12">
      <t>テ</t>
    </rPh>
    <rPh sb="13" eb="14">
      <t>ダン</t>
    </rPh>
    <phoneticPr fontId="6"/>
  </si>
  <si>
    <t xml:space="preserve">バ ス  </t>
    <phoneticPr fontId="1"/>
  </si>
  <si>
    <t xml:space="preserve">自家用車  </t>
    <phoneticPr fontId="1"/>
  </si>
  <si>
    <t>例2</t>
    <rPh sb="0" eb="1">
      <t>レイ</t>
    </rPh>
    <phoneticPr fontId="60"/>
  </si>
  <si>
    <t>例1</t>
    <rPh sb="0" eb="1">
      <t>レイ</t>
    </rPh>
    <phoneticPr fontId="60"/>
  </si>
  <si>
    <t>○</t>
    <phoneticPr fontId="1"/>
  </si>
  <si>
    <t>名簿入力</t>
    <rPh sb="0" eb="2">
      <t>メイボ</t>
    </rPh>
    <rPh sb="2" eb="4">
      <t>ニュウリョク</t>
    </rPh>
    <phoneticPr fontId="1"/>
  </si>
  <si>
    <t>利用計画書</t>
    <rPh sb="0" eb="2">
      <t>リヨウ</t>
    </rPh>
    <rPh sb="2" eb="4">
      <t>ケイカク</t>
    </rPh>
    <rPh sb="4" eb="5">
      <t>ショ</t>
    </rPh>
    <phoneticPr fontId="1"/>
  </si>
  <si>
    <t>栃　木　花　子</t>
    <rPh sb="0" eb="1">
      <t>トチ</t>
    </rPh>
    <rPh sb="2" eb="3">
      <t>キ</t>
    </rPh>
    <rPh sb="4" eb="5">
      <t>ハナ</t>
    </rPh>
    <rPh sb="6" eb="7">
      <t>コ</t>
    </rPh>
    <phoneticPr fontId="60"/>
  </si>
  <si>
    <t>食物アレルギー対応希望者</t>
    <rPh sb="0" eb="2">
      <t>ショクモツ</t>
    </rPh>
    <rPh sb="7" eb="9">
      <t>タイオウ</t>
    </rPh>
    <rPh sb="9" eb="11">
      <t>キボウ</t>
    </rPh>
    <rPh sb="11" eb="12">
      <t>シャ</t>
    </rPh>
    <phoneticPr fontId="1"/>
  </si>
  <si>
    <t>）　あり</t>
    <phoneticPr fontId="1"/>
  </si>
  <si>
    <t>）　なし</t>
    <phoneticPr fontId="1"/>
  </si>
  <si>
    <t>交 通 手 段</t>
    <phoneticPr fontId="1"/>
  </si>
  <si>
    <t>)</t>
    <phoneticPr fontId="1"/>
  </si>
  <si>
    <t>日　(</t>
    <phoneticPr fontId="1"/>
  </si>
  <si>
    <t>食</t>
    <rPh sb="0" eb="1">
      <t>ショク</t>
    </rPh>
    <phoneticPr fontId="1"/>
  </si>
  <si>
    <t>～</t>
    <phoneticPr fontId="1"/>
  </si>
  <si>
    <t>（</t>
    <phoneticPr fontId="1"/>
  </si>
  <si>
    <t>77-88</t>
    <phoneticPr fontId="1"/>
  </si>
  <si>
    <t>□/△ 9：45退所</t>
    <phoneticPr fontId="1"/>
  </si>
  <si>
    <t>・</t>
    <phoneticPr fontId="60"/>
  </si>
  <si>
    <t xml:space="preserve">バ　ス ： </t>
    <phoneticPr fontId="1"/>
  </si>
  <si>
    <t xml:space="preserve">自家用車： </t>
    <rPh sb="0" eb="4">
      <t>ジカヨウシャ</t>
    </rPh>
    <phoneticPr fontId="1"/>
  </si>
  <si>
    <t>ナンバー・日時</t>
    <rPh sb="5" eb="7">
      <t>ニチジ</t>
    </rPh>
    <phoneticPr fontId="60"/>
  </si>
  <si>
    <r>
      <t xml:space="preserve">※ 出入りする自家用車の
　 </t>
    </r>
    <r>
      <rPr>
        <sz val="8"/>
        <color rgb="FFFF0000"/>
        <rFont val="HGS創英角ｺﾞｼｯｸUB"/>
        <family val="3"/>
        <charset val="128"/>
      </rPr>
      <t>ナンバー４桁</t>
    </r>
    <r>
      <rPr>
        <sz val="8"/>
        <rFont val="HGS創英角ｺﾞｼｯｸUB"/>
        <family val="3"/>
        <charset val="128"/>
      </rPr>
      <t>と</t>
    </r>
    <r>
      <rPr>
        <sz val="8"/>
        <color rgb="FFFF0000"/>
        <rFont val="HGS創英角ｺﾞｼｯｸUB"/>
        <family val="3"/>
        <charset val="128"/>
      </rPr>
      <t>日時</t>
    </r>
    <r>
      <rPr>
        <sz val="8"/>
        <rFont val="HGS創英角ｺﾞｼｯｸUB"/>
        <family val="3"/>
        <charset val="128"/>
      </rPr>
      <t xml:space="preserve">を
　 </t>
    </r>
    <r>
      <rPr>
        <sz val="8"/>
        <color theme="1"/>
        <rFont val="HGS創英角ｺﾞｼｯｸUB"/>
        <family val="3"/>
        <charset val="128"/>
      </rPr>
      <t>記入。同乗の際は</t>
    </r>
    <r>
      <rPr>
        <sz val="8"/>
        <color rgb="FFFF0000"/>
        <rFont val="HGS創英角ｺﾞｼｯｸUB"/>
        <family val="3"/>
        <charset val="128"/>
      </rPr>
      <t>運転
    手の欄のみ</t>
    </r>
    <r>
      <rPr>
        <sz val="8"/>
        <color theme="1"/>
        <rFont val="HGS創英角ｺﾞｼｯｸUB"/>
        <family val="3"/>
        <charset val="128"/>
      </rPr>
      <t>に記入。</t>
    </r>
    <rPh sb="2" eb="4">
      <t>デイ</t>
    </rPh>
    <rPh sb="7" eb="11">
      <t>ジカヨウシャ</t>
    </rPh>
    <rPh sb="20" eb="21">
      <t>ケタ</t>
    </rPh>
    <rPh sb="22" eb="24">
      <t>ニチジ</t>
    </rPh>
    <rPh sb="29" eb="30">
      <t>ハイ</t>
    </rPh>
    <rPh sb="31" eb="33">
      <t>ドウジョウ</t>
    </rPh>
    <rPh sb="34" eb="35">
      <t>サイ</t>
    </rPh>
    <rPh sb="36" eb="38">
      <t>ウンテン</t>
    </rPh>
    <rPh sb="43" eb="44">
      <t>テ</t>
    </rPh>
    <rPh sb="45" eb="46">
      <t>ラン</t>
    </rPh>
    <rPh sb="49" eb="51">
      <t>キニュウ</t>
    </rPh>
    <phoneticPr fontId="60"/>
  </si>
  <si>
    <t>　※ 対応希望の際は、食物アレルギー調査票
 　  【ＨＰにて別途ダウンロード】を２週間
　　 前までに提出。</t>
    <rPh sb="3" eb="5">
      <t>タイオウ</t>
    </rPh>
    <rPh sb="5" eb="7">
      <t>キボウ</t>
    </rPh>
    <rPh sb="8" eb="9">
      <t>サイ</t>
    </rPh>
    <phoneticPr fontId="60"/>
  </si>
  <si>
    <t xml:space="preserve"> ※ 出入りする自家用車の
 　 ナンバー４桁と日時を
 　 記入。同乗の際は運転
     手の欄のみに記入。</t>
    <rPh sb="3" eb="5">
      <t>デイ</t>
    </rPh>
    <rPh sb="8" eb="12">
      <t>ジカヨウシャ</t>
    </rPh>
    <rPh sb="22" eb="23">
      <t>ケタ</t>
    </rPh>
    <rPh sb="24" eb="26">
      <t>ニチジ</t>
    </rPh>
    <rPh sb="32" eb="33">
      <t>ハイ</t>
    </rPh>
    <rPh sb="34" eb="36">
      <t>ドウジョウ</t>
    </rPh>
    <rPh sb="37" eb="38">
      <t>サイ</t>
    </rPh>
    <rPh sb="39" eb="41">
      <t>ウンテン</t>
    </rPh>
    <rPh sb="47" eb="48">
      <t>テ</t>
    </rPh>
    <rPh sb="49" eb="50">
      <t>ラン</t>
    </rPh>
    <rPh sb="53" eb="55">
      <t>キニュウ</t>
    </rPh>
    <phoneticPr fontId="60"/>
  </si>
  <si>
    <t xml:space="preserve"> ※ アレルギー対応食の
 　 希望者は本人欄に必
 　 ず記入。
 ※ 施設に伝えておきた
 　 いこと等あれば記入。</t>
    <rPh sb="8" eb="10">
      <t>タイオウ</t>
    </rPh>
    <rPh sb="10" eb="11">
      <t>ショク</t>
    </rPh>
    <rPh sb="16" eb="18">
      <t>キボウ</t>
    </rPh>
    <rPh sb="18" eb="19">
      <t>シャ</t>
    </rPh>
    <rPh sb="20" eb="22">
      <t>ホンニン</t>
    </rPh>
    <rPh sb="22" eb="23">
      <t>ラン</t>
    </rPh>
    <rPh sb="24" eb="25">
      <t>カナラ</t>
    </rPh>
    <rPh sb="30" eb="32">
      <t>キニュウ</t>
    </rPh>
    <rPh sb="37" eb="39">
      <t>シセツ</t>
    </rPh>
    <rPh sb="40" eb="41">
      <t>ツタ</t>
    </rPh>
    <rPh sb="53" eb="54">
      <t>トウ</t>
    </rPh>
    <rPh sb="57" eb="59">
      <t>キニュウ</t>
    </rPh>
    <phoneticPr fontId="60"/>
  </si>
  <si>
    <t>（</t>
    <phoneticPr fontId="1"/>
  </si>
  <si>
    <t>あり</t>
    <phoneticPr fontId="1"/>
  </si>
  <si>
    <t>なし</t>
    <phoneticPr fontId="1"/>
  </si>
  <si>
    <t xml:space="preserve">　　　月　 　 日 　　 ：　 </t>
    <phoneticPr fontId="1"/>
  </si>
  <si>
    <t xml:space="preserve">　　　月　 　 日 　　 ：　 </t>
    <phoneticPr fontId="1"/>
  </si>
  <si>
    <t xml:space="preserve">　　　月　 　 日 　　 ：　 </t>
    <phoneticPr fontId="1"/>
  </si>
  <si>
    <t>　※野外調理等を行う場合には、該当する項目に◯をつけてください。
 　（☆の欄は職員が記入します。）</t>
    <phoneticPr fontId="1"/>
  </si>
  <si>
    <t>納 入 日 時</t>
    <rPh sb="0" eb="1">
      <t>オサメ</t>
    </rPh>
    <rPh sb="2" eb="3">
      <t>イ</t>
    </rPh>
    <rPh sb="4" eb="5">
      <t>ヒ</t>
    </rPh>
    <rPh sb="6" eb="7">
      <t>トキ</t>
    </rPh>
    <phoneticPr fontId="1"/>
  </si>
  <si>
    <t>野外調理の
実施予定</t>
    <rPh sb="0" eb="2">
      <t>ヤガイ</t>
    </rPh>
    <rPh sb="2" eb="4">
      <t>チョウリ</t>
    </rPh>
    <rPh sb="6" eb="7">
      <t>ミノル</t>
    </rPh>
    <rPh sb="7" eb="8">
      <t>シ</t>
    </rPh>
    <rPh sb="8" eb="10">
      <t>ヨテイ</t>
    </rPh>
    <phoneticPr fontId="60"/>
  </si>
  <si>
    <t>● 共通データ</t>
    <rPh sb="2" eb="4">
      <t>キョウツウ</t>
    </rPh>
    <phoneticPr fontId="1"/>
  </si>
  <si>
    <t>前年度</t>
    <rPh sb="0" eb="3">
      <t>ゼンネンド</t>
    </rPh>
    <phoneticPr fontId="1"/>
  </si>
  <si>
    <t>今年度</t>
    <rPh sb="0" eb="3">
      <t>コンネンド</t>
    </rPh>
    <phoneticPr fontId="1"/>
  </si>
  <si>
    <t>書類提出期限：</t>
    <rPh sb="0" eb="2">
      <t>ショルイ</t>
    </rPh>
    <rPh sb="2" eb="4">
      <t>テイシュツ</t>
    </rPh>
    <rPh sb="4" eb="6">
      <t>キゲン</t>
    </rPh>
    <phoneticPr fontId="1"/>
  </si>
  <si>
    <t>小 学 生</t>
    <rPh sb="0" eb="1">
      <t>ショウ</t>
    </rPh>
    <rPh sb="2" eb="3">
      <t>ガク</t>
    </rPh>
    <rPh sb="4" eb="5">
      <t>セイ</t>
    </rPh>
    <phoneticPr fontId="60"/>
  </si>
  <si>
    <t>中 学 生</t>
    <rPh sb="0" eb="1">
      <t>ナカ</t>
    </rPh>
    <rPh sb="2" eb="3">
      <t>ガク</t>
    </rPh>
    <rPh sb="4" eb="5">
      <t>セイ</t>
    </rPh>
    <phoneticPr fontId="60"/>
  </si>
  <si>
    <r>
      <t xml:space="preserve"> </t>
    </r>
    <r>
      <rPr>
        <sz val="12"/>
        <color rgb="FFFF0000"/>
        <rFont val="HGS創英角ｺﾞｼｯｸUB"/>
        <family val="3"/>
        <charset val="128"/>
      </rPr>
      <t>18才以上の利用者</t>
    </r>
    <r>
      <rPr>
        <sz val="12"/>
        <color theme="1"/>
        <rFont val="HGS創英角ｺﾞｼｯｸUB"/>
        <family val="3"/>
        <charset val="128"/>
      </rPr>
      <t>は、</t>
    </r>
    <r>
      <rPr>
        <sz val="12"/>
        <color rgb="FFFF0000"/>
        <rFont val="HGS創英角ｺﾞｼｯｸUB"/>
        <family val="3"/>
        <charset val="128"/>
      </rPr>
      <t>施設内</t>
    </r>
    <r>
      <rPr>
        <sz val="12"/>
        <rFont val="HGS創英角ｺﾞｼｯｸUB"/>
        <family val="3"/>
        <charset val="128"/>
      </rPr>
      <t>で</t>
    </r>
    <r>
      <rPr>
        <sz val="12"/>
        <color rgb="FFFF0000"/>
        <rFont val="HGS創英角ｺﾞｼｯｸUB"/>
        <family val="3"/>
        <charset val="128"/>
      </rPr>
      <t>所属団体名の分かる名札</t>
    </r>
    <r>
      <rPr>
        <sz val="12"/>
        <rFont val="HGS創英角ｺﾞｼｯｸUB"/>
        <family val="3"/>
        <charset val="128"/>
      </rPr>
      <t>の</t>
    </r>
    <r>
      <rPr>
        <sz val="12"/>
        <color rgb="FFFF0000"/>
        <rFont val="HGS創英角ｺﾞｼｯｸUB"/>
        <family val="3"/>
        <charset val="128"/>
      </rPr>
      <t>着用</t>
    </r>
    <r>
      <rPr>
        <sz val="12"/>
        <color theme="1"/>
        <rFont val="HGS創英角ｺﾞｼｯｸUB"/>
        <family val="3"/>
        <charset val="128"/>
      </rPr>
      <t>が必要です。
 日頃お使いのものや、本データ内の『名札印刷用』シートを印刷するなどして</t>
    </r>
    <r>
      <rPr>
        <sz val="12"/>
        <color rgb="FFFF0000"/>
        <rFont val="HGS創英角ｺﾞｼｯｸUB"/>
        <family val="3"/>
        <charset val="128"/>
      </rPr>
      <t>ご持参ください</t>
    </r>
    <r>
      <rPr>
        <sz val="12"/>
        <color theme="1"/>
        <rFont val="HGS創英角ｺﾞｼｯｸUB"/>
        <family val="3"/>
        <charset val="128"/>
      </rPr>
      <t>。</t>
    </r>
    <rPh sb="38" eb="40">
      <t>ヒゴロ</t>
    </rPh>
    <rPh sb="41" eb="42">
      <t>ツカ</t>
    </rPh>
    <rPh sb="48" eb="49">
      <t>ホン</t>
    </rPh>
    <rPh sb="52" eb="53">
      <t>ナイ</t>
    </rPh>
    <rPh sb="55" eb="57">
      <t>ナフダ</t>
    </rPh>
    <rPh sb="57" eb="59">
      <t>インサツ</t>
    </rPh>
    <rPh sb="59" eb="60">
      <t>ヨウ</t>
    </rPh>
    <rPh sb="65" eb="67">
      <t>インサツ</t>
    </rPh>
    <phoneticPr fontId="1"/>
  </si>
  <si>
    <r>
      <t xml:space="preserve"> 利用料金の合計が</t>
    </r>
    <r>
      <rPr>
        <sz val="12"/>
        <color rgb="FFFF0000"/>
        <rFont val="HGS創英角ｺﾞｼｯｸUB"/>
        <family val="3"/>
        <charset val="128"/>
      </rPr>
      <t>10万円未満</t>
    </r>
    <r>
      <rPr>
        <sz val="12"/>
        <color theme="1"/>
        <rFont val="HGS創英角ｺﾞｼｯｸUB"/>
        <family val="3"/>
        <charset val="128"/>
      </rPr>
      <t>の場合、</t>
    </r>
    <r>
      <rPr>
        <sz val="12"/>
        <color rgb="FFFF0000"/>
        <rFont val="HGS創英角ｺﾞｼｯｸUB"/>
        <family val="3"/>
        <charset val="128"/>
      </rPr>
      <t>現金</t>
    </r>
    <r>
      <rPr>
        <sz val="12"/>
        <color theme="1"/>
        <rFont val="HGS創英角ｺﾞｼｯｸUB"/>
        <family val="3"/>
        <charset val="128"/>
      </rPr>
      <t>でお支払いをお願いします。</t>
    </r>
    <rPh sb="11" eb="12">
      <t>マン</t>
    </rPh>
    <phoneticPr fontId="1"/>
  </si>
  <si>
    <r>
      <t xml:space="preserve"> シーツ(リネン)は、１つのベッドまたは布団につき、１セット（シーツ２枚、枕カバー１枚）
 必要です。小さなお子様が</t>
    </r>
    <r>
      <rPr>
        <sz val="12"/>
        <color rgb="FFFF0000"/>
        <rFont val="HGS創英角ｺﾞｼｯｸUB"/>
        <family val="3"/>
        <charset val="128"/>
      </rPr>
      <t>添い寝をする場合など</t>
    </r>
    <r>
      <rPr>
        <sz val="12"/>
        <rFont val="HGS創英角ｺﾞｼｯｸUB"/>
        <family val="3"/>
        <charset val="128"/>
      </rPr>
      <t>は、</t>
    </r>
    <r>
      <rPr>
        <sz val="12"/>
        <color rgb="FFFF0000"/>
        <rFont val="HGS創英角ｺﾞｼｯｸUB"/>
        <family val="3"/>
        <charset val="128"/>
      </rPr>
      <t>数に含めません</t>
    </r>
    <r>
      <rPr>
        <sz val="12"/>
        <color theme="1"/>
        <rFont val="HGS創英角ｺﾞｼｯｸUB"/>
        <family val="3"/>
        <charset val="128"/>
      </rPr>
      <t>。</t>
    </r>
    <phoneticPr fontId="1"/>
  </si>
  <si>
    <r>
      <rPr>
        <b/>
        <sz val="18"/>
        <color rgb="FFFF0000"/>
        <rFont val="HGP創英角ｺﾞｼｯｸUB"/>
        <family val="3"/>
        <charset val="128"/>
      </rPr>
      <t>食</t>
    </r>
    <r>
      <rPr>
        <b/>
        <sz val="12"/>
        <color rgb="FFFF0000"/>
        <rFont val="HGP創英角ｺﾞｼｯｸUB"/>
        <family val="3"/>
        <charset val="128"/>
      </rPr>
      <t>　</t>
    </r>
    <r>
      <rPr>
        <b/>
        <sz val="11"/>
        <color rgb="FF000000"/>
        <rFont val="HG丸ｺﾞｼｯｸM-PRO"/>
        <family val="3"/>
        <charset val="128"/>
      </rPr>
      <t>から</t>
    </r>
    <rPh sb="0" eb="1">
      <t>ショク</t>
    </rPh>
    <phoneticPr fontId="1"/>
  </si>
  <si>
    <t>日（</t>
    <phoneticPr fontId="1"/>
  </si>
  <si>
    <r>
      <rPr>
        <b/>
        <sz val="13"/>
        <color rgb="FFFF6600"/>
        <rFont val="BIZ UDゴシック"/>
        <family val="3"/>
        <charset val="128"/>
      </rPr>
      <t xml:space="preserve"> ★</t>
    </r>
    <r>
      <rPr>
        <b/>
        <sz val="10.5"/>
        <color rgb="FF000000"/>
        <rFont val="BIZ UDゴシック"/>
        <family val="3"/>
        <charset val="128"/>
      </rPr>
      <t xml:space="preserve"> </t>
    </r>
    <r>
      <rPr>
        <b/>
        <sz val="10.5"/>
        <rFont val="BIZ UDゴシック"/>
        <family val="3"/>
        <charset val="128"/>
      </rPr>
      <t>領収書を分ける必要がある場合は</t>
    </r>
    <r>
      <rPr>
        <b/>
        <sz val="10.5"/>
        <color rgb="FF000000"/>
        <rFont val="BIZ UDゴシック"/>
        <family val="3"/>
        <charset val="128"/>
      </rPr>
      <t>、</t>
    </r>
    <r>
      <rPr>
        <b/>
        <sz val="10.5"/>
        <color rgb="FFFF0000"/>
        <rFont val="BIZ UDゴシック"/>
        <family val="3"/>
        <charset val="128"/>
      </rPr>
      <t>領収書ごとに入力</t>
    </r>
    <r>
      <rPr>
        <b/>
        <sz val="10.5"/>
        <rFont val="BIZ UDゴシック"/>
        <family val="3"/>
        <charset val="128"/>
      </rPr>
      <t>してください</t>
    </r>
    <r>
      <rPr>
        <b/>
        <sz val="10.5"/>
        <color rgb="FF000000"/>
        <rFont val="BIZ UDゴシック"/>
        <family val="3"/>
        <charset val="128"/>
      </rPr>
      <t xml:space="preserve">。
</t>
    </r>
    <r>
      <rPr>
        <b/>
        <sz val="13"/>
        <color rgb="FF000000"/>
        <rFont val="BIZ UDゴシック"/>
        <family val="3"/>
        <charset val="128"/>
      </rPr>
      <t xml:space="preserve"> </t>
    </r>
    <r>
      <rPr>
        <b/>
        <sz val="13"/>
        <color rgb="FFFF6600"/>
        <rFont val="BIZ UDゴシック"/>
        <family val="3"/>
        <charset val="128"/>
      </rPr>
      <t>★</t>
    </r>
    <r>
      <rPr>
        <b/>
        <sz val="10.5"/>
        <color rgb="FF000000"/>
        <rFont val="BIZ UDゴシック"/>
        <family val="3"/>
        <charset val="128"/>
      </rPr>
      <t xml:space="preserve"> 領収書の宛名が団体名と同じでよい場合は、下の表１段目の（　　）に○を入力し、支払方法を選択してください。</t>
    </r>
    <rPh sb="3" eb="6">
      <t>りょうしゅうしょ</t>
    </rPh>
    <rPh sb="7" eb="8">
      <t>わ</t>
    </rPh>
    <rPh sb="10" eb="12">
      <t>ひつよう</t>
    </rPh>
    <rPh sb="15" eb="17">
      <t>ばあい</t>
    </rPh>
    <rPh sb="76" eb="78">
      <t>しはら</t>
    </rPh>
    <rPh sb="78" eb="80">
      <t>ほうほう</t>
    </rPh>
    <rPh sb="81" eb="83">
      <t>せんたく</t>
    </rPh>
    <phoneticPr fontId="1" type="Hiragana"/>
  </si>
  <si>
    <t>　[食事精算関係記入欄]</t>
    <rPh sb="2" eb="4">
      <t>ショクジ</t>
    </rPh>
    <phoneticPr fontId="1"/>
  </si>
  <si>
    <t>野外調理時の食器</t>
    <rPh sb="0" eb="2">
      <t>やがい</t>
    </rPh>
    <rPh sb="2" eb="5">
      <t>ちょうりじ</t>
    </rPh>
    <rPh sb="6" eb="8">
      <t>しょっき</t>
    </rPh>
    <phoneticPr fontId="1" type="Hiragana"/>
  </si>
  <si>
    <r>
      <t xml:space="preserve"> </t>
    </r>
    <r>
      <rPr>
        <sz val="13"/>
        <color rgb="FFFF6600"/>
        <rFont val="BIZ UDゴシック"/>
        <family val="3"/>
        <charset val="128"/>
      </rPr>
      <t>★</t>
    </r>
    <r>
      <rPr>
        <sz val="10.5"/>
        <rFont val="BIZ UDゴシック"/>
        <family val="3"/>
        <charset val="128"/>
      </rPr>
      <t xml:space="preserve"> </t>
    </r>
    <r>
      <rPr>
        <b/>
        <sz val="10.5"/>
        <color rgb="FFFF0000"/>
        <rFont val="BIZ UDゴシック"/>
        <family val="3"/>
        <charset val="128"/>
      </rPr>
      <t>『野外調理の実施予定』</t>
    </r>
    <r>
      <rPr>
        <sz val="10.5"/>
        <rFont val="BIZ UDゴシック"/>
        <family val="3"/>
        <charset val="128"/>
      </rPr>
      <t>は、上の</t>
    </r>
    <r>
      <rPr>
        <b/>
        <sz val="10.5"/>
        <color rgb="FFFF0000"/>
        <rFont val="BIZ UDゴシック"/>
        <family val="3"/>
        <charset val="128"/>
      </rPr>
      <t>『食事予定表』</t>
    </r>
    <r>
      <rPr>
        <sz val="10.5"/>
        <rFont val="BIZ UDゴシック"/>
        <family val="3"/>
        <charset val="128"/>
      </rPr>
      <t>の入力内容により自動的に表示されます。</t>
    </r>
    <r>
      <rPr>
        <sz val="12"/>
        <color rgb="FFFF0000"/>
        <rFont val="HGP創英角ﾎﾟｯﾌﾟ体"/>
        <family val="3"/>
        <charset val="128"/>
      </rPr>
      <t/>
    </r>
    <rPh sb="4" eb="6">
      <t>ヤガイ</t>
    </rPh>
    <rPh sb="6" eb="8">
      <t>チョウリ</t>
    </rPh>
    <rPh sb="9" eb="11">
      <t>ジッシ</t>
    </rPh>
    <rPh sb="11" eb="13">
      <t>ヨテイ</t>
    </rPh>
    <rPh sb="16" eb="17">
      <t>ウエ</t>
    </rPh>
    <rPh sb="19" eb="21">
      <t>ショクジ</t>
    </rPh>
    <rPh sb="21" eb="23">
      <t>ヨテイ</t>
    </rPh>
    <rPh sb="23" eb="24">
      <t>ヒョウ</t>
    </rPh>
    <rPh sb="26" eb="28">
      <t>ニュウリョク</t>
    </rPh>
    <rPh sb="28" eb="30">
      <t>ナイヨウ</t>
    </rPh>
    <rPh sb="33" eb="36">
      <t>ジドウテキ</t>
    </rPh>
    <rPh sb="37" eb="39">
      <t>ヒョウジ</t>
    </rPh>
    <phoneticPr fontId="1"/>
  </si>
  <si>
    <t>　[食材・活動物品精算関係記入欄]</t>
    <rPh sb="2" eb="4">
      <t>ショクザイ</t>
    </rPh>
    <rPh sb="5" eb="7">
      <t>カツドウ</t>
    </rPh>
    <rPh sb="7" eb="9">
      <t>ブッピン</t>
    </rPh>
    <rPh sb="9" eb="11">
      <t>セイサン</t>
    </rPh>
    <phoneticPr fontId="1"/>
  </si>
  <si>
    <r>
      <rPr>
        <b/>
        <sz val="18"/>
        <rFont val="HGP創英角ﾎﾟｯﾌﾟ体"/>
        <family val="3"/>
        <charset val="128"/>
      </rPr>
      <t>①</t>
    </r>
    <r>
      <rPr>
        <sz val="18"/>
        <rFont val="HGP創英角ﾎﾟｯﾌﾟ体"/>
        <family val="3"/>
        <charset val="128"/>
      </rPr>
      <t xml:space="preserve"> 利用許可申請書</t>
    </r>
    <rPh sb="2" eb="4">
      <t>リヨウ</t>
    </rPh>
    <rPh sb="4" eb="6">
      <t>キョカ</t>
    </rPh>
    <rPh sb="6" eb="9">
      <t>シンセイショ</t>
    </rPh>
    <phoneticPr fontId="1"/>
  </si>
  <si>
    <r>
      <rPr>
        <b/>
        <sz val="18"/>
        <rFont val="HGP創英角ﾎﾟｯﾌﾟ体"/>
        <family val="3"/>
        <charset val="128"/>
      </rPr>
      <t>②</t>
    </r>
    <r>
      <rPr>
        <sz val="18"/>
        <rFont val="HGP創英角ﾎﾟｯﾌﾟ体"/>
        <family val="3"/>
        <charset val="128"/>
      </rPr>
      <t xml:space="preserve"> 施設利用料等精算予定表</t>
    </r>
    <rPh sb="2" eb="4">
      <t>シセツ</t>
    </rPh>
    <rPh sb="4" eb="7">
      <t>リヨウリョウ</t>
    </rPh>
    <rPh sb="7" eb="8">
      <t>トウ</t>
    </rPh>
    <rPh sb="8" eb="10">
      <t>セイサン</t>
    </rPh>
    <rPh sb="10" eb="13">
      <t>ヨテイヒョウ</t>
    </rPh>
    <phoneticPr fontId="1"/>
  </si>
  <si>
    <r>
      <rPr>
        <b/>
        <sz val="18"/>
        <rFont val="HGP創英角ﾎﾟｯﾌﾟ体"/>
        <family val="3"/>
        <charset val="128"/>
      </rPr>
      <t>④</t>
    </r>
    <r>
      <rPr>
        <sz val="18"/>
        <rFont val="HGP創英角ﾎﾟｯﾌﾟ体"/>
        <family val="3"/>
        <charset val="128"/>
      </rPr>
      <t xml:space="preserve"> 食材・活動物品発注依頼書</t>
    </r>
    <r>
      <rPr>
        <sz val="14"/>
        <color rgb="FFFF0000"/>
        <rFont val="HGP創英角ﾎﾟｯﾌﾟ体"/>
        <family val="3"/>
        <charset val="128"/>
      </rPr>
      <t/>
    </r>
    <rPh sb="2" eb="4">
      <t>ショクザイ</t>
    </rPh>
    <rPh sb="5" eb="7">
      <t>カツドウ</t>
    </rPh>
    <rPh sb="7" eb="9">
      <t>ブッピン</t>
    </rPh>
    <rPh sb="9" eb="11">
      <t>ハッチュウ</t>
    </rPh>
    <rPh sb="11" eb="14">
      <t>イライショ</t>
    </rPh>
    <phoneticPr fontId="1"/>
  </si>
  <si>
    <r>
      <rPr>
        <b/>
        <sz val="18"/>
        <rFont val="HGP創英角ﾎﾟｯﾌﾟ体"/>
        <family val="3"/>
        <charset val="128"/>
      </rPr>
      <t>③</t>
    </r>
    <r>
      <rPr>
        <sz val="18"/>
        <rFont val="HGP創英角ﾎﾟｯﾌﾟ体"/>
        <family val="3"/>
        <charset val="128"/>
      </rPr>
      <t xml:space="preserve"> 食事予定表</t>
    </r>
    <rPh sb="2" eb="4">
      <t>ショクジ</t>
    </rPh>
    <rPh sb="4" eb="7">
      <t>ヨテイヒョウ</t>
    </rPh>
    <phoneticPr fontId="1"/>
  </si>
  <si>
    <r>
      <t xml:space="preserve"> </t>
    </r>
    <r>
      <rPr>
        <sz val="12"/>
        <color rgb="FFFF0000"/>
        <rFont val="HGS創英角ｺﾞｼｯｸUB"/>
        <family val="3"/>
        <charset val="128"/>
      </rPr>
      <t>食数の増減</t>
    </r>
    <r>
      <rPr>
        <sz val="12"/>
        <color theme="1"/>
        <rFont val="HGS創英角ｺﾞｼｯｸUB"/>
        <family val="3"/>
        <charset val="128"/>
      </rPr>
      <t>があった場合は、</t>
    </r>
    <r>
      <rPr>
        <sz val="12"/>
        <color rgb="FFFF0000"/>
        <rFont val="HGS創英角ｺﾞｼｯｸUB"/>
        <family val="3"/>
        <charset val="128"/>
      </rPr>
      <t>速やかにご連絡</t>
    </r>
    <r>
      <rPr>
        <sz val="12"/>
        <color theme="1"/>
        <rFont val="HGS創英角ｺﾞｼｯｸUB"/>
        <family val="3"/>
        <charset val="128"/>
      </rPr>
      <t>ください。
 なお、</t>
    </r>
    <r>
      <rPr>
        <sz val="12"/>
        <color rgb="FFFF0000"/>
        <rFont val="HGS創英角ｺﾞｼｯｸUB"/>
        <family val="3"/>
        <charset val="128"/>
      </rPr>
      <t>直近の食数減</t>
    </r>
    <r>
      <rPr>
        <sz val="12"/>
        <color theme="1"/>
        <rFont val="HGS創英角ｺﾞｼｯｸUB"/>
        <family val="3"/>
        <charset val="128"/>
      </rPr>
      <t>は、減数前の料金をいただく場合があります。</t>
    </r>
    <rPh sb="31" eb="33">
      <t>チョッキン</t>
    </rPh>
    <phoneticPr fontId="1"/>
  </si>
  <si>
    <r>
      <t xml:space="preserve"> </t>
    </r>
    <r>
      <rPr>
        <sz val="13"/>
        <color rgb="FFFF6600"/>
        <rFont val="BIZ UDゴシック"/>
        <family val="3"/>
        <charset val="128"/>
      </rPr>
      <t>★</t>
    </r>
    <r>
      <rPr>
        <sz val="10.5"/>
        <rFont val="BIZ UDゴシック"/>
        <family val="3"/>
        <charset val="128"/>
      </rPr>
      <t xml:space="preserve"> これ以降の入力欄は、</t>
    </r>
    <r>
      <rPr>
        <b/>
        <sz val="10.5"/>
        <color rgb="FFFF0000"/>
        <rFont val="BIZ UDゴシック"/>
        <family val="3"/>
        <charset val="128"/>
      </rPr>
      <t>２活動以上で物品等を発注される方のみ任意</t>
    </r>
    <r>
      <rPr>
        <sz val="10.5"/>
        <rFont val="BIZ UDゴシック"/>
        <family val="3"/>
        <charset val="128"/>
      </rPr>
      <t>でのご入力になるため、</t>
    </r>
    <r>
      <rPr>
        <b/>
        <sz val="10.5"/>
        <color rgb="FFFF0000"/>
        <rFont val="BIZ UDゴシック"/>
        <family val="3"/>
        <charset val="128"/>
      </rPr>
      <t>はじめから左側に『○』</t>
    </r>
    <r>
      <rPr>
        <sz val="10.5"/>
        <rFont val="BIZ UDゴシック"/>
        <family val="3"/>
        <charset val="128"/>
      </rPr>
      <t xml:space="preserve">が表示されています。
 </t>
    </r>
    <r>
      <rPr>
        <sz val="10"/>
        <rFont val="BIZ UDゴシック"/>
        <family val="3"/>
        <charset val="128"/>
      </rPr>
      <t>　</t>
    </r>
    <r>
      <rPr>
        <sz val="6"/>
        <rFont val="BIZ UDゴシック"/>
        <family val="3"/>
        <charset val="128"/>
      </rPr>
      <t xml:space="preserve"> </t>
    </r>
    <r>
      <rPr>
        <sz val="10.5"/>
        <rFont val="BIZ UDゴシック"/>
        <family val="3"/>
        <charset val="128"/>
      </rPr>
      <t xml:space="preserve"> 入力内容に</t>
    </r>
    <r>
      <rPr>
        <b/>
        <sz val="10.5"/>
        <color rgb="FFFF0000"/>
        <rFont val="BIZ UDゴシック"/>
        <family val="3"/>
        <charset val="128"/>
      </rPr>
      <t>不備がある状態では『×』</t>
    </r>
    <r>
      <rPr>
        <sz val="10.5"/>
        <rFont val="BIZ UDゴシック"/>
        <family val="3"/>
        <charset val="128"/>
      </rPr>
      <t>が表示されますので、ご入力の際には、最後に表示が『○』になっているかご確認ください。</t>
    </r>
    <r>
      <rPr>
        <sz val="12"/>
        <color rgb="FFFF0000"/>
        <rFont val="HGP創英角ﾎﾟｯﾌﾟ体"/>
        <family val="3"/>
        <charset val="128"/>
      </rPr>
      <t/>
    </r>
    <rPh sb="5" eb="7">
      <t>イコウ</t>
    </rPh>
    <rPh sb="8" eb="11">
      <t>ニュウリョクラン</t>
    </rPh>
    <rPh sb="14" eb="16">
      <t>カツドウ</t>
    </rPh>
    <rPh sb="16" eb="18">
      <t>イジョウ</t>
    </rPh>
    <rPh sb="19" eb="21">
      <t>ブッピン</t>
    </rPh>
    <rPh sb="21" eb="22">
      <t>トウ</t>
    </rPh>
    <rPh sb="23" eb="25">
      <t>ハッチュウ</t>
    </rPh>
    <rPh sb="28" eb="29">
      <t>カタ</t>
    </rPh>
    <rPh sb="31" eb="33">
      <t>ニンイ</t>
    </rPh>
    <rPh sb="36" eb="38">
      <t>ニュウリョク</t>
    </rPh>
    <rPh sb="49" eb="51">
      <t>ヒダリガワ</t>
    </rPh>
    <rPh sb="56" eb="58">
      <t>ヒョウジ</t>
    </rPh>
    <rPh sb="70" eb="72">
      <t>ニュウリョク</t>
    </rPh>
    <rPh sb="72" eb="74">
      <t>ナイヨウ</t>
    </rPh>
    <rPh sb="75" eb="77">
      <t>フビ</t>
    </rPh>
    <rPh sb="80" eb="82">
      <t>ジョウタイ</t>
    </rPh>
    <rPh sb="88" eb="90">
      <t>ヒョウジ</t>
    </rPh>
    <rPh sb="98" eb="100">
      <t>ニュウリョク</t>
    </rPh>
    <rPh sb="101" eb="102">
      <t>サイ</t>
    </rPh>
    <rPh sb="105" eb="107">
      <t>サイゴ</t>
    </rPh>
    <rPh sb="108" eb="110">
      <t>ヒョウジ</t>
    </rPh>
    <rPh sb="122" eb="124">
      <t>カクニン</t>
    </rPh>
    <phoneticPr fontId="1"/>
  </si>
  <si>
    <r>
      <t xml:space="preserve">
</t>
    </r>
    <r>
      <rPr>
        <sz val="10.5"/>
        <rFont val="HGP創英角ｺﾞｼｯｸUB"/>
        <family val="3"/>
        <charset val="128"/>
      </rPr>
      <t>区分</t>
    </r>
    <r>
      <rPr>
        <sz val="9"/>
        <rFont val="HGP創英角ｺﾞｼｯｸUB"/>
        <family val="3"/>
        <charset val="128"/>
      </rPr>
      <t xml:space="preserve">
</t>
    </r>
    <r>
      <rPr>
        <sz val="8"/>
        <color rgb="FFFF0000"/>
        <rFont val="HGP創英角ｺﾞｼｯｸUB"/>
        <family val="3"/>
        <charset val="128"/>
      </rPr>
      <t>『年齢』入力後
選　択</t>
    </r>
    <rPh sb="1" eb="3">
      <t>クブン</t>
    </rPh>
    <rPh sb="6" eb="8">
      <t>ネンレイ</t>
    </rPh>
    <rPh sb="9" eb="11">
      <t>ニュウリョク</t>
    </rPh>
    <rPh sb="11" eb="12">
      <t>ゴ</t>
    </rPh>
    <rPh sb="13" eb="14">
      <t>セン</t>
    </rPh>
    <rPh sb="15" eb="16">
      <t>タク</t>
    </rPh>
    <phoneticPr fontId="60"/>
  </si>
  <si>
    <t>バス・カメラマン等</t>
    <rPh sb="8" eb="9">
      <t>トウ</t>
    </rPh>
    <phoneticPr fontId="1"/>
  </si>
  <si>
    <r>
      <t xml:space="preserve"> シーツ(リネン)は、</t>
    </r>
    <r>
      <rPr>
        <sz val="12"/>
        <color rgb="FFFF0000"/>
        <rFont val="HGS創英角ｺﾞｼｯｸUB"/>
        <family val="3"/>
        <charset val="128"/>
      </rPr>
      <t>施設ご利用の間、同じものをご使用</t>
    </r>
    <r>
      <rPr>
        <sz val="12"/>
        <color theme="1"/>
        <rFont val="HGS創英角ｺﾞｼｯｸUB"/>
        <family val="3"/>
        <charset val="128"/>
      </rPr>
      <t xml:space="preserve">いただきます。
 </t>
    </r>
    <r>
      <rPr>
        <sz val="12"/>
        <color rgb="FFFF0000"/>
        <rFont val="HGS創英角ｺﾞｼｯｸUB"/>
        <family val="3"/>
        <charset val="128"/>
      </rPr>
      <t>退所日の朝までは返却せず</t>
    </r>
    <r>
      <rPr>
        <sz val="12"/>
        <color theme="1"/>
        <rFont val="HGS創英角ｺﾞｼｯｸUB"/>
        <family val="3"/>
        <charset val="128"/>
      </rPr>
      <t>、宿泊室内で、</t>
    </r>
    <r>
      <rPr>
        <sz val="12"/>
        <color rgb="FFFF0000"/>
        <rFont val="HGS創英角ｺﾞｼｯｸUB"/>
        <family val="3"/>
        <charset val="128"/>
      </rPr>
      <t>各自での管理</t>
    </r>
    <r>
      <rPr>
        <sz val="12"/>
        <color theme="1"/>
        <rFont val="HGS創英角ｺﾞｼｯｸUB"/>
        <family val="3"/>
        <charset val="128"/>
      </rPr>
      <t>をお願いいたします。</t>
    </r>
    <rPh sb="11" eb="13">
      <t>シセツ</t>
    </rPh>
    <rPh sb="14" eb="16">
      <t>リヨウ</t>
    </rPh>
    <rPh sb="17" eb="18">
      <t>アイダ</t>
    </rPh>
    <rPh sb="19" eb="20">
      <t>オナ</t>
    </rPh>
    <rPh sb="25" eb="27">
      <t>シヨウ</t>
    </rPh>
    <rPh sb="36" eb="38">
      <t>タイショ</t>
    </rPh>
    <rPh sb="38" eb="39">
      <t>ビ</t>
    </rPh>
    <rPh sb="40" eb="41">
      <t>アサ</t>
    </rPh>
    <rPh sb="44" eb="46">
      <t>ヘンキャク</t>
    </rPh>
    <rPh sb="49" eb="52">
      <t>シュクハクシツ</t>
    </rPh>
    <rPh sb="52" eb="53">
      <t>ナイ</t>
    </rPh>
    <rPh sb="55" eb="57">
      <t>カクジ</t>
    </rPh>
    <rPh sb="59" eb="61">
      <t>カンリ</t>
    </rPh>
    <rPh sb="63" eb="64">
      <t>ネガ</t>
    </rPh>
    <phoneticPr fontId="1"/>
  </si>
  <si>
    <t>□/△ 14：45退所</t>
    <phoneticPr fontId="1"/>
  </si>
  <si>
    <t xml:space="preserve"> 利用者名簿</t>
    <rPh sb="1" eb="2">
      <t>リ</t>
    </rPh>
    <rPh sb="2" eb="3">
      <t>ヨウ</t>
    </rPh>
    <rPh sb="3" eb="4">
      <t>シャ</t>
    </rPh>
    <rPh sb="4" eb="5">
      <t>ナ</t>
    </rPh>
    <rPh sb="5" eb="6">
      <t>ボ</t>
    </rPh>
    <phoneticPr fontId="60"/>
  </si>
  <si>
    <t>希望食数の誤差</t>
    <rPh sb="0" eb="2">
      <t>キボウ</t>
    </rPh>
    <rPh sb="2" eb="3">
      <t>ショク</t>
    </rPh>
    <rPh sb="3" eb="4">
      <t>スウ</t>
    </rPh>
    <rPh sb="5" eb="7">
      <t>ゴサ</t>
    </rPh>
    <phoneticPr fontId="1"/>
  </si>
  <si>
    <t>行ごとの不備</t>
    <rPh sb="0" eb="1">
      <t>ギョウ</t>
    </rPh>
    <rPh sb="4" eb="6">
      <t>フビ</t>
    </rPh>
    <phoneticPr fontId="1"/>
  </si>
  <si>
    <t>一般(19歳～)</t>
    <phoneticPr fontId="1"/>
  </si>
  <si>
    <t>大人の有無</t>
    <rPh sb="0" eb="2">
      <t>オトナ</t>
    </rPh>
    <rPh sb="3" eb="5">
      <t>ウム</t>
    </rPh>
    <phoneticPr fontId="1"/>
  </si>
  <si>
    <t>２名以上の人員</t>
    <rPh sb="1" eb="2">
      <t>メイ</t>
    </rPh>
    <rPh sb="2" eb="4">
      <t>イジョウ</t>
    </rPh>
    <rPh sb="5" eb="7">
      <t>ジンイン</t>
    </rPh>
    <phoneticPr fontId="1"/>
  </si>
  <si>
    <t>名簿</t>
    <rPh sb="0" eb="2">
      <t>メイボ</t>
    </rPh>
    <phoneticPr fontId="1"/>
  </si>
  <si>
    <t>入力
ページ</t>
    <rPh sb="0" eb="1">
      <t>イ</t>
    </rPh>
    <rPh sb="1" eb="2">
      <t>チカラ</t>
    </rPh>
    <phoneticPr fontId="1"/>
  </si>
  <si>
    <r>
      <rPr>
        <b/>
        <sz val="11"/>
        <color rgb="FFFF0066"/>
        <rFont val="BIZ UDPゴシック"/>
        <family val="3"/>
        <charset val="128"/>
      </rPr>
      <t xml:space="preserve">  </t>
    </r>
    <r>
      <rPr>
        <b/>
        <sz val="13"/>
        <color rgb="FFFF0066"/>
        <rFont val="BIZ UDPゴシック"/>
        <family val="3"/>
        <charset val="128"/>
      </rPr>
      <t>★</t>
    </r>
    <r>
      <rPr>
        <b/>
        <sz val="10.5"/>
        <rFont val="BIZ UDPゴシック"/>
        <family val="3"/>
        <charset val="128"/>
      </rPr>
      <t xml:space="preserve"> 表の</t>
    </r>
    <r>
      <rPr>
        <b/>
        <sz val="10.5"/>
        <color rgb="FFFF0000"/>
        <rFont val="BIZ UDPゴシック"/>
        <family val="3"/>
        <charset val="128"/>
      </rPr>
      <t>水色のセル部分</t>
    </r>
    <r>
      <rPr>
        <b/>
        <sz val="10.5"/>
        <rFont val="BIZ UDPゴシック"/>
        <family val="3"/>
        <charset val="128"/>
      </rPr>
      <t>を入力してください。選択リストのセルは、リストにある内容であれば</t>
    </r>
    <r>
      <rPr>
        <b/>
        <sz val="10.5"/>
        <color rgb="FFFF0000"/>
        <rFont val="BIZ UDPゴシック"/>
        <family val="3"/>
        <charset val="128"/>
      </rPr>
      <t>手打入力できます</t>
    </r>
    <r>
      <rPr>
        <b/>
        <sz val="10.5"/>
        <rFont val="BIZ UDPゴシック"/>
        <family val="3"/>
        <charset val="128"/>
      </rPr>
      <t>。　　　</t>
    </r>
    <r>
      <rPr>
        <b/>
        <sz val="11"/>
        <rFont val="BIZ UDPゴシック"/>
        <family val="3"/>
        <charset val="128"/>
      </rPr>
      <t xml:space="preserve">　　　　　　　
  </t>
    </r>
    <r>
      <rPr>
        <b/>
        <sz val="13"/>
        <color rgb="FFFF0066"/>
        <rFont val="BIZ UDPゴシック"/>
        <family val="3"/>
        <charset val="128"/>
      </rPr>
      <t>★</t>
    </r>
    <r>
      <rPr>
        <b/>
        <sz val="10.5"/>
        <color rgb="FFFF0066"/>
        <rFont val="BIZ UDPゴシック"/>
        <family val="3"/>
        <charset val="128"/>
      </rPr>
      <t xml:space="preserve"> </t>
    </r>
    <r>
      <rPr>
        <b/>
        <sz val="10.5"/>
        <color rgb="FFFF0000"/>
        <rFont val="BIZ UDPゴシック"/>
        <family val="3"/>
        <charset val="128"/>
      </rPr>
      <t>名簿</t>
    </r>
    <r>
      <rPr>
        <b/>
        <sz val="10.5"/>
        <rFont val="BIZ UDPゴシック"/>
        <family val="3"/>
        <charset val="128"/>
      </rPr>
      <t>と</t>
    </r>
    <r>
      <rPr>
        <b/>
        <sz val="10.5"/>
        <color rgb="FFFF0000"/>
        <rFont val="BIZ UDPゴシック"/>
        <family val="3"/>
        <charset val="128"/>
      </rPr>
      <t>団体計画書</t>
    </r>
    <r>
      <rPr>
        <b/>
        <sz val="10.5"/>
        <rFont val="BIZ UDPゴシック"/>
        <family val="3"/>
        <charset val="128"/>
      </rPr>
      <t>の作成は、</t>
    </r>
    <r>
      <rPr>
        <b/>
        <sz val="10.5"/>
        <color rgb="FF0070C0"/>
        <rFont val="BIZ UDPゴシック"/>
        <family val="3"/>
        <charset val="128"/>
      </rPr>
      <t>別シートへの入力</t>
    </r>
    <r>
      <rPr>
        <b/>
        <sz val="10.5"/>
        <rFont val="BIZ UDPゴシック"/>
        <family val="3"/>
        <charset val="128"/>
      </rPr>
      <t>が必要です。下部、</t>
    </r>
    <r>
      <rPr>
        <b/>
        <sz val="10.5"/>
        <color rgb="FFFF0000"/>
        <rFont val="BIZ UDPゴシック"/>
        <family val="3"/>
        <charset val="128"/>
      </rPr>
      <t>赤い見出し</t>
    </r>
    <r>
      <rPr>
        <b/>
        <sz val="10.5"/>
        <rFont val="BIZ UDPゴシック"/>
        <family val="3"/>
        <charset val="128"/>
      </rPr>
      <t>のシートをご入力ください。</t>
    </r>
    <rPh sb="4" eb="5">
      <t>ヒョウ</t>
    </rPh>
    <rPh sb="6" eb="8">
      <t>ミズイロ</t>
    </rPh>
    <rPh sb="11" eb="13">
      <t>ブブン</t>
    </rPh>
    <rPh sb="14" eb="16">
      <t>ニュウリョク</t>
    </rPh>
    <rPh sb="45" eb="47">
      <t>テウ</t>
    </rPh>
    <rPh sb="69" eb="71">
      <t>メイボ</t>
    </rPh>
    <rPh sb="72" eb="74">
      <t>ダンタイ</t>
    </rPh>
    <rPh sb="74" eb="77">
      <t>ケイカクショ</t>
    </rPh>
    <rPh sb="78" eb="80">
      <t>サクセイ</t>
    </rPh>
    <rPh sb="82" eb="83">
      <t>ベツ</t>
    </rPh>
    <rPh sb="88" eb="90">
      <t>ニュウリョク</t>
    </rPh>
    <rPh sb="91" eb="93">
      <t>ヒツヨウ</t>
    </rPh>
    <rPh sb="96" eb="98">
      <t>カブ</t>
    </rPh>
    <rPh sb="99" eb="100">
      <t>アカ</t>
    </rPh>
    <rPh sb="101" eb="103">
      <t>ミダ</t>
    </rPh>
    <rPh sb="110" eb="112">
      <t>ニュウリョク</t>
    </rPh>
    <phoneticPr fontId="1"/>
  </si>
  <si>
    <t>入力ページで</t>
    <phoneticPr fontId="1"/>
  </si>
  <si>
    <t>アレルギー食の</t>
    <phoneticPr fontId="1"/>
  </si>
  <si>
    <t>市</t>
  </si>
  <si>
    <t>～</t>
    <phoneticPr fontId="1"/>
  </si>
  <si>
    <t>宿泊希望施設</t>
    <rPh sb="0" eb="2">
      <t>シュクハク</t>
    </rPh>
    <rPh sb="2" eb="4">
      <t>キボウ</t>
    </rPh>
    <rPh sb="4" eb="6">
      <t>シセツ</t>
    </rPh>
    <phoneticPr fontId="6"/>
  </si>
  <si>
    <r>
      <rPr>
        <sz val="12"/>
        <color theme="1"/>
        <rFont val="ＭＳ Ｐゴシック"/>
        <family val="3"/>
        <charset val="128"/>
        <scheme val="minor"/>
      </rPr>
      <t>↑</t>
    </r>
    <r>
      <rPr>
        <sz val="9"/>
        <color theme="1"/>
        <rFont val="ＭＳ Ｐゴシック"/>
        <family val="3"/>
        <charset val="128"/>
        <scheme val="minor"/>
      </rPr>
      <t xml:space="preserve">
宿泊希望施設に○をつけてください。
</t>
    </r>
    <rPh sb="2" eb="4">
      <t>シュクハク</t>
    </rPh>
    <rPh sb="4" eb="6">
      <t>キボウ</t>
    </rPh>
    <rPh sb="6" eb="8">
      <t>シセツ</t>
    </rPh>
    <phoneticPr fontId="60"/>
  </si>
  <si>
    <t>※ 使用しない場合
     は、斜線記入</t>
    <rPh sb="2" eb="4">
      <t>シヨウ</t>
    </rPh>
    <rPh sb="7" eb="9">
      <t>バアイ</t>
    </rPh>
    <rPh sb="17" eb="19">
      <t>シャセン</t>
    </rPh>
    <rPh sb="19" eb="21">
      <t>キニュウ</t>
    </rPh>
    <phoneticPr fontId="60"/>
  </si>
  <si>
    <t>夕</t>
    <rPh sb="0" eb="1">
      <t>ユウ</t>
    </rPh>
    <phoneticPr fontId="1"/>
  </si>
  <si>
    <t>利用
計画書</t>
    <rPh sb="0" eb="1">
      <t>リ</t>
    </rPh>
    <rPh sb="1" eb="2">
      <t>ヨウ</t>
    </rPh>
    <rPh sb="3" eb="6">
      <t>ケイカクショ</t>
    </rPh>
    <phoneticPr fontId="1"/>
  </si>
  <si>
    <t>電話２</t>
    <rPh sb="0" eb="2">
      <t>デンワ</t>
    </rPh>
    <phoneticPr fontId="1"/>
  </si>
  <si>
    <t>確認欄</t>
    <rPh sb="0" eb="2">
      <t>カクニン</t>
    </rPh>
    <rPh sb="2" eb="3">
      <t>ラン</t>
    </rPh>
    <phoneticPr fontId="1"/>
  </si>
  <si>
    <r>
      <t xml:space="preserve"> </t>
    </r>
    <r>
      <rPr>
        <sz val="13"/>
        <color rgb="FFFF0000"/>
        <rFont val="UD デジタル 教科書体 NK-B"/>
        <family val="1"/>
        <charset val="128"/>
      </rPr>
      <t>「RC（部屋確認）」</t>
    </r>
    <r>
      <rPr>
        <sz val="13"/>
        <color theme="1"/>
        <rFont val="UD デジタル 教科書体 NK-B"/>
        <family val="1"/>
        <charset val="128"/>
      </rPr>
      <t>は、</t>
    </r>
    <r>
      <rPr>
        <sz val="13"/>
        <color rgb="FFFF0000"/>
        <rFont val="UD デジタル 教科書体 NK-B"/>
        <family val="1"/>
        <charset val="128"/>
      </rPr>
      <t>退所日の朝</t>
    </r>
    <r>
      <rPr>
        <sz val="13"/>
        <color theme="1"/>
        <rFont val="UD デジタル 教科書体 NK-B"/>
        <family val="1"/>
        <charset val="128"/>
      </rPr>
      <t>、部屋掃除・荷物移動後、</t>
    </r>
    <r>
      <rPr>
        <sz val="13"/>
        <color rgb="FFFF0000"/>
        <rFont val="UD デジタル 教科書体 NK-B"/>
        <family val="1"/>
        <charset val="128"/>
      </rPr>
      <t>８：３５から３０分程度</t>
    </r>
    <r>
      <rPr>
        <sz val="13"/>
        <color theme="1"/>
        <rFont val="UD デジタル 教科書体 NK-B"/>
        <family val="1"/>
        <charset val="128"/>
      </rPr>
      <t>とってください。
　時間短縮のためにも、</t>
    </r>
    <r>
      <rPr>
        <sz val="13"/>
        <color rgb="FFFF0000"/>
        <rFont val="UD デジタル 教科書体 NK-B"/>
        <family val="1"/>
        <charset val="128"/>
      </rPr>
      <t>団体指導者による事前の部屋確認</t>
    </r>
    <r>
      <rPr>
        <sz val="13"/>
        <color theme="1"/>
        <rFont val="UD デジタル 教科書体 NK-B"/>
        <family val="1"/>
        <charset val="128"/>
      </rPr>
      <t>をお願いいたします。</t>
    </r>
    <rPh sb="13" eb="15">
      <t>タイショ</t>
    </rPh>
    <rPh sb="17" eb="18">
      <t>アサ</t>
    </rPh>
    <rPh sb="51" eb="53">
      <t>ジカン</t>
    </rPh>
    <rPh sb="53" eb="55">
      <t>タンシュク</t>
    </rPh>
    <rPh sb="72" eb="74">
      <t>ヘヤ</t>
    </rPh>
    <phoneticPr fontId="1"/>
  </si>
  <si>
    <r>
      <t xml:space="preserve"> </t>
    </r>
    <r>
      <rPr>
        <sz val="13"/>
        <color rgb="FFFF0000"/>
        <rFont val="UD デジタル 教科書体 NK-B"/>
        <family val="1"/>
        <charset val="128"/>
      </rPr>
      <t>「OT（オリエンテーション）」</t>
    </r>
    <r>
      <rPr>
        <sz val="13"/>
        <color theme="1"/>
        <rFont val="UD デジタル 教科書体 NK-B"/>
        <family val="1"/>
        <charset val="128"/>
      </rPr>
      <t>は、ご利用方法の説明、施設職員との打合せ等で</t>
    </r>
    <r>
      <rPr>
        <sz val="13"/>
        <color rgb="FFFF0000"/>
        <rFont val="UD デジタル 教科書体 NK-B"/>
        <family val="1"/>
        <charset val="128"/>
      </rPr>
      <t>１時間</t>
    </r>
    <r>
      <rPr>
        <sz val="13"/>
        <color theme="1"/>
        <rFont val="UD デジタル 教科書体 NK-B"/>
        <family val="1"/>
        <charset val="128"/>
      </rPr>
      <t>とってください。</t>
    </r>
    <rPh sb="19" eb="21">
      <t>リヨウ</t>
    </rPh>
    <rPh sb="21" eb="23">
      <t>ホウホウ</t>
    </rPh>
    <rPh sb="24" eb="26">
      <t>セツメイ</t>
    </rPh>
    <rPh sb="27" eb="29">
      <t>シセツ</t>
    </rPh>
    <rPh sb="29" eb="31">
      <t>ショクイン</t>
    </rPh>
    <rPh sb="33" eb="35">
      <t>ウチアワ</t>
    </rPh>
    <rPh sb="36" eb="37">
      <t>トウ</t>
    </rPh>
    <phoneticPr fontId="1"/>
  </si>
  <si>
    <t>１日目</t>
    <rPh sb="1" eb="3">
      <t>ニチメ</t>
    </rPh>
    <phoneticPr fontId="1"/>
  </si>
  <si>
    <t>市区町村</t>
    <rPh sb="0" eb="2">
      <t>シク</t>
    </rPh>
    <rPh sb="2" eb="4">
      <t>チョウソン</t>
    </rPh>
    <phoneticPr fontId="1"/>
  </si>
  <si>
    <r>
      <rPr>
        <b/>
        <sz val="13"/>
        <rFont val="ＤＦ特太ゴシック体"/>
        <family val="3"/>
        <charset val="128"/>
      </rPr>
      <t>←</t>
    </r>
    <r>
      <rPr>
        <sz val="13"/>
        <color rgb="FFFF0000"/>
        <rFont val="HGPｺﾞｼｯｸE"/>
        <family val="3"/>
        <charset val="128"/>
      </rPr>
      <t xml:space="preserve"> ※ 『連絡先電話番号２』は、団体電話番号よりご都合のよい番号があれば訂正可能です。</t>
    </r>
    <rPh sb="30" eb="32">
      <t>バンゴウ</t>
    </rPh>
    <phoneticPr fontId="1"/>
  </si>
  <si>
    <r>
      <rPr>
        <sz val="11"/>
        <color rgb="FFFF0000"/>
        <rFont val="ＤＨＰ特太ゴシック体"/>
        <family val="3"/>
        <charset val="128"/>
      </rPr>
      <t>★</t>
    </r>
    <r>
      <rPr>
        <sz val="11"/>
        <color rgb="FF002060"/>
        <rFont val="ＤＨＰ特太ゴシック体"/>
        <family val="3"/>
        <charset val="128"/>
      </rPr>
      <t xml:space="preserve"> 発注物品・金額については、当施設『利用のご案内』冊子の『参考資料　2 食材・活動物品価格一覧』をご参照ください。</t>
    </r>
    <rPh sb="2" eb="4">
      <t>ハッチュウ</t>
    </rPh>
    <rPh sb="4" eb="6">
      <t>ブッピン</t>
    </rPh>
    <rPh sb="7" eb="9">
      <t>キンガク</t>
    </rPh>
    <rPh sb="15" eb="16">
      <t>トウ</t>
    </rPh>
    <rPh sb="16" eb="18">
      <t>シセツ</t>
    </rPh>
    <rPh sb="19" eb="21">
      <t>リヨウ</t>
    </rPh>
    <rPh sb="23" eb="25">
      <t>アンナイ</t>
    </rPh>
    <rPh sb="26" eb="28">
      <t>サッシ</t>
    </rPh>
    <rPh sb="30" eb="32">
      <t>サンコウ</t>
    </rPh>
    <rPh sb="32" eb="34">
      <t>シリョウ</t>
    </rPh>
    <rPh sb="37" eb="39">
      <t>ショクザイ</t>
    </rPh>
    <rPh sb="40" eb="42">
      <t>カツドウ</t>
    </rPh>
    <rPh sb="42" eb="44">
      <t>ブッピン</t>
    </rPh>
    <rPh sb="44" eb="46">
      <t>カカク</t>
    </rPh>
    <rPh sb="46" eb="48">
      <t>イチラン</t>
    </rPh>
    <rPh sb="51" eb="53">
      <t>サンショウ</t>
    </rPh>
    <phoneticPr fontId="1"/>
  </si>
  <si>
    <t>◎ 当施設『利用のご案内』冊子の『社会教育団体等の利用計画書の記入の仕方』のページをご参照の上、作成してください。</t>
    <rPh sb="43" eb="45">
      <t>サンショウ</t>
    </rPh>
    <rPh sb="46" eb="47">
      <t>ウエ</t>
    </rPh>
    <phoneticPr fontId="1"/>
  </si>
  <si>
    <r>
      <rPr>
        <b/>
        <sz val="13"/>
        <rFont val="ＤＦ特太ゴシック体"/>
        <family val="3"/>
        <charset val="128"/>
      </rPr>
      <t>←</t>
    </r>
    <r>
      <rPr>
        <sz val="13"/>
        <color rgb="FFFF0000"/>
        <rFont val="HGPｺﾞｼｯｸE"/>
        <family val="3"/>
        <charset val="128"/>
      </rPr>
      <t xml:space="preserve"> ※ 「（例） 四日市 市」 などは重複判定で不備扱いになります。正しく入力しても「×」の際は「○」にしてください。</t>
    </r>
    <rPh sb="6" eb="7">
      <t>レイ</t>
    </rPh>
    <rPh sb="9" eb="12">
      <t>ヨッカイチ</t>
    </rPh>
    <rPh sb="13" eb="14">
      <t>シ</t>
    </rPh>
    <rPh sb="19" eb="21">
      <t>チョウフク</t>
    </rPh>
    <rPh sb="21" eb="23">
      <t>ハンテイ</t>
    </rPh>
    <rPh sb="24" eb="26">
      <t>フビ</t>
    </rPh>
    <rPh sb="26" eb="27">
      <t>アツカ</t>
    </rPh>
    <rPh sb="34" eb="35">
      <t>タダ</t>
    </rPh>
    <rPh sb="37" eb="39">
      <t>ニュウリョク</t>
    </rPh>
    <rPh sb="46" eb="47">
      <t>サイ</t>
    </rPh>
    <phoneticPr fontId="1"/>
  </si>
  <si>
    <r>
      <rPr>
        <b/>
        <sz val="11"/>
        <color rgb="FFFF0000"/>
        <rFont val="BIZ UDPゴシック"/>
        <family val="3"/>
        <charset val="128"/>
      </rPr>
      <t>※</t>
    </r>
    <r>
      <rPr>
        <b/>
        <sz val="11"/>
        <rFont val="BIZ UDPゴシック"/>
        <family val="3"/>
        <charset val="128"/>
      </rPr>
      <t xml:space="preserve"> 印刷の設定で必ずページ指定してください。
　（例：印刷枚数</t>
    </r>
    <r>
      <rPr>
        <b/>
        <sz val="11"/>
        <color rgb="FFFF0000"/>
        <rFont val="BIZ UDPゴシック"/>
        <family val="3"/>
        <charset val="128"/>
      </rPr>
      <t>１</t>
    </r>
    <r>
      <rPr>
        <b/>
        <sz val="11"/>
        <rFont val="BIZ UDPゴシック"/>
        <family val="3"/>
        <charset val="128"/>
      </rPr>
      <t>枚 → ページ指定 １から</t>
    </r>
    <r>
      <rPr>
        <b/>
        <sz val="11"/>
        <color rgb="FFFF0000"/>
        <rFont val="BIZ UDPゴシック"/>
        <family val="3"/>
        <charset val="128"/>
      </rPr>
      <t>１</t>
    </r>
    <r>
      <rPr>
        <b/>
        <sz val="11"/>
        <rFont val="BIZ UDPゴシック"/>
        <family val="3"/>
        <charset val="128"/>
      </rPr>
      <t>ﾍﾟｰｼﾞ）</t>
    </r>
    <rPh sb="2" eb="4">
      <t>インサツ</t>
    </rPh>
    <rPh sb="5" eb="7">
      <t>セッテイ</t>
    </rPh>
    <rPh sb="8" eb="9">
      <t>カナラ</t>
    </rPh>
    <rPh sb="13" eb="15">
      <t>シテイ</t>
    </rPh>
    <rPh sb="25" eb="26">
      <t>レイ</t>
    </rPh>
    <rPh sb="27" eb="29">
      <t>インサツ</t>
    </rPh>
    <rPh sb="29" eb="31">
      <t>マイスウ</t>
    </rPh>
    <rPh sb="32" eb="33">
      <t>マイ</t>
    </rPh>
    <rPh sb="39" eb="41">
      <t>シテイ</t>
    </rPh>
    <phoneticPr fontId="1"/>
  </si>
  <si>
    <r>
      <rPr>
        <sz val="14"/>
        <color rgb="FFFF0000"/>
        <rFont val="HGS創英角ｺﾞｼｯｸUB"/>
        <family val="3"/>
        <charset val="128"/>
      </rPr>
      <t>入力後</t>
    </r>
    <r>
      <rPr>
        <sz val="13"/>
        <rFont val="HGS創英角ｺﾞｼｯｸUB"/>
        <family val="3"/>
        <charset val="128"/>
      </rPr>
      <t xml:space="preserve">
の
確 認</t>
    </r>
    <rPh sb="0" eb="2">
      <t>にゅうりょく</t>
    </rPh>
    <rPh sb="2" eb="3">
      <t>ご</t>
    </rPh>
    <rPh sb="6" eb="7">
      <t>かく</t>
    </rPh>
    <rPh sb="8" eb="9">
      <t>にん</t>
    </rPh>
    <phoneticPr fontId="1" type="Hiragana"/>
  </si>
  <si>
    <r>
      <rPr>
        <sz val="11"/>
        <color rgb="FFFF6600"/>
        <rFont val="HGS創英角ｺﾞｼｯｸUB"/>
        <family val="3"/>
        <charset val="128"/>
      </rPr>
      <t>★</t>
    </r>
    <r>
      <rPr>
        <sz val="11"/>
        <rFont val="HGS創英角ｺﾞｼｯｸUB"/>
        <family val="3"/>
        <charset val="128"/>
      </rPr>
      <t xml:space="preserve"> </t>
    </r>
    <r>
      <rPr>
        <sz val="10.5"/>
        <rFont val="HGS創英角ｺﾞｼｯｸUB"/>
        <family val="3"/>
        <charset val="128"/>
      </rPr>
      <t>名簿の行は</t>
    </r>
    <r>
      <rPr>
        <sz val="10.5"/>
        <color rgb="FFFF0000"/>
        <rFont val="HGS創英角ｺﾞｼｯｸUB"/>
        <family val="3"/>
        <charset val="128"/>
      </rPr>
      <t>あいだをあけず</t>
    </r>
    <r>
      <rPr>
        <sz val="10.5"/>
        <rFont val="HGS創英角ｺﾞｼｯｸUB"/>
        <family val="3"/>
        <charset val="128"/>
      </rPr>
      <t>、続けて入力してください。</t>
    </r>
    <r>
      <rPr>
        <sz val="11"/>
        <rFont val="HGS創英角ｺﾞｼｯｸUB"/>
        <family val="3"/>
        <charset val="128"/>
      </rPr>
      <t xml:space="preserve">
</t>
    </r>
    <r>
      <rPr>
        <sz val="11"/>
        <color rgb="FFFF6600"/>
        <rFont val="HGS創英角ｺﾞｼｯｸUB"/>
        <family val="3"/>
        <charset val="128"/>
      </rPr>
      <t>★</t>
    </r>
    <r>
      <rPr>
        <sz val="11"/>
        <rFont val="HGS創英角ｺﾞｼｯｸUB"/>
        <family val="3"/>
        <charset val="128"/>
      </rPr>
      <t xml:space="preserve"> </t>
    </r>
    <r>
      <rPr>
        <sz val="10.5"/>
        <color rgb="FFFF0000"/>
        <rFont val="HGS創英角ｺﾞｼｯｸUB"/>
        <family val="3"/>
        <charset val="128"/>
      </rPr>
      <t>料金に関わる</t>
    </r>
    <r>
      <rPr>
        <sz val="10.5"/>
        <rFont val="HGS創英角ｺﾞｼｯｸUB"/>
        <family val="3"/>
        <charset val="128"/>
      </rPr>
      <t>ため、</t>
    </r>
    <r>
      <rPr>
        <sz val="10.5"/>
        <color rgb="FFFF0000"/>
        <rFont val="HGS創英角ｺﾞｼｯｸUB"/>
        <family val="3"/>
        <charset val="128"/>
      </rPr>
      <t>正確に</t>
    </r>
    <r>
      <rPr>
        <sz val="10.5"/>
        <rFont val="HGS創英角ｺﾞｼｯｸUB"/>
        <family val="3"/>
        <charset val="128"/>
      </rPr>
      <t>入力してください。</t>
    </r>
    <rPh sb="2" eb="4">
      <t>メイボ</t>
    </rPh>
    <rPh sb="5" eb="6">
      <t>ギョウ</t>
    </rPh>
    <rPh sb="15" eb="16">
      <t>ツヅ</t>
    </rPh>
    <rPh sb="18" eb="20">
      <t>ニュウリョク</t>
    </rPh>
    <rPh sb="30" eb="32">
      <t>リョウキン</t>
    </rPh>
    <rPh sb="33" eb="34">
      <t>カカ</t>
    </rPh>
    <rPh sb="39" eb="41">
      <t>セイカク</t>
    </rPh>
    <rPh sb="42" eb="44">
      <t>ニュウリョク</t>
    </rPh>
    <phoneticPr fontId="1"/>
  </si>
  <si>
    <t>（集計用）</t>
    <rPh sb="1" eb="3">
      <t>シュウケイ</t>
    </rPh>
    <rPh sb="3" eb="4">
      <t>ヨウ</t>
    </rPh>
    <phoneticPr fontId="60"/>
  </si>
  <si>
    <t>５日目</t>
    <rPh sb="0" eb="2">
      <t>イツカ</t>
    </rPh>
    <rPh sb="2" eb="3">
      <t>メ</t>
    </rPh>
    <phoneticPr fontId="60"/>
  </si>
  <si>
    <t>６日目</t>
    <rPh sb="0" eb="2">
      <t>ムイカ</t>
    </rPh>
    <rPh sb="2" eb="3">
      <t>メ</t>
    </rPh>
    <phoneticPr fontId="60"/>
  </si>
  <si>
    <t>実利用数</t>
    <rPh sb="0" eb="1">
      <t>ジツ</t>
    </rPh>
    <rPh sb="1" eb="4">
      <t>リヨウスウ</t>
    </rPh>
    <phoneticPr fontId="60"/>
  </si>
  <si>
    <t>男</t>
    <rPh sb="0" eb="1">
      <t>オトコ</t>
    </rPh>
    <phoneticPr fontId="60"/>
  </si>
  <si>
    <t>女</t>
    <rPh sb="0" eb="1">
      <t>オンナ</t>
    </rPh>
    <phoneticPr fontId="60"/>
  </si>
  <si>
    <t>その他</t>
    <phoneticPr fontId="60"/>
  </si>
  <si>
    <t>食事数</t>
    <rPh sb="0" eb="2">
      <t>ショクジ</t>
    </rPh>
    <rPh sb="2" eb="3">
      <t>スウ</t>
    </rPh>
    <phoneticPr fontId="60"/>
  </si>
  <si>
    <t>その他</t>
    <phoneticPr fontId="60"/>
  </si>
  <si>
    <t>４日目</t>
    <phoneticPr fontId="60"/>
  </si>
  <si>
    <t>その他</t>
    <phoneticPr fontId="60"/>
  </si>
  <si>
    <t>宿</t>
    <rPh sb="0" eb="1">
      <t>シュク</t>
    </rPh>
    <phoneticPr fontId="1"/>
  </si>
  <si>
    <t>日帰</t>
    <rPh sb="0" eb="1">
      <t>ヒ</t>
    </rPh>
    <rPh sb="1" eb="2">
      <t>カエ</t>
    </rPh>
    <phoneticPr fontId="1"/>
  </si>
  <si>
    <t>宿+日帰</t>
    <rPh sb="0" eb="1">
      <t>シュク</t>
    </rPh>
    <rPh sb="2" eb="3">
      <t>ヒ</t>
    </rPh>
    <rPh sb="3" eb="4">
      <t>カエ</t>
    </rPh>
    <phoneticPr fontId="1"/>
  </si>
  <si>
    <t>費用総計（仮）</t>
  </si>
  <si>
    <t>プール</t>
    <phoneticPr fontId="1" type="Hiragana"/>
  </si>
  <si>
    <t>団体所在地</t>
    <rPh sb="0" eb="2">
      <t>ダンタイ</t>
    </rPh>
    <rPh sb="2" eb="5">
      <t>ショザイチ</t>
    </rPh>
    <phoneticPr fontId="1"/>
  </si>
  <si>
    <t>↓</t>
    <phoneticPr fontId="1"/>
  </si>
  <si>
    <t>入力ﾍﾟｰｼﾞ</t>
    <rPh sb="0" eb="2">
      <t>ニュウリョク</t>
    </rPh>
    <phoneticPr fontId="1"/>
  </si>
  <si>
    <t>※ かならず確認を！</t>
    <rPh sb="6" eb="8">
      <t>カクニン</t>
    </rPh>
    <phoneticPr fontId="1"/>
  </si>
  <si>
    <t>名簿入力</t>
    <rPh sb="0" eb="2">
      <t>メイボ</t>
    </rPh>
    <rPh sb="2" eb="4">
      <t>ニュウリョク</t>
    </rPh>
    <phoneticPr fontId="1"/>
  </si>
  <si>
    <t>中学以下</t>
    <rPh sb="0" eb="2">
      <t>チュウガク</t>
    </rPh>
    <rPh sb="2" eb="3">
      <t>イ</t>
    </rPh>
    <rPh sb="3" eb="4">
      <t>シタ</t>
    </rPh>
    <phoneticPr fontId="1"/>
  </si>
  <si>
    <t>その他</t>
    <rPh sb="2" eb="3">
      <t>タ</t>
    </rPh>
    <phoneticPr fontId="1"/>
  </si>
  <si>
    <t>その他</t>
    <rPh sb="2" eb="3">
      <t>タ</t>
    </rPh>
    <phoneticPr fontId="1"/>
  </si>
  <si>
    <t>泊</t>
    <rPh sb="0" eb="1">
      <t>ハク</t>
    </rPh>
    <phoneticPr fontId="1"/>
  </si>
  <si>
    <t>← 名簿に入力された『宿泊』数で計算</t>
    <rPh sb="2" eb="4">
      <t>メイボ</t>
    </rPh>
    <rPh sb="5" eb="7">
      <t>ニュウリョク</t>
    </rPh>
    <rPh sb="11" eb="13">
      <t>シュクハク</t>
    </rPh>
    <rPh sb="14" eb="15">
      <t>スウ</t>
    </rPh>
    <rPh sb="16" eb="18">
      <t>ケイサン</t>
    </rPh>
    <phoneticPr fontId="1"/>
  </si>
  <si>
    <t>← 入力ページでの注文数で計算</t>
    <rPh sb="2" eb="4">
      <t>ニュウリョク</t>
    </rPh>
    <rPh sb="9" eb="12">
      <t>チュウモンスウ</t>
    </rPh>
    <rPh sb="13" eb="15">
      <t>ケイサン</t>
    </rPh>
    <phoneticPr fontId="1"/>
  </si>
  <si>
    <t>その他</t>
    <rPh sb="2" eb="3">
      <t>た</t>
    </rPh>
    <phoneticPr fontId="1" type="Hiragana"/>
  </si>
  <si>
    <t>リネン料金</t>
    <rPh sb="3" eb="5">
      <t>りょうきん</t>
    </rPh>
    <phoneticPr fontId="1" type="Hiragana"/>
  </si>
  <si>
    <t>共通</t>
    <rPh sb="0" eb="2">
      <t>キョウツウ</t>
    </rPh>
    <phoneticPr fontId="1"/>
  </si>
  <si>
    <t>小学生</t>
    <rPh sb="0" eb="3">
      <t>ショウガクセイ</t>
    </rPh>
    <phoneticPr fontId="1"/>
  </si>
  <si>
    <t>中学以上</t>
    <rPh sb="0" eb="2">
      <t>チュウガク</t>
    </rPh>
    <rPh sb="2" eb="4">
      <t>イジョウ</t>
    </rPh>
    <phoneticPr fontId="1"/>
  </si>
  <si>
    <t>中学以上</t>
    <rPh sb="0" eb="2">
      <t>チュウガク</t>
    </rPh>
    <rPh sb="2" eb="3">
      <t>イ</t>
    </rPh>
    <rPh sb="3" eb="4">
      <t>ジョウ</t>
    </rPh>
    <phoneticPr fontId="60"/>
  </si>
  <si>
    <t>３歳-学前</t>
    <rPh sb="1" eb="2">
      <t>サイ</t>
    </rPh>
    <rPh sb="3" eb="5">
      <t>ガクマエ</t>
    </rPh>
    <rPh sb="4" eb="5">
      <t>マエ</t>
    </rPh>
    <phoneticPr fontId="60"/>
  </si>
  <si>
    <t>円</t>
    <rPh sb="0" eb="1">
      <t>えん</t>
    </rPh>
    <phoneticPr fontId="1" type="Hiragana"/>
  </si>
  <si>
    <t>組</t>
    <rPh sb="0" eb="1">
      <t>クミ</t>
    </rPh>
    <phoneticPr fontId="1"/>
  </si>
  <si>
    <r>
      <rPr>
        <b/>
        <sz val="13"/>
        <color rgb="FFFF6600"/>
        <rFont val="BIZ UDゴシック"/>
        <family val="3"/>
        <charset val="128"/>
      </rPr>
      <t xml:space="preserve"> ★</t>
    </r>
    <r>
      <rPr>
        <b/>
        <sz val="10.5"/>
        <color rgb="FF000000"/>
        <rFont val="BIZ UDゴシック"/>
        <family val="3"/>
        <charset val="128"/>
      </rPr>
      <t xml:space="preserve"> </t>
    </r>
    <r>
      <rPr>
        <b/>
        <sz val="10.5"/>
        <color rgb="FFFF0000"/>
        <rFont val="BIZ UDゴシック"/>
        <family val="3"/>
        <charset val="128"/>
      </rPr>
      <t>領収書</t>
    </r>
    <r>
      <rPr>
        <b/>
        <sz val="10.5"/>
        <color rgb="FF000000"/>
        <rFont val="BIZ UDゴシック"/>
        <family val="3"/>
        <charset val="128"/>
      </rPr>
      <t>（施設利用料・光熱水費・リネン料）は、原則として</t>
    </r>
    <r>
      <rPr>
        <b/>
        <sz val="10.5"/>
        <color rgb="FFFF0000"/>
        <rFont val="BIZ UDゴシック"/>
        <family val="3"/>
        <charset val="128"/>
      </rPr>
      <t>１団体につき１枚</t>
    </r>
    <r>
      <rPr>
        <b/>
        <sz val="10.5"/>
        <rFont val="BIZ UDゴシック"/>
        <family val="3"/>
        <charset val="128"/>
      </rPr>
      <t>です</t>
    </r>
    <r>
      <rPr>
        <b/>
        <sz val="10.5"/>
        <color rgb="FF000000"/>
        <rFont val="BIZ UDゴシック"/>
        <family val="3"/>
        <charset val="128"/>
      </rPr>
      <t xml:space="preserve">。
</t>
    </r>
    <r>
      <rPr>
        <b/>
        <sz val="13"/>
        <color rgb="FF000000"/>
        <rFont val="BIZ UDゴシック"/>
        <family val="3"/>
        <charset val="128"/>
      </rPr>
      <t xml:space="preserve"> 　</t>
    </r>
    <r>
      <rPr>
        <b/>
        <sz val="10.5"/>
        <color rgb="FF000000"/>
        <rFont val="BIZ UDゴシック"/>
        <family val="3"/>
        <charset val="128"/>
      </rPr>
      <t xml:space="preserve"> 領収書の宛名が団体名と同じでよい場合は、下の表１段目の（　　）に○を入力し、必要項目を入力してください。
</t>
    </r>
    <r>
      <rPr>
        <b/>
        <sz val="13"/>
        <color rgb="FF000000"/>
        <rFont val="BIZ UDゴシック"/>
        <family val="3"/>
        <charset val="128"/>
      </rPr>
      <t xml:space="preserve"> 　</t>
    </r>
    <r>
      <rPr>
        <b/>
        <sz val="10.5"/>
        <color rgb="FF000000"/>
        <rFont val="BIZ UDゴシック"/>
        <family val="3"/>
        <charset val="128"/>
      </rPr>
      <t xml:space="preserve"> やむを得ず領収書を分割する必要がある場合は、下の表の２段目以降の欄もご利用ください。</t>
    </r>
    <r>
      <rPr>
        <b/>
        <sz val="13"/>
        <color rgb="FF000000"/>
        <rFont val="BIZ UDゴシック"/>
        <family val="3"/>
        <charset val="128"/>
      </rPr>
      <t/>
    </r>
    <rPh sb="3" eb="6">
      <t>りょうしゅうしょ</t>
    </rPh>
    <rPh sb="7" eb="9">
      <t>しせつ</t>
    </rPh>
    <rPh sb="9" eb="12">
      <t>りようりょう</t>
    </rPh>
    <rPh sb="13" eb="17">
      <t>こうねつすいひ</t>
    </rPh>
    <rPh sb="21" eb="22">
      <t>りょう</t>
    </rPh>
    <rPh sb="25" eb="27">
      <t>げんそく</t>
    </rPh>
    <rPh sb="31" eb="33">
      <t>だんたい</t>
    </rPh>
    <rPh sb="37" eb="38">
      <t>まい</t>
    </rPh>
    <rPh sb="65" eb="66">
      <t>した</t>
    </rPh>
    <rPh sb="67" eb="68">
      <t>ひょう</t>
    </rPh>
    <rPh sb="83" eb="85">
      <t>ひつよう</t>
    </rPh>
    <rPh sb="85" eb="87">
      <t>こうもく</t>
    </rPh>
    <rPh sb="88" eb="90">
      <t>にゅうりょく</t>
    </rPh>
    <rPh sb="104" eb="105">
      <t>え</t>
    </rPh>
    <rPh sb="106" eb="109">
      <t>りょうしゅうしょ</t>
    </rPh>
    <rPh sb="110" eb="112">
      <t>ぶんかつ</t>
    </rPh>
    <rPh sb="114" eb="116">
      <t>ひつよう</t>
    </rPh>
    <rPh sb="119" eb="121">
      <t>ばあい</t>
    </rPh>
    <rPh sb="133" eb="134">
      <t>らん</t>
    </rPh>
    <phoneticPr fontId="1" type="Hiragana"/>
  </si>
  <si>
    <t>注文数</t>
    <rPh sb="0" eb="2">
      <t>チュウモン</t>
    </rPh>
    <rPh sb="2" eb="3">
      <t>スウ</t>
    </rPh>
    <phoneticPr fontId="1"/>
  </si>
  <si>
    <t>宿泊利用</t>
    <rPh sb="0" eb="2">
      <t>シュクハク</t>
    </rPh>
    <rPh sb="2" eb="4">
      <t>リヨウ</t>
    </rPh>
    <phoneticPr fontId="1"/>
  </si>
  <si>
    <t>シーツ（リネン）
１組の料金</t>
    <rPh sb="10" eb="11">
      <t>ク</t>
    </rPh>
    <rPh sb="12" eb="14">
      <t>リョウキン</t>
    </rPh>
    <phoneticPr fontId="1"/>
  </si>
  <si>
    <t>添い寝</t>
    <rPh sb="0" eb="1">
      <t>ソ</t>
    </rPh>
    <rPh sb="2" eb="3">
      <t>ネ</t>
    </rPh>
    <phoneticPr fontId="1"/>
  </si>
  <si>
    <t>栃木県・茨城県鉾田市以外は</t>
    <rPh sb="0" eb="3">
      <t>トチギケン</t>
    </rPh>
    <rPh sb="4" eb="7">
      <t>イバラキケン</t>
    </rPh>
    <rPh sb="7" eb="10">
      <t>ホコタシ</t>
    </rPh>
    <rPh sb="10" eb="12">
      <t>イガイ</t>
    </rPh>
    <phoneticPr fontId="1"/>
  </si>
  <si>
    <r>
      <t xml:space="preserve">【その他 </t>
    </r>
    <r>
      <rPr>
        <sz val="8"/>
        <color rgb="FF00B050"/>
        <rFont val="HGP創英角ｺﾞｼｯｸUB"/>
        <family val="3"/>
        <charset val="128"/>
      </rPr>
      <t>（バス・カメラマン等）</t>
    </r>
    <rPh sb="3" eb="4">
      <t>タ</t>
    </rPh>
    <rPh sb="14" eb="15">
      <t>トウ</t>
    </rPh>
    <phoneticPr fontId="1"/>
  </si>
  <si>
    <r>
      <rPr>
        <sz val="9"/>
        <color rgb="FF00B050"/>
        <rFont val="HGP創英角ｺﾞｼｯｸUB"/>
        <family val="3"/>
        <charset val="128"/>
      </rPr>
      <t>名 含む】</t>
    </r>
    <r>
      <rPr>
        <sz val="9"/>
        <color rgb="FF0070C0"/>
        <rFont val="HGP創英角ｺﾞｼｯｸUB"/>
        <family val="3"/>
        <charset val="128"/>
      </rPr>
      <t xml:space="preserve"> </t>
    </r>
    <r>
      <rPr>
        <b/>
        <sz val="10"/>
        <color rgb="FFFF0066"/>
        <rFont val="ＤＦ特太ゴシック体"/>
        <family val="3"/>
        <charset val="128"/>
      </rPr>
      <t>↑</t>
    </r>
    <rPh sb="0" eb="1">
      <t>めい</t>
    </rPh>
    <rPh sb="2" eb="3">
      <t>ふく</t>
    </rPh>
    <phoneticPr fontId="1" type="Hiragana"/>
  </si>
  <si>
    <r>
      <rPr>
        <sz val="10"/>
        <color rgb="FFFF0000"/>
        <rFont val="HGPｺﾞｼｯｸE"/>
        <family val="3"/>
        <charset val="128"/>
      </rPr>
      <t>県外</t>
    </r>
    <r>
      <rPr>
        <sz val="9"/>
        <rFont val="HGPｺﾞｼｯｸE"/>
        <family val="3"/>
        <charset val="128"/>
      </rPr>
      <t>に変更</t>
    </r>
    <rPh sb="0" eb="2">
      <t>ケンガイ</t>
    </rPh>
    <rPh sb="3" eb="5">
      <t>ヘンコウ</t>
    </rPh>
    <phoneticPr fontId="1"/>
  </si>
  <si>
    <r>
      <rPr>
        <b/>
        <sz val="14"/>
        <color theme="1"/>
        <rFont val="HG丸ｺﾞｼｯｸM-PRO"/>
        <family val="3"/>
        <charset val="128"/>
      </rPr>
      <t xml:space="preserve"> </t>
    </r>
    <r>
      <rPr>
        <b/>
        <sz val="14"/>
        <color rgb="FF333399"/>
        <rFont val="HG丸ｺﾞｼｯｸM-PRO"/>
        <family val="3"/>
        <charset val="128"/>
      </rPr>
      <t>● 料金設定</t>
    </r>
    <r>
      <rPr>
        <b/>
        <sz val="14"/>
        <color theme="1"/>
        <rFont val="HG丸ｺﾞｼｯｸM-PRO"/>
        <family val="3"/>
        <charset val="128"/>
      </rPr>
      <t/>
    </r>
    <rPh sb="3" eb="5">
      <t>リョウキン</t>
    </rPh>
    <rPh sb="5" eb="7">
      <t>セッテイ</t>
    </rPh>
    <phoneticPr fontId="1"/>
  </si>
  <si>
    <t xml:space="preserve">  ※</t>
    <phoneticPr fontId="1" type="Hiragana"/>
  </si>
  <si>
    <t>欄の金額を編集すると全シートの金額欄が変更されます。</t>
    <rPh sb="0" eb="1">
      <t>ラン</t>
    </rPh>
    <rPh sb="2" eb="4">
      <t>キンガク</t>
    </rPh>
    <rPh sb="5" eb="7">
      <t>ヘンシュウ</t>
    </rPh>
    <rPh sb="10" eb="11">
      <t>ゼン</t>
    </rPh>
    <rPh sb="15" eb="17">
      <t>キンガク</t>
    </rPh>
    <rPh sb="17" eb="18">
      <t>ラン</t>
    </rPh>
    <rPh sb="19" eb="21">
      <t>ヘンコウ</t>
    </rPh>
    <phoneticPr fontId="1"/>
  </si>
  <si>
    <t>(テント)</t>
    <phoneticPr fontId="1" type="Hiragana"/>
  </si>
  <si>
    <t>宿　泊</t>
    <rPh sb="0" eb="1">
      <t>やど</t>
    </rPh>
    <rPh sb="2" eb="3">
      <t>はく</t>
    </rPh>
    <phoneticPr fontId="1" type="Hiragana"/>
  </si>
  <si>
    <t>(テント)</t>
    <phoneticPr fontId="1" type="Hiragana"/>
  </si>
  <si>
    <t>昼　食</t>
    <rPh sb="0" eb="1">
      <t>ヒル</t>
    </rPh>
    <rPh sb="2" eb="3">
      <t>ショク</t>
    </rPh>
    <phoneticPr fontId="1"/>
  </si>
  <si>
    <t>朝　食</t>
    <rPh sb="0" eb="1">
      <t>アサ</t>
    </rPh>
    <rPh sb="2" eb="3">
      <t>ショク</t>
    </rPh>
    <phoneticPr fontId="1"/>
  </si>
  <si>
    <r>
      <rPr>
        <sz val="12"/>
        <rFont val="HGS創英角ｺﾞｼｯｸUB"/>
        <family val="3"/>
        <charset val="128"/>
      </rPr>
      <t xml:space="preserve"> ←</t>
    </r>
    <r>
      <rPr>
        <sz val="11"/>
        <rFont val="HGS創英角ｺﾞｼｯｸUB"/>
        <family val="3"/>
        <charset val="128"/>
      </rPr>
      <t>　</t>
    </r>
    <r>
      <rPr>
        <sz val="11"/>
        <color rgb="FFFF0000"/>
        <rFont val="HGS創英角ｺﾞｼｯｸUB"/>
        <family val="3"/>
        <charset val="128"/>
      </rPr>
      <t>※</t>
    </r>
    <r>
      <rPr>
        <sz val="11"/>
        <rFont val="HGS創英角ｺﾞｼｯｸUB"/>
        <family val="3"/>
        <charset val="128"/>
      </rPr>
      <t>『</t>
    </r>
    <r>
      <rPr>
        <sz val="11"/>
        <color rgb="FFFF0000"/>
        <rFont val="HGS創英角ｺﾞｼｯｸUB"/>
        <family val="3"/>
        <charset val="128"/>
      </rPr>
      <t>提出不可</t>
    </r>
    <r>
      <rPr>
        <sz val="11"/>
        <rFont val="HGS創英角ｺﾞｼｯｸUB"/>
        <family val="3"/>
        <charset val="128"/>
      </rPr>
      <t>』の状態では資料を</t>
    </r>
    <r>
      <rPr>
        <sz val="11"/>
        <color rgb="FFFF0000"/>
        <rFont val="HGS創英角ｺﾞｼｯｸUB"/>
        <family val="3"/>
        <charset val="128"/>
      </rPr>
      <t>お受けできません</t>
    </r>
    <r>
      <rPr>
        <sz val="11"/>
        <rFont val="HGS創英角ｺﾞｼｯｸUB"/>
        <family val="3"/>
        <charset val="128"/>
      </rPr>
      <t>。お困りの際は施設までご連絡ください。 (☎ ０２９１-３７-４００４)</t>
    </r>
    <rPh sb="5" eb="7">
      <t>ていしゅつ</t>
    </rPh>
    <rPh sb="7" eb="9">
      <t>ふか</t>
    </rPh>
    <rPh sb="11" eb="13">
      <t>じょうたい</t>
    </rPh>
    <rPh sb="15" eb="17">
      <t>しりょう</t>
    </rPh>
    <rPh sb="19" eb="20">
      <t>う</t>
    </rPh>
    <rPh sb="28" eb="29">
      <t>こま</t>
    </rPh>
    <rPh sb="31" eb="32">
      <t>さい</t>
    </rPh>
    <rPh sb="33" eb="35">
      <t>しせつ</t>
    </rPh>
    <rPh sb="38" eb="40">
      <t>れんらく</t>
    </rPh>
    <phoneticPr fontId="1" type="Hiragana"/>
  </si>
  <si>
    <r>
      <rPr>
        <b/>
        <sz val="14"/>
        <color theme="1"/>
        <rFont val="HG丸ｺﾞｼｯｸM-PRO"/>
        <family val="3"/>
        <charset val="128"/>
      </rPr>
      <t xml:space="preserve"> </t>
    </r>
    <r>
      <rPr>
        <b/>
        <sz val="14"/>
        <color rgb="FF333399"/>
        <rFont val="HG丸ｺﾞｼｯｸM-PRO"/>
        <family val="3"/>
        <charset val="128"/>
      </rPr>
      <t>● 閉所日（要勤務日以外）</t>
    </r>
    <r>
      <rPr>
        <b/>
        <sz val="14"/>
        <color theme="1"/>
        <rFont val="HG丸ｺﾞｼｯｸM-PRO"/>
        <family val="3"/>
        <charset val="128"/>
      </rPr>
      <t xml:space="preserve">  </t>
    </r>
    <r>
      <rPr>
        <sz val="10"/>
        <color theme="1"/>
        <rFont val="HG丸ｺﾞｼｯｸM-PRO"/>
        <family val="3"/>
        <charset val="128"/>
      </rPr>
      <t>※前年度２月分から入力</t>
    </r>
    <rPh sb="3" eb="5">
      <t>ヘイショ</t>
    </rPh>
    <rPh sb="5" eb="6">
      <t>ヒ</t>
    </rPh>
    <rPh sb="7" eb="8">
      <t>ヨウ</t>
    </rPh>
    <rPh sb="8" eb="10">
      <t>キンム</t>
    </rPh>
    <rPh sb="10" eb="11">
      <t>ビ</t>
    </rPh>
    <rPh sb="11" eb="13">
      <t>イガイ</t>
    </rPh>
    <phoneticPr fontId="1"/>
  </si>
  <si>
    <t>3歳-学前</t>
    <phoneticPr fontId="1"/>
  </si>
  <si>
    <t>3歳-学前</t>
    <phoneticPr fontId="1"/>
  </si>
  <si>
    <t>3歳-学前</t>
    <phoneticPr fontId="1"/>
  </si>
  <si>
    <t>リネン</t>
    <phoneticPr fontId="1" type="Hiragana"/>
  </si>
  <si>
    <t>（１組）</t>
    <rPh sb="2" eb="3">
      <t>く</t>
    </rPh>
    <phoneticPr fontId="1" type="Hiragana"/>
  </si>
  <si>
    <r>
      <rPr>
        <sz val="10"/>
        <color rgb="FFFF0000"/>
        <rFont val="HGSｺﾞｼｯｸE"/>
        <family val="3"/>
        <charset val="128"/>
      </rPr>
      <t xml:space="preserve">※ </t>
    </r>
    <r>
      <rPr>
        <sz val="9"/>
        <color theme="4" tint="-0.249977111117893"/>
        <rFont val="HGSｺﾞｼｯｸE"/>
        <family val="3"/>
        <charset val="128"/>
      </rPr>
      <t>左上の『県内』『県外』を切り替えると、</t>
    </r>
    <r>
      <rPr>
        <sz val="10"/>
        <color theme="4" tint="-0.249977111117893"/>
        <rFont val="HGSｺﾞｼｯｸE"/>
        <family val="3"/>
        <charset val="128"/>
      </rPr>
      <t xml:space="preserve">
　 </t>
    </r>
    <r>
      <rPr>
        <sz val="9"/>
        <color theme="4" tint="-0.249977111117893"/>
        <rFont val="HGSｺﾞｼｯｸE"/>
        <family val="3"/>
        <charset val="128"/>
      </rPr>
      <t>表示金額が変わります。</t>
    </r>
    <r>
      <rPr>
        <sz val="10"/>
        <color theme="4" tint="-0.249977111117893"/>
        <rFont val="HGSｺﾞｼｯｸE"/>
        <family val="3"/>
        <charset val="128"/>
      </rPr>
      <t xml:space="preserve">
　 </t>
    </r>
    <r>
      <rPr>
        <sz val="9"/>
        <color theme="4" tint="-0.249977111117893"/>
        <rFont val="HGSｺﾞｼｯｸE"/>
        <family val="3"/>
        <charset val="128"/>
      </rPr>
      <t>金額編集は『施設管理』シートにて。</t>
    </r>
    <rPh sb="2" eb="3">
      <t>ヒダリ</t>
    </rPh>
    <rPh sb="3" eb="4">
      <t>ウエ</t>
    </rPh>
    <rPh sb="6" eb="8">
      <t>ケンナイ</t>
    </rPh>
    <rPh sb="10" eb="12">
      <t>ケンガイ</t>
    </rPh>
    <rPh sb="14" eb="15">
      <t>キ</t>
    </rPh>
    <rPh sb="16" eb="17">
      <t>カ</t>
    </rPh>
    <rPh sb="24" eb="26">
      <t>ヒョウジ</t>
    </rPh>
    <rPh sb="26" eb="28">
      <t>キンガク</t>
    </rPh>
    <rPh sb="29" eb="30">
      <t>カ</t>
    </rPh>
    <rPh sb="38" eb="40">
      <t>キンガク</t>
    </rPh>
    <rPh sb="40" eb="42">
      <t>ヘンシュウ</t>
    </rPh>
    <rPh sb="44" eb="46">
      <t>シセツ</t>
    </rPh>
    <rPh sb="46" eb="48">
      <t>カンリ</t>
    </rPh>
    <phoneticPr fontId="1"/>
  </si>
  <si>
    <t>※ ｢宿泊者数｣－｢リネン注文数｣</t>
    <rPh sb="3" eb="6">
      <t>シュクハクシャ</t>
    </rPh>
    <rPh sb="6" eb="7">
      <t>スウ</t>
    </rPh>
    <rPh sb="13" eb="16">
      <t>チュウモンスウ</t>
    </rPh>
    <phoneticPr fontId="1"/>
  </si>
  <si>
    <t>食</t>
    <rPh sb="0" eb="1">
      <t>しょく</t>
    </rPh>
    <phoneticPr fontId="1" type="Hiragana"/>
  </si>
  <si>
    <t>計</t>
    <rPh sb="0" eb="1">
      <t>けい</t>
    </rPh>
    <phoneticPr fontId="1" type="Hiragana"/>
  </si>
  <si>
    <t>県外</t>
  </si>
  <si>
    <t>朝食</t>
    <rPh sb="0" eb="1">
      <t>あさ</t>
    </rPh>
    <rPh sb="1" eb="2">
      <t>しょく</t>
    </rPh>
    <phoneticPr fontId="1" type="Hiragana"/>
  </si>
  <si>
    <t>昼食</t>
    <rPh sb="0" eb="1">
      <t>ひる</t>
    </rPh>
    <rPh sb="1" eb="2">
      <t>しょく</t>
    </rPh>
    <phoneticPr fontId="1" type="Hiragana"/>
  </si>
  <si>
    <t>夕食</t>
    <rPh sb="0" eb="1">
      <t>ゆう</t>
    </rPh>
    <rPh sb="1" eb="2">
      <t>しょく</t>
    </rPh>
    <phoneticPr fontId="1" type="Hiragana"/>
  </si>
  <si>
    <t>食材・物品計</t>
    <rPh sb="0" eb="2">
      <t>しょくざい</t>
    </rPh>
    <rPh sb="3" eb="5">
      <t>ぶっぴん</t>
    </rPh>
    <rPh sb="5" eb="6">
      <t>けい</t>
    </rPh>
    <phoneticPr fontId="1" type="Hiragana"/>
  </si>
  <si>
    <t>～</t>
    <phoneticPr fontId="60"/>
  </si>
  <si>
    <t>区分</t>
    <rPh sb="0" eb="2">
      <t>クブン</t>
    </rPh>
    <phoneticPr fontId="60"/>
  </si>
  <si>
    <t>※ プール利用者数は表に直接、人数の入力が必要です。</t>
    <rPh sb="5" eb="8">
      <t>リヨウシャ</t>
    </rPh>
    <rPh sb="8" eb="9">
      <t>スウ</t>
    </rPh>
    <rPh sb="10" eb="11">
      <t>ヒョウ</t>
    </rPh>
    <rPh sb="12" eb="14">
      <t>チョクセツ</t>
    </rPh>
    <rPh sb="15" eb="17">
      <t>ニンズウ</t>
    </rPh>
    <rPh sb="18" eb="20">
      <t>ニュウリョク</t>
    </rPh>
    <rPh sb="21" eb="23">
      <t>ヒツヨウ</t>
    </rPh>
    <phoneticPr fontId="1"/>
  </si>
  <si>
    <r>
      <rPr>
        <b/>
        <sz val="13"/>
        <color rgb="FFFF6600"/>
        <rFont val="BIZ UDゴシック"/>
        <family val="3"/>
        <charset val="128"/>
      </rPr>
      <t xml:space="preserve"> ★</t>
    </r>
    <r>
      <rPr>
        <b/>
        <sz val="10.5"/>
        <color rgb="FF000000"/>
        <rFont val="BIZ UDゴシック"/>
        <family val="3"/>
        <charset val="128"/>
      </rPr>
      <t xml:space="preserve"> </t>
    </r>
    <r>
      <rPr>
        <b/>
        <sz val="10.5"/>
        <color rgb="FFFF0000"/>
        <rFont val="BIZ UDゴシック"/>
        <family val="3"/>
        <charset val="128"/>
      </rPr>
      <t>入所後～退所前まで</t>
    </r>
    <r>
      <rPr>
        <b/>
        <sz val="10.5"/>
        <color rgb="FF000000"/>
        <rFont val="BIZ UDゴシック"/>
        <family val="3"/>
        <charset val="128"/>
      </rPr>
      <t>の食事について、</t>
    </r>
    <r>
      <rPr>
        <b/>
        <sz val="10.5"/>
        <color rgb="FF0070C0"/>
        <rFont val="BIZ UDゴシック"/>
        <family val="3"/>
        <charset val="128"/>
      </rPr>
      <t>通常食欄（各食事４か所）</t>
    </r>
    <r>
      <rPr>
        <b/>
        <sz val="10.5"/>
        <rFont val="BIZ UDゴシック"/>
        <family val="3"/>
        <charset val="128"/>
      </rPr>
      <t>か</t>
    </r>
    <r>
      <rPr>
        <b/>
        <sz val="10.5"/>
        <color rgb="FF0070C0"/>
        <rFont val="BIZ UDゴシック"/>
        <family val="3"/>
        <charset val="128"/>
      </rPr>
      <t>野外調理欄</t>
    </r>
    <r>
      <rPr>
        <b/>
        <sz val="10.5"/>
        <color rgb="FF000000"/>
        <rFont val="BIZ UDゴシック"/>
        <family val="3"/>
        <charset val="128"/>
      </rPr>
      <t>の</t>
    </r>
    <r>
      <rPr>
        <b/>
        <sz val="10.5"/>
        <color rgb="FFFF0000"/>
        <rFont val="BIZ UDゴシック"/>
        <family val="3"/>
        <charset val="128"/>
      </rPr>
      <t>どちらかは必ず入力</t>
    </r>
    <r>
      <rPr>
        <b/>
        <sz val="10.5"/>
        <color rgb="FF000000"/>
        <rFont val="BIZ UDゴシック"/>
        <family val="3"/>
        <charset val="128"/>
      </rPr>
      <t xml:space="preserve">されているようにしてください。
</t>
    </r>
    <r>
      <rPr>
        <b/>
        <sz val="13"/>
        <color rgb="FF000000"/>
        <rFont val="BIZ UDゴシック"/>
        <family val="3"/>
        <charset val="128"/>
      </rPr>
      <t xml:space="preserve"> 　</t>
    </r>
    <r>
      <rPr>
        <b/>
        <sz val="10.5"/>
        <color rgb="FF000000"/>
        <rFont val="BIZ UDゴシック"/>
        <family val="3"/>
        <charset val="128"/>
      </rPr>
      <t xml:space="preserve"> </t>
    </r>
    <r>
      <rPr>
        <b/>
        <sz val="10.5"/>
        <rFont val="BIZ UDゴシック"/>
        <family val="3"/>
        <charset val="128"/>
      </rPr>
      <t>通常食欄の</t>
    </r>
    <r>
      <rPr>
        <b/>
        <sz val="10.5"/>
        <color rgb="FFFF0000"/>
        <rFont val="BIZ UDゴシック"/>
        <family val="3"/>
        <charset val="128"/>
      </rPr>
      <t>該当者がいない欄</t>
    </r>
    <r>
      <rPr>
        <b/>
        <sz val="10.5"/>
        <rFont val="BIZ UDゴシック"/>
        <family val="3"/>
        <charset val="128"/>
      </rPr>
      <t>には</t>
    </r>
    <r>
      <rPr>
        <b/>
        <sz val="10.5"/>
        <color rgb="FFFF0000"/>
        <rFont val="BIZ UDゴシック"/>
        <family val="3"/>
        <charset val="128"/>
      </rPr>
      <t>半角ハイフン（-）</t>
    </r>
    <r>
      <rPr>
        <b/>
        <sz val="10.5"/>
        <rFont val="BIZ UDゴシック"/>
        <family val="3"/>
        <charset val="128"/>
      </rPr>
      <t>を入力し</t>
    </r>
    <r>
      <rPr>
        <b/>
        <sz val="10.5"/>
        <color rgb="FF000000"/>
        <rFont val="BIZ UDゴシック"/>
        <family val="3"/>
        <charset val="128"/>
      </rPr>
      <t>てください。食物アレルギー欄は対応希望がなければ空欄のままでかまいません。</t>
    </r>
    <r>
      <rPr>
        <b/>
        <sz val="11"/>
        <color rgb="FF000000"/>
        <rFont val="BIZ UDゴシック"/>
        <family val="3"/>
        <charset val="128"/>
      </rPr>
      <t xml:space="preserve">
</t>
    </r>
    <r>
      <rPr>
        <b/>
        <sz val="13"/>
        <color rgb="FF000000"/>
        <rFont val="BIZ UDゴシック"/>
        <family val="3"/>
        <charset val="128"/>
      </rPr>
      <t xml:space="preserve"> </t>
    </r>
    <r>
      <rPr>
        <b/>
        <sz val="13"/>
        <color rgb="FFFF6600"/>
        <rFont val="BIZ UDゴシック"/>
        <family val="3"/>
        <charset val="128"/>
      </rPr>
      <t>★</t>
    </r>
    <r>
      <rPr>
        <b/>
        <sz val="10.5"/>
        <color rgb="FF000000"/>
        <rFont val="BIZ UDゴシック"/>
        <family val="3"/>
        <charset val="128"/>
      </rPr>
      <t xml:space="preserve"> 野外調理実施で</t>
    </r>
    <r>
      <rPr>
        <b/>
        <sz val="10.5"/>
        <color rgb="FFFF0000"/>
        <rFont val="BIZ UDゴシック"/>
        <family val="3"/>
        <charset val="128"/>
      </rPr>
      <t>食堂を利用しない</t>
    </r>
    <r>
      <rPr>
        <b/>
        <sz val="10.5"/>
        <rFont val="BIZ UDゴシック"/>
        <family val="3"/>
        <charset val="128"/>
      </rPr>
      <t>場合は、食数欄に</t>
    </r>
    <r>
      <rPr>
        <b/>
        <sz val="10.5"/>
        <color rgb="FFFF0000"/>
        <rFont val="BIZ UDゴシック"/>
        <family val="3"/>
        <charset val="128"/>
      </rPr>
      <t>半角ハイフン（-）</t>
    </r>
    <r>
      <rPr>
        <b/>
        <sz val="10.5"/>
        <rFont val="BIZ UDゴシック"/>
        <family val="3"/>
        <charset val="128"/>
      </rPr>
      <t>を入力</t>
    </r>
    <r>
      <rPr>
        <b/>
        <sz val="10.5"/>
        <color rgb="FF000000"/>
        <rFont val="BIZ UDゴシック"/>
        <family val="3"/>
        <charset val="128"/>
      </rPr>
      <t>し、</t>
    </r>
    <r>
      <rPr>
        <b/>
        <sz val="10.5"/>
        <color rgb="FFFF0000"/>
        <rFont val="BIZ UDゴシック"/>
        <family val="3"/>
        <charset val="128"/>
      </rPr>
      <t>『野外調理』</t>
    </r>
    <r>
      <rPr>
        <b/>
        <sz val="10.5"/>
        <rFont val="BIZ UDゴシック"/>
        <family val="3"/>
        <charset val="128"/>
      </rPr>
      <t>欄に</t>
    </r>
    <r>
      <rPr>
        <b/>
        <sz val="10.5"/>
        <color rgb="FFFF0000"/>
        <rFont val="BIZ UDゴシック"/>
        <family val="3"/>
        <charset val="128"/>
      </rPr>
      <t>野外調理で食事をとる人数</t>
    </r>
    <r>
      <rPr>
        <b/>
        <sz val="10.5"/>
        <rFont val="BIZ UDゴシック"/>
        <family val="3"/>
        <charset val="128"/>
      </rPr>
      <t>を入力してください。</t>
    </r>
    <r>
      <rPr>
        <b/>
        <sz val="11"/>
        <color rgb="FF000000"/>
        <rFont val="BIZ UDゴシック"/>
        <family val="3"/>
        <charset val="128"/>
      </rPr>
      <t xml:space="preserve">
</t>
    </r>
    <r>
      <rPr>
        <b/>
        <sz val="13"/>
        <color rgb="FF000000"/>
        <rFont val="BIZ UDゴシック"/>
        <family val="3"/>
        <charset val="128"/>
      </rPr>
      <t xml:space="preserve"> 　</t>
    </r>
    <r>
      <rPr>
        <b/>
        <sz val="10.5"/>
        <color rgb="FF000000"/>
        <rFont val="BIZ UDゴシック"/>
        <family val="3"/>
        <charset val="128"/>
      </rPr>
      <t xml:space="preserve"> お弁当持参などで</t>
    </r>
    <r>
      <rPr>
        <b/>
        <sz val="10.5"/>
        <color rgb="FFFF0000"/>
        <rFont val="BIZ UDゴシック"/>
        <family val="3"/>
        <charset val="128"/>
      </rPr>
      <t>野外調理も実施しない</t>
    </r>
    <r>
      <rPr>
        <b/>
        <sz val="10.5"/>
        <color rgb="FF000000"/>
        <rFont val="BIZ UDゴシック"/>
        <family val="3"/>
        <charset val="128"/>
      </rPr>
      <t>場合は、</t>
    </r>
    <r>
      <rPr>
        <b/>
        <sz val="10.5"/>
        <color rgb="FFFF0000"/>
        <rFont val="BIZ UDゴシック"/>
        <family val="3"/>
        <charset val="128"/>
      </rPr>
      <t>『野外調理』</t>
    </r>
    <r>
      <rPr>
        <b/>
        <sz val="10.5"/>
        <color rgb="FF000000"/>
        <rFont val="BIZ UDゴシック"/>
        <family val="3"/>
        <charset val="128"/>
      </rPr>
      <t>欄</t>
    </r>
    <r>
      <rPr>
        <b/>
        <sz val="10.5"/>
        <rFont val="BIZ UDゴシック"/>
        <family val="3"/>
        <charset val="128"/>
      </rPr>
      <t>にも</t>
    </r>
    <r>
      <rPr>
        <b/>
        <sz val="10.5"/>
        <color rgb="FFFF0000"/>
        <rFont val="BIZ UDゴシック"/>
        <family val="3"/>
        <charset val="128"/>
      </rPr>
      <t>半角ハイフン（-）</t>
    </r>
    <r>
      <rPr>
        <b/>
        <sz val="10.5"/>
        <rFont val="BIZ UDゴシック"/>
        <family val="3"/>
        <charset val="128"/>
      </rPr>
      <t>を入力してください。</t>
    </r>
    <r>
      <rPr>
        <sz val="13"/>
        <color rgb="FF000000"/>
        <rFont val="BIZ UDゴシック"/>
        <family val="3"/>
        <charset val="128"/>
      </rPr>
      <t/>
    </r>
    <rPh sb="3" eb="6">
      <t>にゅうしょご</t>
    </rPh>
    <rPh sb="7" eb="9">
      <t>たいしょ</t>
    </rPh>
    <rPh sb="9" eb="10">
      <t>まえ</t>
    </rPh>
    <rPh sb="13" eb="15">
      <t>しょくじ</t>
    </rPh>
    <rPh sb="20" eb="22">
      <t>つうじょう</t>
    </rPh>
    <rPh sb="22" eb="23">
      <t>しょく</t>
    </rPh>
    <rPh sb="23" eb="24">
      <t>らん</t>
    </rPh>
    <rPh sb="25" eb="26">
      <t>かく</t>
    </rPh>
    <rPh sb="26" eb="28">
      <t>しょくじ</t>
    </rPh>
    <rPh sb="33" eb="35">
      <t>やがい</t>
    </rPh>
    <rPh sb="35" eb="37">
      <t>ちょうり</t>
    </rPh>
    <rPh sb="37" eb="38">
      <t>らん</t>
    </rPh>
    <rPh sb="44" eb="45">
      <t>かなら</t>
    </rPh>
    <rPh sb="46" eb="48">
      <t>にゅうりょく</t>
    </rPh>
    <rPh sb="67" eb="69">
      <t>つうじょう</t>
    </rPh>
    <rPh sb="69" eb="70">
      <t>しょく</t>
    </rPh>
    <rPh sb="70" eb="71">
      <t>らん</t>
    </rPh>
    <rPh sb="72" eb="74">
      <t>がいとう</t>
    </rPh>
    <rPh sb="74" eb="75">
      <t>しゃ</t>
    </rPh>
    <rPh sb="79" eb="80">
      <t>らん</t>
    </rPh>
    <rPh sb="92" eb="94">
      <t>にゅうりょく</t>
    </rPh>
    <rPh sb="101" eb="103">
      <t>しょくもつ</t>
    </rPh>
    <rPh sb="108" eb="109">
      <t>らん</t>
    </rPh>
    <rPh sb="110" eb="112">
      <t>たいおう</t>
    </rPh>
    <rPh sb="112" eb="114">
      <t>きぼう</t>
    </rPh>
    <rPh sb="119" eb="121">
      <t>くうらん</t>
    </rPh>
    <rPh sb="140" eb="142">
      <t>じっし</t>
    </rPh>
    <rPh sb="157" eb="158">
      <t>らん</t>
    </rPh>
    <rPh sb="159" eb="161">
      <t>はんかく</t>
    </rPh>
    <rPh sb="169" eb="171">
      <t>にゅうりょく</t>
    </rPh>
    <rPh sb="181" eb="183">
      <t>やがい</t>
    </rPh>
    <rPh sb="183" eb="185">
      <t>ちょうり</t>
    </rPh>
    <rPh sb="186" eb="188">
      <t>しょくじ</t>
    </rPh>
    <rPh sb="191" eb="193">
      <t>にんずう</t>
    </rPh>
    <rPh sb="194" eb="196">
      <t>にゅうりょく</t>
    </rPh>
    <rPh sb="208" eb="210">
      <t>べんとう</t>
    </rPh>
    <rPh sb="210" eb="212">
      <t>じさん</t>
    </rPh>
    <rPh sb="215" eb="217">
      <t>やがい</t>
    </rPh>
    <rPh sb="217" eb="219">
      <t>ちょうり</t>
    </rPh>
    <rPh sb="220" eb="222">
      <t>じっし</t>
    </rPh>
    <rPh sb="225" eb="227">
      <t>ばあい</t>
    </rPh>
    <phoneticPr fontId="1" type="Hiragana"/>
  </si>
  <si>
    <r>
      <rPr>
        <b/>
        <sz val="18"/>
        <color rgb="FFFF0000"/>
        <rFont val="HGP創英角ｺﾞｼｯｸUB"/>
        <family val="3"/>
        <charset val="128"/>
      </rPr>
      <t>食</t>
    </r>
    <r>
      <rPr>
        <b/>
        <sz val="12"/>
        <color rgb="FFFF0000"/>
        <rFont val="HGP創英角ｺﾞｼｯｸUB"/>
        <family val="3"/>
        <charset val="128"/>
      </rPr>
      <t>　</t>
    </r>
    <r>
      <rPr>
        <b/>
        <sz val="11"/>
        <color theme="1"/>
        <rFont val="HG丸ｺﾞｼｯｸM-PRO"/>
        <family val="3"/>
        <charset val="128"/>
      </rPr>
      <t xml:space="preserve">の欄までを </t>
    </r>
    <r>
      <rPr>
        <b/>
        <sz val="13"/>
        <color rgb="FFFF0000"/>
        <rFont val="HG丸ｺﾞｼｯｸM-PRO"/>
        <family val="3"/>
        <charset val="128"/>
      </rPr>
      <t xml:space="preserve">もれなく </t>
    </r>
    <r>
      <rPr>
        <b/>
        <sz val="11"/>
        <color theme="1"/>
        <rFont val="HG丸ｺﾞｼｯｸM-PRO"/>
        <family val="3"/>
        <charset val="128"/>
      </rPr>
      <t>入力してください。</t>
    </r>
    <rPh sb="0" eb="1">
      <t>ショク</t>
    </rPh>
    <rPh sb="3" eb="4">
      <t>ラン</t>
    </rPh>
    <rPh sb="13" eb="15">
      <t>ニュウリョク</t>
    </rPh>
    <phoneticPr fontId="1"/>
  </si>
  <si>
    <r>
      <t xml:space="preserve"> このデータは、</t>
    </r>
    <r>
      <rPr>
        <sz val="12"/>
        <color rgb="FFFF0000"/>
        <rFont val="HGS創英角ｺﾞｼｯｸUB"/>
        <family val="3"/>
        <charset val="128"/>
      </rPr>
      <t>団体用</t>
    </r>
    <r>
      <rPr>
        <sz val="12"/>
        <rFont val="HGS創英角ｺﾞｼｯｸUB"/>
        <family val="3"/>
        <charset val="128"/>
      </rPr>
      <t>の様式です。</t>
    </r>
    <r>
      <rPr>
        <sz val="12"/>
        <color rgb="FFFF0000"/>
        <rFont val="HGS創英角ｺﾞｼｯｸUB"/>
        <family val="3"/>
        <charset val="128"/>
      </rPr>
      <t>家族・グループ</t>
    </r>
    <r>
      <rPr>
        <sz val="12"/>
        <rFont val="HGS創英角ｺﾞｼｯｸUB"/>
        <family val="3"/>
        <charset val="128"/>
      </rPr>
      <t>でのご利用は</t>
    </r>
    <r>
      <rPr>
        <sz val="12"/>
        <color rgb="FFFF0000"/>
        <rFont val="HGS創英角ｺﾞｼｯｸUB"/>
        <family val="3"/>
        <charset val="128"/>
      </rPr>
      <t>様式が異なります</t>
    </r>
    <r>
      <rPr>
        <sz val="12"/>
        <rFont val="HGS創英角ｺﾞｼｯｸUB"/>
        <family val="3"/>
        <charset val="128"/>
      </rPr>
      <t>。</t>
    </r>
    <r>
      <rPr>
        <sz val="12"/>
        <color theme="1"/>
        <rFont val="HGS創英角ｺﾞｼｯｸUB"/>
        <family val="3"/>
        <charset val="128"/>
      </rPr>
      <t xml:space="preserve">
 </t>
    </r>
    <r>
      <rPr>
        <sz val="12"/>
        <color rgb="FFFF0000"/>
        <rFont val="HGS創英角ｺﾞｼｯｸUB"/>
        <family val="3"/>
        <charset val="128"/>
      </rPr>
      <t>団体</t>
    </r>
    <r>
      <rPr>
        <sz val="12"/>
        <rFont val="HGS創英角ｺﾞｼｯｸUB"/>
        <family val="3"/>
        <charset val="128"/>
      </rPr>
      <t>でのご利用</t>
    </r>
    <r>
      <rPr>
        <sz val="12"/>
        <color theme="1"/>
        <rFont val="HGS創英角ｺﾞｼｯｸUB"/>
        <family val="3"/>
        <charset val="128"/>
      </rPr>
      <t>でお間違いありませんか？</t>
    </r>
    <rPh sb="8" eb="10">
      <t>ダンタイ</t>
    </rPh>
    <rPh sb="10" eb="11">
      <t>ヨウ</t>
    </rPh>
    <rPh sb="12" eb="14">
      <t>ヨウシキ</t>
    </rPh>
    <rPh sb="17" eb="19">
      <t>カゾク</t>
    </rPh>
    <rPh sb="27" eb="29">
      <t>リヨウ</t>
    </rPh>
    <rPh sb="30" eb="32">
      <t>ヨウシキ</t>
    </rPh>
    <rPh sb="33" eb="34">
      <t>コト</t>
    </rPh>
    <rPh sb="41" eb="43">
      <t>ダンタイ</t>
    </rPh>
    <rPh sb="46" eb="48">
      <t>リヨウ</t>
    </rPh>
    <rPh sb="50" eb="52">
      <t>マチガ</t>
    </rPh>
    <phoneticPr fontId="1"/>
  </si>
  <si>
    <r>
      <t xml:space="preserve"> </t>
    </r>
    <r>
      <rPr>
        <b/>
        <sz val="14"/>
        <color rgb="FF333399"/>
        <rFont val="HG丸ｺﾞｼｯｸM-PRO"/>
        <family val="3"/>
        <charset val="128"/>
      </rPr>
      <t>● 締切日の設定</t>
    </r>
    <rPh sb="3" eb="4">
      <t>シ</t>
    </rPh>
    <rPh sb="4" eb="5">
      <t>キ</t>
    </rPh>
    <rPh sb="5" eb="6">
      <t>ビ</t>
    </rPh>
    <rPh sb="7" eb="9">
      <t>セッテイ</t>
    </rPh>
    <phoneticPr fontId="1"/>
  </si>
  <si>
    <t>利用開始日の</t>
    <rPh sb="0" eb="2">
      <t>リヨウ</t>
    </rPh>
    <rPh sb="2" eb="5">
      <t>カイシビ</t>
    </rPh>
    <phoneticPr fontId="1"/>
  </si>
  <si>
    <t xml:space="preserve">週間前 ＝ </t>
    <rPh sb="0" eb="2">
      <t>シュウカン</t>
    </rPh>
    <rPh sb="2" eb="3">
      <t>マエ</t>
    </rPh>
    <phoneticPr fontId="1"/>
  </si>
  <si>
    <t>日前</t>
    <rPh sb="0" eb="2">
      <t>ニチマエ</t>
    </rPh>
    <phoneticPr fontId="1"/>
  </si>
  <si>
    <t>書類提出期限 ：</t>
    <rPh sb="0" eb="2">
      <t>ショルイ</t>
    </rPh>
    <rPh sb="2" eb="4">
      <t>テイシュツ</t>
    </rPh>
    <rPh sb="4" eb="6">
      <t>キゲン</t>
    </rPh>
    <phoneticPr fontId="1"/>
  </si>
  <si>
    <t>夕　食</t>
    <rPh sb="0" eb="1">
      <t>ユウ</t>
    </rPh>
    <rPh sb="2" eb="3">
      <t>ショク</t>
    </rPh>
    <phoneticPr fontId="1"/>
  </si>
  <si>
    <t xml:space="preserve"> [ 野　外　調　理 ]</t>
    <rPh sb="3" eb="4">
      <t>ノ</t>
    </rPh>
    <rPh sb="5" eb="6">
      <t>ソト</t>
    </rPh>
    <rPh sb="7" eb="8">
      <t>チョウ</t>
    </rPh>
    <rPh sb="9" eb="10">
      <t>リ</t>
    </rPh>
    <phoneticPr fontId="1"/>
  </si>
  <si>
    <t>（</t>
    <phoneticPr fontId="1"/>
  </si>
  <si>
    <t>）</t>
    <phoneticPr fontId="1"/>
  </si>
  <si>
    <t>あり</t>
    <phoneticPr fontId="1"/>
  </si>
  <si>
    <t>）</t>
    <phoneticPr fontId="1"/>
  </si>
  <si>
    <t>合計</t>
    <rPh sb="0" eb="2">
      <t>ゴウケイ</t>
    </rPh>
    <phoneticPr fontId="60"/>
  </si>
  <si>
    <t>（</t>
    <phoneticPr fontId="60"/>
  </si>
  <si>
    <t>円）</t>
    <rPh sb="0" eb="1">
      <t>エン</t>
    </rPh>
    <phoneticPr fontId="1"/>
  </si>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</sst>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5" formatCode="&quot;¥&quot;#,##0;&quot;¥&quot;\-#,##0"/>
    <numFmt numFmtId="42" formatCode="_ &quot;¥&quot;* #,##0_ ;_ &quot;¥&quot;* \-#,##0_ ;_ &quot;¥&quot;* &quot;-&quot;_ ;_ @_ "/>
    <numFmt numFmtId="41" formatCode="_ * #,##0_ ;_ * \-#,##0_ ;_ * &quot;-&quot;_ ;_ @_ "/>
    <numFmt numFmtId="176" formatCode="#"/>
    <numFmt numFmtId="177" formatCode="#,###"/>
    <numFmt numFmtId="178" formatCode="&quot;¥&quot;#,##0_);[Red]\(&quot;¥&quot;#,##0\)"/>
    <numFmt numFmtId="179" formatCode="[$-F800]dddd\,\ mmmm\ dd\,\ yyyy"/>
    <numFmt numFmtId="180" formatCode="&quot;¥&quot;#,##0_);\(&quot;¥&quot;#,##0\)"/>
    <numFmt numFmtId="181" formatCode="m/d;@"/>
    <numFmt numFmtId="182" formatCode="m&quot;月&quot;d&quot;日&quot;;@"/>
    <numFmt numFmtId="183" formatCode="m"/>
    <numFmt numFmtId="184" formatCode="d"/>
    <numFmt numFmtId="185" formatCode="aaa"/>
    <numFmt numFmtId="186" formatCode="m&quot;月&quot;d&quot;日 (&quot;aaa&quot;)&quot;"/>
    <numFmt numFmtId="187" formatCode="0_);[Red]\(0\)"/>
    <numFmt numFmtId="188" formatCode="0&quot;円&quot;"/>
    <numFmt numFmtId="189" formatCode="yy&quot;年 &quot;m&quot;月&quot;d&quot;日 (&quot;aaa&quot;)&quot;"/>
    <numFmt numFmtId="190" formatCode="yyyy&quot;年&quot;m&quot;月&quot;d&quot;日&quot;;@"/>
    <numFmt numFmtId="191" formatCode="yyyy&quot;年 &quot;m&quot;月&quot;d&quot;日 ( &quot;aaa&quot; )&quot;"/>
    <numFmt numFmtId="192" formatCode="m&quot;月&quot;d&quot;日 ( &quot;aaa&quot; )&quot;"/>
    <numFmt numFmtId="193" formatCode="m&quot;／&quot;d"/>
    <numFmt numFmtId="194" formatCode="0&quot;組&quot;"/>
    <numFmt numFmtId="195" formatCode="0&quot;人&quot;"/>
    <numFmt numFmtId="196" formatCode="&quot;(&quot;0&quot;)&quot;"/>
    <numFmt numFmtId="197" formatCode="&quot;(&quot;0&quot;円)&quot;"/>
  </numFmts>
  <fonts count="37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HG丸ｺﾞｼｯｸM-PRO"/>
      <family val="3"/>
      <charset val="128"/>
    </font>
    <font>
      <sz val="16"/>
      <color theme="1"/>
      <name val="HG丸ｺﾞｼｯｸM-PRO"/>
      <family val="3"/>
      <charset val="128"/>
    </font>
    <font>
      <sz val="12"/>
      <color theme="1"/>
      <name val="HG丸ｺﾞｼｯｸM-PRO"/>
      <family val="3"/>
      <charset val="128"/>
    </font>
    <font>
      <sz val="6"/>
      <name val="ＭＳ Ｐ明朝"/>
      <family val="1"/>
      <charset val="128"/>
    </font>
    <font>
      <sz val="11"/>
      <name val="ＭＳ Ｐゴシック"/>
      <family val="3"/>
      <charset val="128"/>
    </font>
    <font>
      <b/>
      <sz val="12"/>
      <color theme="1"/>
      <name val="HG丸ｺﾞｼｯｸM-PRO"/>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0"/>
      <color theme="1"/>
      <name val="ＭＳ Ｐゴシック"/>
      <family val="2"/>
      <charset val="128"/>
      <scheme val="minor"/>
    </font>
    <font>
      <sz val="10"/>
      <color theme="1"/>
      <name val="HG丸ｺﾞｼｯｸM-PRO"/>
      <family val="3"/>
      <charset val="128"/>
    </font>
    <font>
      <b/>
      <sz val="10"/>
      <color theme="1"/>
      <name val="HG丸ｺﾞｼｯｸM-PRO"/>
      <family val="3"/>
      <charset val="128"/>
    </font>
    <font>
      <sz val="10.5"/>
      <color rgb="FF000000"/>
      <name val="ＭＳ 明朝"/>
      <family val="1"/>
      <charset val="128"/>
    </font>
    <font>
      <sz val="10"/>
      <color rgb="FF000000"/>
      <name val="ＭＳ ゴシック"/>
      <family val="3"/>
      <charset val="128"/>
    </font>
    <font>
      <b/>
      <sz val="10"/>
      <color rgb="FF000000"/>
      <name val="ＭＳ ゴシック"/>
      <family val="3"/>
      <charset val="128"/>
    </font>
    <font>
      <sz val="10.5"/>
      <color rgb="FF000000"/>
      <name val="ＭＳ ゴシック"/>
      <family val="3"/>
      <charset val="128"/>
    </font>
    <font>
      <sz val="11"/>
      <color rgb="FF000000"/>
      <name val="ＭＳ ゴシック"/>
      <family val="3"/>
      <charset val="128"/>
    </font>
    <font>
      <sz val="12"/>
      <color rgb="FF000000"/>
      <name val="ＭＳ ゴシック"/>
      <family val="3"/>
      <charset val="128"/>
    </font>
    <font>
      <b/>
      <sz val="16"/>
      <color rgb="FF000000"/>
      <name val="ＭＳ ゴシック"/>
      <family val="3"/>
      <charset val="128"/>
    </font>
    <font>
      <sz val="11"/>
      <color theme="1"/>
      <name val="ＭＳ ゴシック"/>
      <family val="3"/>
      <charset val="128"/>
    </font>
    <font>
      <sz val="12"/>
      <color rgb="FF000000"/>
      <name val="ＭＳ 明朝"/>
      <family val="1"/>
      <charset val="128"/>
    </font>
    <font>
      <sz val="9"/>
      <color rgb="FF000000"/>
      <name val="ＭＳ ゴシック"/>
      <family val="3"/>
      <charset val="128"/>
    </font>
    <font>
      <b/>
      <sz val="10.5"/>
      <color theme="1"/>
      <name val="ＭＳ ゴシック"/>
      <family val="3"/>
      <charset val="128"/>
    </font>
    <font>
      <b/>
      <sz val="10.5"/>
      <color rgb="FF000000"/>
      <name val="ＭＳ ゴシック"/>
      <family val="3"/>
      <charset val="128"/>
    </font>
    <font>
      <b/>
      <sz val="10"/>
      <color theme="1"/>
      <name val="ＭＳ ゴシック"/>
      <family val="3"/>
      <charset val="128"/>
    </font>
    <font>
      <b/>
      <sz val="12"/>
      <color rgb="FF000000"/>
      <name val="ＭＳ ゴシック"/>
      <family val="3"/>
      <charset val="128"/>
    </font>
    <font>
      <b/>
      <sz val="11"/>
      <color rgb="FF000000"/>
      <name val="ＭＳ ゴシック"/>
      <family val="3"/>
      <charset val="128"/>
    </font>
    <font>
      <sz val="10.5"/>
      <color rgb="FF000000"/>
      <name val="ＭＳ Ｐゴシック"/>
      <family val="3"/>
      <charset val="128"/>
    </font>
    <font>
      <sz val="14"/>
      <name val="HGP創英角ﾎﾟｯﾌﾟ体"/>
      <family val="3"/>
      <charset val="128"/>
    </font>
    <font>
      <sz val="11"/>
      <color rgb="FF000000"/>
      <name val="HG丸ｺﾞｼｯｸM-PRO"/>
      <family val="3"/>
      <charset val="128"/>
    </font>
    <font>
      <sz val="12"/>
      <color rgb="FF000000"/>
      <name val="HG丸ｺﾞｼｯｸM-PRO"/>
      <family val="3"/>
      <charset val="128"/>
    </font>
    <font>
      <sz val="11"/>
      <color rgb="FF000000"/>
      <name val="ＭＳ Ｐゴシック"/>
      <family val="3"/>
      <charset val="128"/>
    </font>
    <font>
      <b/>
      <sz val="12"/>
      <color rgb="FF000000"/>
      <name val="HG丸ｺﾞｼｯｸM-PRO"/>
      <family val="3"/>
      <charset val="128"/>
    </font>
    <font>
      <b/>
      <sz val="11"/>
      <name val="HG丸ｺﾞｼｯｸM-PRO"/>
      <family val="3"/>
      <charset val="128"/>
    </font>
    <font>
      <b/>
      <sz val="11"/>
      <color rgb="FF000000"/>
      <name val="HG丸ｺﾞｼｯｸM-PRO"/>
      <family val="3"/>
      <charset val="128"/>
    </font>
    <font>
      <b/>
      <sz val="11"/>
      <color theme="1"/>
      <name val="HG丸ｺﾞｼｯｸM-PRO"/>
      <family val="3"/>
      <charset val="128"/>
    </font>
    <font>
      <b/>
      <sz val="14"/>
      <color theme="1"/>
      <name val="HG丸ｺﾞｼｯｸM-PRO"/>
      <family val="3"/>
      <charset val="128"/>
    </font>
    <font>
      <sz val="14"/>
      <color rgb="FF000000"/>
      <name val="ＭＳ Ｐゴシック"/>
      <family val="3"/>
      <charset val="128"/>
    </font>
    <font>
      <b/>
      <sz val="10.55"/>
      <color rgb="FF000000"/>
      <name val="ＭＳ ゴシック"/>
      <family val="3"/>
      <charset val="128"/>
    </font>
    <font>
      <sz val="14"/>
      <color rgb="FF000000"/>
      <name val="HGP創英角ﾎﾟｯﾌﾟ体"/>
      <family val="3"/>
      <charset val="128"/>
    </font>
    <font>
      <sz val="12"/>
      <color rgb="FFFF0000"/>
      <name val="HGP創英角ﾎﾟｯﾌﾟ体"/>
      <family val="3"/>
      <charset val="128"/>
    </font>
    <font>
      <sz val="14"/>
      <color rgb="FFFF0000"/>
      <name val="HGP創英角ﾎﾟｯﾌﾟ体"/>
      <family val="3"/>
      <charset val="128"/>
    </font>
    <font>
      <b/>
      <sz val="16"/>
      <color rgb="FF000000"/>
      <name val="HG丸ｺﾞｼｯｸM-PRO"/>
      <family val="3"/>
      <charset val="128"/>
    </font>
    <font>
      <b/>
      <sz val="16"/>
      <color theme="1"/>
      <name val="HG丸ｺﾞｼｯｸM-PRO"/>
      <family val="3"/>
      <charset val="128"/>
    </font>
    <font>
      <b/>
      <sz val="14"/>
      <color theme="1"/>
      <name val="ＭＳ Ｐゴシック"/>
      <family val="3"/>
      <charset val="128"/>
      <scheme val="minor"/>
    </font>
    <font>
      <sz val="30"/>
      <color rgb="FF000000"/>
      <name val="HGｺﾞｼｯｸE"/>
      <family val="3"/>
      <charset val="128"/>
    </font>
    <font>
      <sz val="9"/>
      <color theme="1"/>
      <name val="HG丸ｺﾞｼｯｸM-PRO"/>
      <family val="3"/>
      <charset val="128"/>
    </font>
    <font>
      <sz val="11"/>
      <name val="ＭＳ Ｐゴシック"/>
      <family val="2"/>
      <charset val="128"/>
      <scheme val="minor"/>
    </font>
    <font>
      <sz val="11"/>
      <color theme="1"/>
      <name val="UD デジタル 教科書体 NK-B"/>
      <family val="1"/>
      <charset val="128"/>
    </font>
    <font>
      <b/>
      <sz val="16"/>
      <color rgb="FFFF0000"/>
      <name val="UD デジタル 教科書体 NK-B"/>
      <family val="1"/>
      <charset val="128"/>
    </font>
    <font>
      <sz val="18"/>
      <name val="HGP創英角ﾎﾟｯﾌﾟ体"/>
      <family val="3"/>
      <charset val="128"/>
    </font>
    <font>
      <sz val="10.5"/>
      <color theme="1"/>
      <name val="ＭＳ Ｐゴシック"/>
      <family val="2"/>
      <charset val="128"/>
      <scheme val="minor"/>
    </font>
    <font>
      <sz val="11"/>
      <color rgb="FFFF0000"/>
      <name val="ＤＦ特太ゴシック体"/>
      <family val="3"/>
      <charset val="128"/>
    </font>
    <font>
      <sz val="10"/>
      <color rgb="FF000000"/>
      <name val="ＭＳ Ｐゴシック"/>
      <family val="3"/>
      <charset val="128"/>
    </font>
    <font>
      <sz val="12"/>
      <name val="HGP創英角ﾎﾟｯﾌﾟ体"/>
      <family val="3"/>
      <charset val="128"/>
    </font>
    <font>
      <sz val="10.5"/>
      <color indexed="8"/>
      <name val="Century"/>
      <family val="1"/>
    </font>
    <font>
      <sz val="10.5"/>
      <color indexed="8"/>
      <name val="ＭＳ Ｐ明朝"/>
      <family val="1"/>
      <charset val="128"/>
    </font>
    <font>
      <sz val="6"/>
      <name val="ＭＳ Ｐゴシック"/>
      <family val="3"/>
      <charset val="128"/>
    </font>
    <font>
      <sz val="11"/>
      <color theme="1"/>
      <name val="ＤＦ平成明朝体W3"/>
      <family val="1"/>
      <charset val="128"/>
    </font>
    <font>
      <sz val="12"/>
      <color theme="1"/>
      <name val="ＤＦ平成明朝体W3"/>
      <family val="1"/>
      <charset val="128"/>
    </font>
    <font>
      <sz val="16"/>
      <color theme="1"/>
      <name val="ＭＳ Ｐ明朝"/>
      <family val="1"/>
      <charset val="128"/>
    </font>
    <font>
      <sz val="14"/>
      <color theme="1"/>
      <name val="ＭＳ Ｐ明朝"/>
      <family val="1"/>
      <charset val="128"/>
    </font>
    <font>
      <sz val="14"/>
      <color theme="1"/>
      <name val="ＤＦ平成明朝体W3"/>
      <family val="1"/>
      <charset val="128"/>
    </font>
    <font>
      <sz val="12"/>
      <color theme="1"/>
      <name val="ＭＳ Ｐ明朝"/>
      <family val="1"/>
      <charset val="128"/>
    </font>
    <font>
      <sz val="10.5"/>
      <color theme="1"/>
      <name val="ＭＳ Ｐ明朝"/>
      <family val="1"/>
      <charset val="128"/>
    </font>
    <font>
      <sz val="18"/>
      <color theme="1"/>
      <name val="ＭＳ Ｐ明朝"/>
      <family val="1"/>
      <charset val="128"/>
    </font>
    <font>
      <sz val="22"/>
      <color theme="1"/>
      <name val="ＭＳ Ｐ明朝"/>
      <family val="1"/>
      <charset val="128"/>
    </font>
    <font>
      <sz val="9"/>
      <color theme="1"/>
      <name val="ＭＳ Ｐ明朝"/>
      <family val="1"/>
      <charset val="128"/>
    </font>
    <font>
      <sz val="20"/>
      <color theme="1"/>
      <name val="ＭＳ Ｐ明朝"/>
      <family val="1"/>
      <charset val="128"/>
    </font>
    <font>
      <sz val="14"/>
      <color theme="1"/>
      <name val="ＭＳ Ｐゴシック"/>
      <family val="3"/>
      <charset val="128"/>
      <scheme val="minor"/>
    </font>
    <font>
      <sz val="14"/>
      <color rgb="FF000000"/>
      <name val="ＭＳ Ｐ明朝"/>
      <family val="1"/>
      <charset val="128"/>
    </font>
    <font>
      <sz val="11"/>
      <color theme="1"/>
      <name val="Meiryo UI"/>
      <family val="3"/>
      <charset val="128"/>
    </font>
    <font>
      <sz val="17"/>
      <color theme="0"/>
      <name val="Meiryo UI"/>
      <family val="3"/>
      <charset val="128"/>
    </font>
    <font>
      <sz val="11"/>
      <color rgb="FF0B744D"/>
      <name val="Meiryo UI"/>
      <family val="3"/>
      <charset val="128"/>
    </font>
    <font>
      <sz val="72"/>
      <color theme="0"/>
      <name val="Meiryo UI"/>
      <family val="3"/>
      <charset val="128"/>
    </font>
    <font>
      <sz val="11"/>
      <color theme="0"/>
      <name val="Meiryo UI"/>
      <family val="3"/>
      <charset val="128"/>
    </font>
    <font>
      <b/>
      <sz val="11"/>
      <color theme="1"/>
      <name val="Meiryo UI"/>
      <family val="3"/>
      <charset val="128"/>
    </font>
    <font>
      <sz val="11"/>
      <color theme="1"/>
      <name val="ＭＳ Ｐゴシック"/>
      <family val="3"/>
      <charset val="128"/>
      <scheme val="minor"/>
    </font>
    <font>
      <sz val="10.5"/>
      <color rgb="FF000000"/>
      <name val="Times New Roman"/>
      <family val="1"/>
    </font>
    <font>
      <b/>
      <sz val="8"/>
      <color rgb="FF000000"/>
      <name val="ＭＳ 明朝"/>
      <family val="1"/>
      <charset val="128"/>
    </font>
    <font>
      <b/>
      <sz val="8"/>
      <color rgb="FF000000"/>
      <name val="Times New Roman"/>
      <family val="1"/>
    </font>
    <font>
      <b/>
      <sz val="12"/>
      <color rgb="FF000000"/>
      <name val="HGPｺﾞｼｯｸM"/>
      <family val="3"/>
      <charset val="128"/>
    </font>
    <font>
      <b/>
      <sz val="18"/>
      <name val="ＭＳ Ｐゴシック"/>
      <family val="3"/>
      <charset val="128"/>
    </font>
    <font>
      <b/>
      <sz val="18"/>
      <color theme="1"/>
      <name val="ＭＳ Ｐゴシック"/>
      <family val="3"/>
      <charset val="128"/>
      <scheme val="minor"/>
    </font>
    <font>
      <sz val="10"/>
      <color theme="1"/>
      <name val="ＭＳ 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8"/>
      <name val="ＭＳ Ｐゴシック"/>
      <family val="3"/>
      <charset val="128"/>
    </font>
    <font>
      <b/>
      <sz val="9"/>
      <name val="ＭＳ Ｐゴシック"/>
      <family val="3"/>
      <charset val="128"/>
    </font>
    <font>
      <b/>
      <sz val="10"/>
      <color rgb="FF000000"/>
      <name val="ＭＳ Ｐゴシック"/>
      <family val="3"/>
      <charset val="128"/>
    </font>
    <font>
      <sz val="10"/>
      <name val="ＭＳ ゴシック"/>
      <family val="3"/>
      <charset val="128"/>
    </font>
    <font>
      <b/>
      <sz val="11"/>
      <color theme="1"/>
      <name val="ＭＳ Ｐゴシック"/>
      <family val="3"/>
      <charset val="128"/>
      <scheme val="minor"/>
    </font>
    <font>
      <b/>
      <sz val="16"/>
      <color rgb="FF000000"/>
      <name val="ＭＳ 明朝"/>
      <family val="1"/>
      <charset val="128"/>
    </font>
    <font>
      <b/>
      <sz val="20"/>
      <color rgb="FF000000"/>
      <name val="HGｺﾞｼｯｸE"/>
      <family val="3"/>
      <charset val="128"/>
    </font>
    <font>
      <b/>
      <sz val="20"/>
      <color rgb="FF000000"/>
      <name val="ＭＳ Ｐゴシック"/>
      <family val="3"/>
      <charset val="128"/>
    </font>
    <font>
      <b/>
      <u/>
      <sz val="12"/>
      <color rgb="FF000000"/>
      <name val="ＭＳ ゴシック"/>
      <family val="3"/>
      <charset val="128"/>
    </font>
    <font>
      <b/>
      <sz val="14"/>
      <color rgb="FF000000"/>
      <name val="ＭＳ ゴシック"/>
      <family val="3"/>
      <charset val="128"/>
    </font>
    <font>
      <sz val="11"/>
      <color theme="1"/>
      <name val="ＭＳ Ｐゴシック"/>
      <family val="3"/>
      <charset val="128"/>
    </font>
    <font>
      <sz val="10.5"/>
      <color rgb="FF000000"/>
      <name val="ＭＳ Ｐ明朝"/>
      <family val="1"/>
      <charset val="128"/>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22"/>
      <name val="ＭＳ Ｐゴシック"/>
      <family val="3"/>
      <charset val="128"/>
    </font>
    <font>
      <sz val="11"/>
      <color theme="0"/>
      <name val="ＭＳ Ｐゴシック"/>
      <family val="2"/>
      <charset val="128"/>
      <scheme val="minor"/>
    </font>
    <font>
      <sz val="12"/>
      <color theme="1"/>
      <name val="ＭＳ Ｐゴシック"/>
      <family val="3"/>
      <charset val="128"/>
    </font>
    <font>
      <sz val="18"/>
      <color theme="1"/>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b/>
      <sz val="20"/>
      <color theme="1"/>
      <name val="ＭＳ Ｐゴシック"/>
      <family val="3"/>
      <charset val="128"/>
      <scheme val="minor"/>
    </font>
    <font>
      <sz val="13"/>
      <color theme="1"/>
      <name val="ＭＳ Ｐゴシック"/>
      <family val="3"/>
      <charset val="128"/>
      <scheme val="minor"/>
    </font>
    <font>
      <b/>
      <sz val="12"/>
      <name val="HG丸ｺﾞｼｯｸM-PRO"/>
      <family val="3"/>
      <charset val="128"/>
    </font>
    <font>
      <sz val="11"/>
      <color rgb="FFFF0000"/>
      <name val="ＭＳ Ｐゴシック"/>
      <family val="2"/>
      <charset val="128"/>
      <scheme val="minor"/>
    </font>
    <font>
      <sz val="20"/>
      <color theme="1"/>
      <name val="UD デジタル 教科書体 NK-B"/>
      <family val="1"/>
      <charset val="128"/>
    </font>
    <font>
      <sz val="11"/>
      <color theme="1"/>
      <name val="HGSｺﾞｼｯｸM"/>
      <family val="3"/>
      <charset val="128"/>
    </font>
    <font>
      <sz val="12"/>
      <color theme="1"/>
      <name val="HGPｺﾞｼｯｸM"/>
      <family val="3"/>
      <charset val="128"/>
    </font>
    <font>
      <sz val="18"/>
      <color theme="1"/>
      <name val="HG丸ｺﾞｼｯｸM-PRO"/>
      <family val="3"/>
      <charset val="128"/>
    </font>
    <font>
      <sz val="20"/>
      <color rgb="FFFF0000"/>
      <name val="HGS創英角ｺﾞｼｯｸUB"/>
      <family val="3"/>
      <charset val="128"/>
    </font>
    <font>
      <b/>
      <sz val="10"/>
      <name val="HG丸ｺﾞｼｯｸM-PRO"/>
      <family val="3"/>
      <charset val="128"/>
    </font>
    <font>
      <b/>
      <sz val="16"/>
      <color theme="1"/>
      <name val="ＭＳ ゴシック"/>
      <family val="3"/>
      <charset val="128"/>
    </font>
    <font>
      <sz val="10"/>
      <color rgb="FF000000"/>
      <name val="HG丸ｺﾞｼｯｸM-PRO"/>
      <family val="3"/>
      <charset val="128"/>
    </font>
    <font>
      <sz val="12"/>
      <color rgb="FF000000"/>
      <name val="HGP創英角ﾎﾟｯﾌﾟ体"/>
      <family val="3"/>
      <charset val="128"/>
    </font>
    <font>
      <sz val="10"/>
      <name val="HG丸ｺﾞｼｯｸM-PRO"/>
      <family val="3"/>
      <charset val="128"/>
    </font>
    <font>
      <b/>
      <sz val="16"/>
      <name val="ＭＳ Ｐゴシック"/>
      <family val="3"/>
      <charset val="128"/>
    </font>
    <font>
      <sz val="12"/>
      <color rgb="FF000000"/>
      <name val="ＭＳ Ｐゴシック"/>
      <family val="3"/>
      <charset val="128"/>
    </font>
    <font>
      <b/>
      <sz val="16"/>
      <color rgb="FF000000"/>
      <name val="Segoe UI Symbol"/>
      <family val="2"/>
    </font>
    <font>
      <b/>
      <sz val="14"/>
      <color rgb="FF000000"/>
      <name val="HG丸ｺﾞｼｯｸM-PRO"/>
      <family val="3"/>
      <charset val="128"/>
    </font>
    <font>
      <sz val="16"/>
      <color rgb="FF000000"/>
      <name val="HG丸ｺﾞｼｯｸM-PRO"/>
      <family val="3"/>
      <charset val="128"/>
    </font>
    <font>
      <sz val="10"/>
      <color theme="1"/>
      <name val="HGPｺﾞｼｯｸE"/>
      <family val="3"/>
      <charset val="128"/>
    </font>
    <font>
      <b/>
      <sz val="11"/>
      <color theme="1"/>
      <name val="HGPｺﾞｼｯｸM"/>
      <family val="3"/>
      <charset val="128"/>
    </font>
    <font>
      <sz val="11"/>
      <name val="HGP創英角ｺﾞｼｯｸUB"/>
      <family val="3"/>
      <charset val="128"/>
    </font>
    <font>
      <sz val="9"/>
      <name val="HGP創英角ｺﾞｼｯｸUB"/>
      <family val="3"/>
      <charset val="128"/>
    </font>
    <font>
      <sz val="10.5"/>
      <name val="HGP創英角ｺﾞｼｯｸUB"/>
      <family val="3"/>
      <charset val="128"/>
    </font>
    <font>
      <sz val="8"/>
      <name val="HGP創英角ｺﾞｼｯｸUB"/>
      <family val="3"/>
      <charset val="128"/>
    </font>
    <font>
      <sz val="8"/>
      <name val="HGS創英角ｺﾞｼｯｸUB"/>
      <family val="3"/>
      <charset val="128"/>
    </font>
    <font>
      <sz val="11"/>
      <name val="HGS創英角ｺﾞｼｯｸUB"/>
      <family val="3"/>
      <charset val="128"/>
    </font>
    <font>
      <sz val="10"/>
      <color theme="1"/>
      <name val="HGS創英角ｺﾞｼｯｸUB"/>
      <family val="3"/>
      <charset val="128"/>
    </font>
    <font>
      <sz val="8"/>
      <color theme="1"/>
      <name val="HGS創英角ｺﾞｼｯｸUB"/>
      <family val="3"/>
      <charset val="128"/>
    </font>
    <font>
      <sz val="11"/>
      <color theme="1"/>
      <name val="HGS創英角ｺﾞｼｯｸUB"/>
      <family val="3"/>
      <charset val="128"/>
    </font>
    <font>
      <sz val="14"/>
      <color theme="1"/>
      <name val="UD デジタル 教科書体 NK-B"/>
      <family val="1"/>
      <charset val="128"/>
    </font>
    <font>
      <b/>
      <sz val="28"/>
      <color theme="1"/>
      <name val="ＭＳ Ｐ明朝"/>
      <family val="1"/>
      <charset val="128"/>
    </font>
    <font>
      <sz val="28"/>
      <color theme="1"/>
      <name val="ＭＳ Ｐ明朝"/>
      <family val="1"/>
      <charset val="128"/>
    </font>
    <font>
      <sz val="14"/>
      <color theme="1"/>
      <name val="ＭＳ Ｐゴシック"/>
      <family val="3"/>
      <charset val="128"/>
    </font>
    <font>
      <sz val="16"/>
      <color theme="1"/>
      <name val="ＭＳ Ｐゴシック"/>
      <family val="3"/>
      <charset val="128"/>
    </font>
    <font>
      <sz val="20"/>
      <name val="HGS創英角ｺﾞｼｯｸUB"/>
      <family val="3"/>
      <charset val="128"/>
    </font>
    <font>
      <sz val="14"/>
      <name val="HGPｺﾞｼｯｸE"/>
      <family val="3"/>
      <charset val="128"/>
    </font>
    <font>
      <b/>
      <sz val="10"/>
      <name val="BIZ UDPゴシック"/>
      <family val="3"/>
      <charset val="128"/>
    </font>
    <font>
      <b/>
      <sz val="10"/>
      <color rgb="FFFF0000"/>
      <name val="BIZ UDPゴシック"/>
      <family val="3"/>
      <charset val="128"/>
    </font>
    <font>
      <b/>
      <sz val="13"/>
      <name val="BIZ UDPゴシック"/>
      <family val="3"/>
      <charset val="128"/>
    </font>
    <font>
      <b/>
      <sz val="12"/>
      <color rgb="FFFF0000"/>
      <name val="HG丸ｺﾞｼｯｸM-PRO"/>
      <family val="3"/>
      <charset val="128"/>
    </font>
    <font>
      <sz val="11"/>
      <name val="ＭＳ Ｐゴシック"/>
      <family val="3"/>
      <charset val="128"/>
      <scheme val="minor"/>
    </font>
    <font>
      <sz val="22"/>
      <name val="ＤＦ特太ゴシック体"/>
      <family val="3"/>
      <charset val="128"/>
    </font>
    <font>
      <sz val="11"/>
      <color rgb="FFFF0000"/>
      <name val="BIZ UDゴシック"/>
      <family val="3"/>
      <charset val="128"/>
    </font>
    <font>
      <sz val="13"/>
      <color rgb="FFFF0000"/>
      <name val="BIZ UDゴシック"/>
      <family val="3"/>
      <charset val="128"/>
    </font>
    <font>
      <sz val="12"/>
      <color rgb="FF000000"/>
      <name val="BIZ UDゴシック"/>
      <family val="3"/>
      <charset val="128"/>
    </font>
    <font>
      <sz val="13"/>
      <color rgb="FF000000"/>
      <name val="BIZ UDゴシック"/>
      <family val="3"/>
      <charset val="128"/>
    </font>
    <font>
      <sz val="11"/>
      <color rgb="FF000000"/>
      <name val="BIZ UDゴシック"/>
      <family val="3"/>
      <charset val="128"/>
    </font>
    <font>
      <b/>
      <sz val="11"/>
      <color rgb="FFFF0000"/>
      <name val="BIZ UDゴシック"/>
      <family val="3"/>
      <charset val="128"/>
    </font>
    <font>
      <sz val="16"/>
      <color rgb="FF000000"/>
      <name val="BIZ UDゴシック"/>
      <family val="3"/>
      <charset val="128"/>
    </font>
    <font>
      <b/>
      <sz val="11"/>
      <color rgb="FF000000"/>
      <name val="BIZ UDゴシック"/>
      <family val="3"/>
      <charset val="128"/>
    </font>
    <font>
      <b/>
      <sz val="11"/>
      <color rgb="FF000000"/>
      <name val="BIZ UDPゴシック"/>
      <family val="3"/>
      <charset val="128"/>
    </font>
    <font>
      <sz val="12"/>
      <color theme="1"/>
      <name val="ＤＨＰ平成ゴシックW5"/>
      <family val="3"/>
      <charset val="128"/>
    </font>
    <font>
      <sz val="13"/>
      <color rgb="FFFF6600"/>
      <name val="BIZ UDゴシック"/>
      <family val="3"/>
      <charset val="128"/>
    </font>
    <font>
      <sz val="10"/>
      <name val="HGP創英角ｺﾞｼｯｸUB"/>
      <family val="3"/>
      <charset val="128"/>
    </font>
    <font>
      <b/>
      <sz val="10.5"/>
      <color rgb="FF002060"/>
      <name val="BIZ UDゴシック"/>
      <family val="3"/>
      <charset val="128"/>
    </font>
    <font>
      <b/>
      <sz val="12"/>
      <color theme="1"/>
      <name val="ＭＳ Ｐゴシック"/>
      <family val="3"/>
      <charset val="128"/>
    </font>
    <font>
      <sz val="10"/>
      <color theme="1"/>
      <name val="HGPｺﾞｼｯｸM"/>
      <family val="3"/>
      <charset val="128"/>
    </font>
    <font>
      <sz val="11"/>
      <color theme="1"/>
      <name val="HGP創英角ｺﾞｼｯｸUB"/>
      <family val="3"/>
      <charset val="128"/>
    </font>
    <font>
      <sz val="11"/>
      <color theme="1"/>
      <name val="HGPｺﾞｼｯｸE"/>
      <family val="3"/>
      <charset val="128"/>
    </font>
    <font>
      <b/>
      <sz val="11"/>
      <color theme="1"/>
      <name val="BIZ UDPゴシック"/>
      <family val="3"/>
      <charset val="128"/>
    </font>
    <font>
      <sz val="10"/>
      <color theme="1"/>
      <name val="BIZ UDPゴシック"/>
      <family val="3"/>
      <charset val="128"/>
    </font>
    <font>
      <sz val="10"/>
      <color rgb="FFFF0000"/>
      <name val="HGS創英角ｺﾞｼｯｸUB"/>
      <family val="3"/>
      <charset val="128"/>
    </font>
    <font>
      <sz val="10"/>
      <name val="HGS創英角ｺﾞｼｯｸUB"/>
      <family val="3"/>
      <charset val="128"/>
    </font>
    <font>
      <b/>
      <sz val="12"/>
      <color theme="1"/>
      <name val="BIZ UDPゴシック"/>
      <family val="3"/>
      <charset val="128"/>
    </font>
    <font>
      <b/>
      <sz val="12"/>
      <name val="ＭＳ Ｐゴシック"/>
      <family val="3"/>
      <charset val="128"/>
    </font>
    <font>
      <sz val="11"/>
      <name val="UD デジタル 教科書体 N-B"/>
      <family val="1"/>
      <charset val="128"/>
    </font>
    <font>
      <b/>
      <sz val="20"/>
      <name val="UD デジタル 教科書体 N-B"/>
      <family val="1"/>
      <charset val="128"/>
    </font>
    <font>
      <b/>
      <sz val="10.5"/>
      <color rgb="FF000000"/>
      <name val="HG丸ｺﾞｼｯｸM-PRO"/>
      <family val="3"/>
      <charset val="128"/>
    </font>
    <font>
      <b/>
      <sz val="13"/>
      <color rgb="FF000000"/>
      <name val="HG丸ｺﾞｼｯｸM-PRO"/>
      <family val="3"/>
      <charset val="128"/>
    </font>
    <font>
      <b/>
      <sz val="11"/>
      <color rgb="FFFF0066"/>
      <name val="BIZ UDPゴシック"/>
      <family val="3"/>
      <charset val="128"/>
    </font>
    <font>
      <b/>
      <sz val="11"/>
      <name val="BIZ UDPゴシック"/>
      <family val="3"/>
      <charset val="128"/>
    </font>
    <font>
      <b/>
      <sz val="16"/>
      <color rgb="FF000000"/>
      <name val="BIZ UDPゴシック"/>
      <family val="3"/>
      <charset val="128"/>
    </font>
    <font>
      <b/>
      <sz val="20"/>
      <color theme="0"/>
      <name val="ＤＨＰ特太ゴシック体"/>
      <family val="3"/>
      <charset val="128"/>
    </font>
    <font>
      <sz val="18"/>
      <color theme="0"/>
      <name val="ＤＦ特太ゴシック体"/>
      <family val="3"/>
      <charset val="128"/>
    </font>
    <font>
      <sz val="11"/>
      <color theme="0"/>
      <name val="ＭＳ Ｐゴシック"/>
      <family val="3"/>
      <charset val="128"/>
    </font>
    <font>
      <b/>
      <sz val="14"/>
      <color rgb="FFFF0000"/>
      <name val="HG丸ｺﾞｼｯｸM-PRO"/>
      <family val="3"/>
      <charset val="128"/>
    </font>
    <font>
      <sz val="10"/>
      <color rgb="FF002060"/>
      <name val="HGP創英角ﾎﾟｯﾌﾟ体"/>
      <family val="3"/>
      <charset val="128"/>
    </font>
    <font>
      <b/>
      <sz val="18"/>
      <color rgb="FFFF0000"/>
      <name val="HGP創英角ｺﾞｼｯｸUB"/>
      <family val="3"/>
      <charset val="128"/>
    </font>
    <font>
      <b/>
      <sz val="12"/>
      <color rgb="FFFF0000"/>
      <name val="HGP創英角ｺﾞｼｯｸUB"/>
      <family val="3"/>
      <charset val="128"/>
    </font>
    <font>
      <b/>
      <sz val="9"/>
      <color theme="1"/>
      <name val="HG丸ｺﾞｼｯｸM-PRO"/>
      <family val="3"/>
      <charset val="128"/>
    </font>
    <font>
      <sz val="16"/>
      <color rgb="FFFF3300"/>
      <name val="HGP創英角ﾎﾟｯﾌﾟ体"/>
      <family val="3"/>
      <charset val="128"/>
    </font>
    <font>
      <b/>
      <sz val="20"/>
      <color theme="1"/>
      <name val="HGS創英角ｺﾞｼｯｸUB"/>
      <family val="3"/>
      <charset val="128"/>
    </font>
    <font>
      <sz val="14"/>
      <name val="HGS創英角ｺﾞｼｯｸUB"/>
      <family val="3"/>
      <charset val="128"/>
    </font>
    <font>
      <sz val="12"/>
      <color theme="1"/>
      <name val="HGS創英角ｺﾞｼｯｸUB"/>
      <family val="3"/>
      <charset val="128"/>
    </font>
    <font>
      <sz val="12"/>
      <name val="HGS創英角ｺﾞｼｯｸUB"/>
      <family val="3"/>
      <charset val="128"/>
    </font>
    <font>
      <sz val="12"/>
      <name val="HGS創英角ﾎﾟｯﾌﾟ体"/>
      <family val="3"/>
      <charset val="128"/>
    </font>
    <font>
      <sz val="10"/>
      <name val="HGPｺﾞｼｯｸE"/>
      <family val="3"/>
      <charset val="128"/>
    </font>
    <font>
      <sz val="10.5"/>
      <color rgb="FFFF0000"/>
      <name val="BIZ UDゴシック"/>
      <family val="3"/>
      <charset val="128"/>
    </font>
    <font>
      <sz val="10.5"/>
      <name val="BIZ UDゴシック"/>
      <family val="3"/>
      <charset val="128"/>
    </font>
    <font>
      <b/>
      <sz val="10.5"/>
      <color rgb="FFFF0000"/>
      <name val="BIZ UDゴシック"/>
      <family val="3"/>
      <charset val="128"/>
    </font>
    <font>
      <b/>
      <sz val="10.5"/>
      <name val="BIZ UDゴシック"/>
      <family val="3"/>
      <charset val="128"/>
    </font>
    <font>
      <sz val="12"/>
      <color rgb="FF000000"/>
      <name val="HG創英角ｺﾞｼｯｸUB"/>
      <family val="3"/>
      <charset val="128"/>
    </font>
    <font>
      <sz val="11"/>
      <color rgb="FF000000"/>
      <name val="HG創英角ｺﾞｼｯｸUB"/>
      <family val="3"/>
      <charset val="128"/>
    </font>
    <font>
      <b/>
      <sz val="10.5"/>
      <color theme="8" tint="-0.249977111117893"/>
      <name val="BIZ UDゴシック"/>
      <family val="3"/>
      <charset val="128"/>
    </font>
    <font>
      <sz val="8"/>
      <color rgb="FFFF0000"/>
      <name val="HGS創英角ｺﾞｼｯｸUB"/>
      <family val="3"/>
      <charset val="128"/>
    </font>
    <font>
      <sz val="9"/>
      <color rgb="FF002060"/>
      <name val="HGP創英角ﾎﾟｯﾌﾟ体"/>
      <family val="3"/>
      <charset val="128"/>
    </font>
    <font>
      <b/>
      <sz val="16"/>
      <name val="HG丸ｺﾞｼｯｸM-PRO"/>
      <family val="3"/>
      <charset val="128"/>
    </font>
    <font>
      <b/>
      <sz val="14"/>
      <name val="HG丸ｺﾞｼｯｸM-PRO"/>
      <family val="3"/>
      <charset val="128"/>
    </font>
    <font>
      <sz val="10"/>
      <name val="HGP創英角ﾎﾟｯﾌﾟ体"/>
      <family val="3"/>
      <charset val="128"/>
    </font>
    <font>
      <b/>
      <sz val="11"/>
      <color rgb="FFFF0000"/>
      <name val="HG丸ｺﾞｼｯｸM-PRO"/>
      <family val="3"/>
      <charset val="128"/>
    </font>
    <font>
      <u/>
      <sz val="12"/>
      <color rgb="FF000000"/>
      <name val="HG丸ｺﾞｼｯｸM-PRO"/>
      <family val="3"/>
      <charset val="128"/>
    </font>
    <font>
      <sz val="16"/>
      <color rgb="FFFF0066"/>
      <name val="HGS創英角ﾎﾟｯﾌﾟ体"/>
      <family val="3"/>
      <charset val="128"/>
    </font>
    <font>
      <b/>
      <sz val="12"/>
      <name val="BIZ UDPゴシック"/>
      <family val="3"/>
      <charset val="128"/>
    </font>
    <font>
      <b/>
      <sz val="13"/>
      <color theme="1"/>
      <name val="ＭＳ Ｐゴシック"/>
      <family val="3"/>
      <charset val="128"/>
      <scheme val="minor"/>
    </font>
    <font>
      <b/>
      <sz val="10.5"/>
      <color theme="1"/>
      <name val="HG丸ｺﾞｼｯｸM-PRO"/>
      <family val="3"/>
      <charset val="128"/>
    </font>
    <font>
      <sz val="11"/>
      <color theme="0"/>
      <name val="BIZ UDゴシック"/>
      <family val="3"/>
      <charset val="128"/>
    </font>
    <font>
      <sz val="12"/>
      <color rgb="FFFF0000"/>
      <name val="ＭＳ 明朝"/>
      <family val="1"/>
      <charset val="128"/>
    </font>
    <font>
      <b/>
      <sz val="36"/>
      <color theme="1"/>
      <name val="HG丸ｺﾞｼｯｸM-PRO"/>
      <family val="3"/>
      <charset val="128"/>
    </font>
    <font>
      <b/>
      <sz val="20"/>
      <color theme="1"/>
      <name val="HG丸ｺﾞｼｯｸM-PRO"/>
      <family val="3"/>
      <charset val="128"/>
    </font>
    <font>
      <b/>
      <sz val="24"/>
      <color theme="1"/>
      <name val="HG丸ｺﾞｼｯｸM-PRO"/>
      <family val="3"/>
      <charset val="128"/>
    </font>
    <font>
      <b/>
      <sz val="18"/>
      <color theme="1"/>
      <name val="HG丸ｺﾞｼｯｸM-PRO"/>
      <family val="3"/>
      <charset val="128"/>
    </font>
    <font>
      <sz val="14"/>
      <color theme="1"/>
      <name val="ＤＦ特太ゴシック体"/>
      <family val="3"/>
      <charset val="128"/>
    </font>
    <font>
      <b/>
      <sz val="13"/>
      <name val="ＭＳ Ｐゴシック"/>
      <family val="3"/>
      <charset val="128"/>
    </font>
    <font>
      <b/>
      <sz val="11"/>
      <color rgb="FF0070C0"/>
      <name val="HGPｺﾞｼｯｸM"/>
      <family val="3"/>
      <charset val="128"/>
    </font>
    <font>
      <sz val="11"/>
      <color theme="1"/>
      <name val="HGPｺﾞｼｯｸM"/>
      <family val="3"/>
      <charset val="128"/>
    </font>
    <font>
      <b/>
      <sz val="10"/>
      <color theme="1"/>
      <name val="HGS創英角ｺﾞｼｯｸUB"/>
      <family val="3"/>
      <charset val="128"/>
    </font>
    <font>
      <b/>
      <sz val="10"/>
      <color theme="1"/>
      <name val="HGPｺﾞｼｯｸM"/>
      <family val="3"/>
      <charset val="128"/>
    </font>
    <font>
      <sz val="9"/>
      <color theme="1"/>
      <name val="HGPｺﾞｼｯｸM"/>
      <family val="3"/>
      <charset val="128"/>
    </font>
    <font>
      <sz val="11"/>
      <name val="HGPｺﾞｼｯｸM"/>
      <family val="3"/>
      <charset val="128"/>
    </font>
    <font>
      <sz val="9"/>
      <name val="HGｺﾞｼｯｸE"/>
      <family val="3"/>
      <charset val="128"/>
    </font>
    <font>
      <b/>
      <sz val="12"/>
      <color theme="1"/>
      <name val="HGS創英角ｺﾞｼｯｸUB"/>
      <family val="3"/>
      <charset val="128"/>
    </font>
    <font>
      <b/>
      <sz val="12"/>
      <color rgb="FFFF0000"/>
      <name val="HGS創英角ｺﾞｼｯｸUB"/>
      <family val="3"/>
      <charset val="128"/>
    </font>
    <font>
      <sz val="10"/>
      <name val="HGPｺﾞｼｯｸM"/>
      <family val="3"/>
      <charset val="128"/>
    </font>
    <font>
      <b/>
      <sz val="11"/>
      <color rgb="FF002060"/>
      <name val="BIZ UDゴシック"/>
      <family val="3"/>
      <charset val="128"/>
    </font>
    <font>
      <b/>
      <sz val="11"/>
      <color theme="1"/>
      <name val="ＤＦ平成明朝体W3"/>
      <family val="1"/>
      <charset val="128"/>
    </font>
    <font>
      <b/>
      <sz val="16"/>
      <color theme="0"/>
      <name val="ＤＨＰ特太ゴシック体"/>
      <family val="3"/>
      <charset val="128"/>
    </font>
    <font>
      <sz val="16"/>
      <color theme="1"/>
      <name val="ＭＳ Ｐゴシック"/>
      <family val="2"/>
      <charset val="128"/>
      <scheme val="minor"/>
    </font>
    <font>
      <sz val="16"/>
      <color theme="0"/>
      <name val="ＭＳ Ｐゴシック"/>
      <family val="2"/>
      <charset val="128"/>
      <scheme val="minor"/>
    </font>
    <font>
      <b/>
      <sz val="14"/>
      <color rgb="FF333399"/>
      <name val="HG丸ｺﾞｼｯｸM-PRO"/>
      <family val="3"/>
      <charset val="128"/>
    </font>
    <font>
      <sz val="12"/>
      <color rgb="FFFF0000"/>
      <name val="HGS創英角ﾎﾟｯﾌﾟ体"/>
      <family val="3"/>
      <charset val="128"/>
    </font>
    <font>
      <sz val="12"/>
      <color rgb="FFFF0000"/>
      <name val="HGS創英角ｺﾞｼｯｸUB"/>
      <family val="3"/>
      <charset val="128"/>
    </font>
    <font>
      <b/>
      <sz val="10.5"/>
      <color rgb="FF000000"/>
      <name val="BIZ UDゴシック"/>
      <family val="3"/>
      <charset val="128"/>
    </font>
    <font>
      <b/>
      <sz val="13"/>
      <color rgb="FFFF0000"/>
      <name val="HG丸ｺﾞｼｯｸM-PRO"/>
      <family val="3"/>
      <charset val="128"/>
    </font>
    <font>
      <b/>
      <sz val="12"/>
      <color rgb="FF000000"/>
      <name val="BIZ UDゴシック"/>
      <family val="3"/>
      <charset val="128"/>
    </font>
    <font>
      <b/>
      <sz val="13"/>
      <color rgb="FFFF6600"/>
      <name val="BIZ UDゴシック"/>
      <family val="3"/>
      <charset val="128"/>
    </font>
    <font>
      <b/>
      <sz val="13"/>
      <color rgb="FF000000"/>
      <name val="BIZ UDゴシック"/>
      <family val="3"/>
      <charset val="128"/>
    </font>
    <font>
      <sz val="10"/>
      <name val="BIZ UDゴシック"/>
      <family val="3"/>
      <charset val="128"/>
    </font>
    <font>
      <sz val="6"/>
      <name val="BIZ UDゴシック"/>
      <family val="3"/>
      <charset val="128"/>
    </font>
    <font>
      <b/>
      <sz val="18"/>
      <name val="HGP創英角ﾎﾟｯﾌﾟ体"/>
      <family val="3"/>
      <charset val="128"/>
    </font>
    <font>
      <sz val="11"/>
      <color rgb="FFFF0000"/>
      <name val="HGS創英角ｺﾞｼｯｸUB"/>
      <family val="3"/>
      <charset val="128"/>
    </font>
    <font>
      <sz val="11"/>
      <name val="BIZ UDPゴシック"/>
      <family val="3"/>
      <charset val="128"/>
    </font>
    <font>
      <sz val="8"/>
      <color rgb="FFFF0000"/>
      <name val="HGP創英角ｺﾞｼｯｸUB"/>
      <family val="3"/>
      <charset val="128"/>
    </font>
    <font>
      <sz val="10"/>
      <color rgb="FFFF0066"/>
      <name val="HGS創英角ｺﾞｼｯｸUB"/>
      <family val="3"/>
      <charset val="128"/>
    </font>
    <font>
      <b/>
      <sz val="9"/>
      <color rgb="FFFF0000"/>
      <name val="ＤＦ特太ゴシック体"/>
      <family val="3"/>
      <charset val="128"/>
    </font>
    <font>
      <sz val="11"/>
      <color theme="0"/>
      <name val="ＭＳ Ｐゴシック"/>
      <family val="3"/>
      <charset val="128"/>
      <scheme val="minor"/>
    </font>
    <font>
      <sz val="9"/>
      <color theme="0"/>
      <name val="HGS創英角ｺﾞｼｯｸUB"/>
      <family val="3"/>
      <charset val="128"/>
    </font>
    <font>
      <sz val="9"/>
      <color theme="1"/>
      <name val="HGS創英角ｺﾞｼｯｸUB"/>
      <family val="3"/>
      <charset val="128"/>
    </font>
    <font>
      <sz val="9"/>
      <color rgb="FFFF0000"/>
      <name val="HGS創英角ｺﾞｼｯｸUB"/>
      <family val="3"/>
      <charset val="128"/>
    </font>
    <font>
      <sz val="11"/>
      <color theme="1"/>
      <name val="BIZ UDPゴシック"/>
      <family val="3"/>
      <charset val="128"/>
    </font>
    <font>
      <b/>
      <sz val="10.5"/>
      <name val="BIZ UDPゴシック"/>
      <family val="3"/>
      <charset val="128"/>
    </font>
    <font>
      <b/>
      <sz val="10.5"/>
      <color rgb="FFFF0000"/>
      <name val="BIZ UDPゴシック"/>
      <family val="3"/>
      <charset val="128"/>
    </font>
    <font>
      <sz val="18"/>
      <color theme="0"/>
      <name val="HGS創英角ｺﾞｼｯｸUB"/>
      <family val="3"/>
      <charset val="128"/>
    </font>
    <font>
      <b/>
      <sz val="9"/>
      <color theme="1"/>
      <name val="BIZ UDPゴシック"/>
      <family val="3"/>
      <charset val="128"/>
    </font>
    <font>
      <sz val="10"/>
      <color rgb="FF0070C0"/>
      <name val="HGS創英角ｺﾞｼｯｸUB"/>
      <family val="3"/>
      <charset val="128"/>
    </font>
    <font>
      <sz val="11"/>
      <color rgb="FF0070C0"/>
      <name val="ＭＳ Ｐゴシック"/>
      <family val="3"/>
      <charset val="128"/>
      <scheme val="minor"/>
    </font>
    <font>
      <sz val="14"/>
      <color rgb="FFFF0000"/>
      <name val="HGS創英角ｺﾞｼｯｸUB"/>
      <family val="3"/>
      <charset val="128"/>
    </font>
    <font>
      <b/>
      <sz val="13"/>
      <color rgb="FFFF0066"/>
      <name val="BIZ UDPゴシック"/>
      <family val="3"/>
      <charset val="128"/>
    </font>
    <font>
      <b/>
      <sz val="10.5"/>
      <color rgb="FFFF0066"/>
      <name val="BIZ UDPゴシック"/>
      <family val="3"/>
      <charset val="128"/>
    </font>
    <font>
      <b/>
      <sz val="10.5"/>
      <color rgb="FF0070C0"/>
      <name val="BIZ UDPゴシック"/>
      <family val="3"/>
      <charset val="128"/>
    </font>
    <font>
      <sz val="12"/>
      <color rgb="FF0070C0"/>
      <name val="HGS創英角ﾎﾟｯﾌﾟ体"/>
      <family val="3"/>
      <charset val="128"/>
    </font>
    <font>
      <sz val="13"/>
      <color rgb="FFFF0000"/>
      <name val="HGS創英角ｺﾞｼｯｸUB"/>
      <family val="3"/>
      <charset val="128"/>
    </font>
    <font>
      <sz val="10.5"/>
      <color rgb="FF0070C0"/>
      <name val="HGP創英角ｺﾞｼｯｸUB"/>
      <family val="3"/>
      <charset val="128"/>
    </font>
    <font>
      <sz val="10.5"/>
      <color rgb="FF0070C0"/>
      <name val="HGS創英角ｺﾞｼｯｸUB"/>
      <family val="3"/>
      <charset val="128"/>
    </font>
    <font>
      <sz val="11"/>
      <color rgb="FFFF0000"/>
      <name val="ＤＦ平成明朝体W3"/>
      <family val="1"/>
      <charset val="128"/>
    </font>
    <font>
      <sz val="10.5"/>
      <color theme="1"/>
      <name val="ＭＳ Ｐゴシック"/>
      <family val="3"/>
      <charset val="128"/>
      <scheme val="minor"/>
    </font>
    <font>
      <b/>
      <sz val="14"/>
      <name val="BIZ UDPゴシック"/>
      <family val="3"/>
      <charset val="128"/>
    </font>
    <font>
      <sz val="22"/>
      <color theme="0"/>
      <name val="HGS創英角ｺﾞｼｯｸUB"/>
      <family val="3"/>
      <charset val="128"/>
    </font>
    <font>
      <sz val="13"/>
      <color rgb="FFFF0000"/>
      <name val="HGP創英角ｺﾞｼｯｸUB"/>
      <family val="3"/>
      <charset val="128"/>
    </font>
    <font>
      <sz val="12"/>
      <name val="HGP創英角ｺﾞｼｯｸUB"/>
      <family val="3"/>
      <charset val="128"/>
    </font>
    <font>
      <sz val="13"/>
      <color theme="1"/>
      <name val="HGS創英角ｺﾞｼｯｸUB"/>
      <family val="3"/>
      <charset val="128"/>
    </font>
    <font>
      <sz val="13"/>
      <color theme="1"/>
      <name val="UD デジタル 教科書体 NK-B"/>
      <family val="1"/>
      <charset val="128"/>
    </font>
    <font>
      <sz val="13"/>
      <color rgb="FFFF0000"/>
      <name val="UD デジタル 教科書体 NK-B"/>
      <family val="1"/>
      <charset val="128"/>
    </font>
    <font>
      <sz val="14"/>
      <color rgb="FF0070C0"/>
      <name val="HGS創英角ｺﾞｼｯｸUB"/>
      <family val="3"/>
      <charset val="128"/>
    </font>
    <font>
      <sz val="13"/>
      <color rgb="FFFF0000"/>
      <name val="HGPｺﾞｼｯｸE"/>
      <family val="3"/>
      <charset val="128"/>
    </font>
    <font>
      <b/>
      <sz val="13"/>
      <name val="ＤＦ特太ゴシック体"/>
      <family val="3"/>
      <charset val="128"/>
    </font>
    <font>
      <sz val="11"/>
      <color rgb="FF002060"/>
      <name val="ＤＨＰ特太ゴシック体"/>
      <family val="3"/>
      <charset val="128"/>
    </font>
    <font>
      <sz val="11"/>
      <color rgb="FFFF0000"/>
      <name val="ＤＨＰ特太ゴシック体"/>
      <family val="3"/>
      <charset val="128"/>
    </font>
    <font>
      <sz val="12"/>
      <color rgb="FFC00000"/>
      <name val="HGS創英角ｺﾞｼｯｸUB"/>
      <family val="3"/>
      <charset val="128"/>
    </font>
    <font>
      <sz val="16"/>
      <color theme="1"/>
      <name val="UD デジタル 教科書体 NK-B"/>
      <family val="1"/>
      <charset val="128"/>
    </font>
    <font>
      <b/>
      <sz val="11"/>
      <color rgb="FFFF0000"/>
      <name val="BIZ UDPゴシック"/>
      <family val="3"/>
      <charset val="128"/>
    </font>
    <font>
      <sz val="1"/>
      <color theme="0"/>
      <name val="ＭＳ Ｐゴシック"/>
      <family val="3"/>
      <charset val="128"/>
      <scheme val="minor"/>
    </font>
    <font>
      <sz val="14"/>
      <color rgb="FFFF0066"/>
      <name val="ＤＦ特太ゴシック体"/>
      <family val="3"/>
      <charset val="128"/>
    </font>
    <font>
      <sz val="13"/>
      <name val="HGS創英角ｺﾞｼｯｸUB"/>
      <family val="3"/>
      <charset val="128"/>
    </font>
    <font>
      <sz val="1"/>
      <color theme="0"/>
      <name val="HGS創英角ｺﾞｼｯｸUB"/>
      <family val="3"/>
      <charset val="128"/>
    </font>
    <font>
      <b/>
      <sz val="1"/>
      <color theme="0"/>
      <name val="HG丸ｺﾞｼｯｸM-PRO"/>
      <family val="3"/>
      <charset val="128"/>
    </font>
    <font>
      <sz val="1"/>
      <color theme="0"/>
      <name val="HGPｺﾞｼｯｸE"/>
      <family val="3"/>
      <charset val="128"/>
    </font>
    <font>
      <sz val="11"/>
      <color rgb="FFFF6600"/>
      <name val="HGS創英角ｺﾞｼｯｸUB"/>
      <family val="3"/>
      <charset val="128"/>
    </font>
    <font>
      <sz val="10.5"/>
      <name val="HGS創英角ｺﾞｼｯｸUB"/>
      <family val="3"/>
      <charset val="128"/>
    </font>
    <font>
      <sz val="10.5"/>
      <color rgb="FFFF0000"/>
      <name val="HGS創英角ｺﾞｼｯｸUB"/>
      <family val="3"/>
      <charset val="128"/>
    </font>
    <font>
      <sz val="11"/>
      <color theme="1"/>
      <name val="HGSｺﾞｼｯｸE"/>
      <family val="3"/>
      <charset val="128"/>
    </font>
    <font>
      <sz val="11"/>
      <name val="HGSｺﾞｼｯｸE"/>
      <family val="3"/>
      <charset val="128"/>
    </font>
    <font>
      <sz val="11"/>
      <color rgb="FF0070C0"/>
      <name val="HGSｺﾞｼｯｸE"/>
      <family val="3"/>
      <charset val="128"/>
    </font>
    <font>
      <sz val="10"/>
      <color rgb="FF0070C0"/>
      <name val="ＭＳ Ｐゴシック"/>
      <family val="3"/>
      <charset val="128"/>
      <scheme val="minor"/>
    </font>
    <font>
      <sz val="10"/>
      <color rgb="FFFF0000"/>
      <name val="ＭＳ Ｐゴシック"/>
      <family val="3"/>
      <charset val="128"/>
    </font>
    <font>
      <sz val="11"/>
      <color rgb="FFFF0066"/>
      <name val="HGSｺﾞｼｯｸE"/>
      <family val="3"/>
      <charset val="128"/>
    </font>
    <font>
      <sz val="11"/>
      <color theme="1"/>
      <name val="ＤＨＰ特太ゴシック体"/>
      <family val="3"/>
      <charset val="128"/>
    </font>
    <font>
      <b/>
      <sz val="10"/>
      <color theme="1"/>
      <name val="BIZ UDPゴシック"/>
      <family val="3"/>
      <charset val="128"/>
    </font>
    <font>
      <sz val="9"/>
      <color rgb="FF0070C0"/>
      <name val="HGP創英角ｺﾞｼｯｸUB"/>
      <family val="3"/>
      <charset val="128"/>
    </font>
    <font>
      <b/>
      <sz val="10"/>
      <color rgb="FFFF0000"/>
      <name val="HG丸ｺﾞｼｯｸM-PRO"/>
      <family val="3"/>
      <charset val="128"/>
    </font>
    <font>
      <sz val="8"/>
      <color theme="1"/>
      <name val="HG丸ｺﾞｼｯｸM-PRO"/>
      <family val="3"/>
      <charset val="128"/>
    </font>
    <font>
      <b/>
      <sz val="9"/>
      <name val="HG丸ｺﾞｼｯｸM-PRO"/>
      <family val="3"/>
      <charset val="128"/>
    </font>
    <font>
      <sz val="11"/>
      <color rgb="FFFF0000"/>
      <name val="HGPｺﾞｼｯｸE"/>
      <family val="3"/>
      <charset val="128"/>
    </font>
    <font>
      <sz val="10"/>
      <color rgb="FFC00000"/>
      <name val="HGS創英角ｺﾞｼｯｸUB"/>
      <family val="3"/>
      <charset val="128"/>
    </font>
    <font>
      <sz val="10"/>
      <color theme="8" tint="-0.249977111117893"/>
      <name val="HG丸ｺﾞｼｯｸM-PRO"/>
      <family val="3"/>
      <charset val="128"/>
    </font>
    <font>
      <sz val="11"/>
      <color theme="4" tint="-0.249977111117893"/>
      <name val="HGPｺﾞｼｯｸE"/>
      <family val="3"/>
      <charset val="128"/>
    </font>
    <font>
      <sz val="9"/>
      <name val="HG丸ｺﾞｼｯｸM-PRO"/>
      <family val="3"/>
      <charset val="128"/>
    </font>
    <font>
      <sz val="8"/>
      <name val="HG丸ｺﾞｼｯｸM-PRO"/>
      <family val="3"/>
      <charset val="128"/>
    </font>
    <font>
      <sz val="8"/>
      <color rgb="FFFF0000"/>
      <name val="HGSｺﾞｼｯｸE"/>
      <family val="3"/>
      <charset val="128"/>
    </font>
    <font>
      <sz val="8"/>
      <color rgb="FFFF0000"/>
      <name val="HGｺﾞｼｯｸE"/>
      <family val="3"/>
      <charset val="128"/>
    </font>
    <font>
      <sz val="10"/>
      <color theme="1"/>
      <name val="ＤＨＰ特太ゴシック体"/>
      <family val="3"/>
      <charset val="128"/>
    </font>
    <font>
      <sz val="9"/>
      <color rgb="FF0070C0"/>
      <name val="HGPｺﾞｼｯｸE"/>
      <family val="3"/>
      <charset val="128"/>
    </font>
    <font>
      <sz val="9"/>
      <color theme="1"/>
      <name val="HGPｺﾞｼｯｸE"/>
      <family val="3"/>
      <charset val="128"/>
    </font>
    <font>
      <sz val="1"/>
      <color theme="0"/>
      <name val="BIZ UDゴシック"/>
      <family val="3"/>
      <charset val="128"/>
    </font>
    <font>
      <sz val="1"/>
      <color theme="0"/>
      <name val="ＭＳ Ｐゴシック"/>
      <family val="2"/>
      <charset val="128"/>
      <scheme val="minor"/>
    </font>
    <font>
      <sz val="10"/>
      <color rgb="FF000000"/>
      <name val="HGP創英角ｺﾞｼｯｸUB"/>
      <family val="3"/>
      <charset val="128"/>
    </font>
    <font>
      <sz val="11"/>
      <color rgb="FFFF0000"/>
      <name val="HGP創英角ｺﾞｼｯｸUB"/>
      <family val="3"/>
      <charset val="128"/>
    </font>
    <font>
      <sz val="9"/>
      <name val="HGPｺﾞｼｯｸE"/>
      <family val="3"/>
      <charset val="128"/>
    </font>
    <font>
      <sz val="9"/>
      <color rgb="FF00B050"/>
      <name val="HGP創英角ｺﾞｼｯｸUB"/>
      <family val="3"/>
      <charset val="128"/>
    </font>
    <font>
      <sz val="8"/>
      <color rgb="FF00B050"/>
      <name val="HGP創英角ｺﾞｼｯｸUB"/>
      <family val="3"/>
      <charset val="128"/>
    </font>
    <font>
      <b/>
      <sz val="10"/>
      <color rgb="FFFF0066"/>
      <name val="ＤＦ特太ゴシック体"/>
      <family val="3"/>
      <charset val="128"/>
    </font>
    <font>
      <sz val="10"/>
      <color rgb="FFFF0000"/>
      <name val="HGPｺﾞｼｯｸE"/>
      <family val="3"/>
      <charset val="128"/>
    </font>
    <font>
      <b/>
      <sz val="9"/>
      <color theme="1"/>
      <name val="HGSｺﾞｼｯｸE"/>
      <family val="3"/>
      <charset val="128"/>
    </font>
    <font>
      <b/>
      <sz val="9"/>
      <name val="HGSｺﾞｼｯｸE"/>
      <family val="3"/>
      <charset val="128"/>
    </font>
    <font>
      <sz val="9"/>
      <name val="HGSｺﾞｼｯｸE"/>
      <family val="3"/>
      <charset val="128"/>
    </font>
    <font>
      <sz val="9"/>
      <color theme="1"/>
      <name val="HGSｺﾞｼｯｸE"/>
      <family val="3"/>
      <charset val="128"/>
    </font>
    <font>
      <sz val="1"/>
      <color theme="0"/>
      <name val="ＭＳ Ｐ明朝"/>
      <family val="1"/>
      <charset val="128"/>
    </font>
    <font>
      <sz val="1"/>
      <color theme="0"/>
      <name val="HG丸ｺﾞｼｯｸM-PRO"/>
      <family val="3"/>
      <charset val="128"/>
    </font>
    <font>
      <sz val="1"/>
      <color theme="0"/>
      <name val="ＤＨＰ平成ゴシックW5"/>
      <family val="3"/>
      <charset val="128"/>
    </font>
    <font>
      <sz val="1"/>
      <color theme="0"/>
      <name val="ＭＳ Ｐゴシック"/>
      <family val="3"/>
      <charset val="128"/>
    </font>
    <font>
      <b/>
      <sz val="1"/>
      <color theme="0"/>
      <name val="BIZ UDゴシック"/>
      <family val="3"/>
      <charset val="128"/>
    </font>
    <font>
      <b/>
      <sz val="1"/>
      <color theme="0"/>
      <name val="ＭＳ Ｐゴシック"/>
      <family val="3"/>
      <charset val="128"/>
      <scheme val="minor"/>
    </font>
    <font>
      <sz val="11"/>
      <color rgb="FFC00000"/>
      <name val="HGS創英角ｺﾞｼｯｸUB"/>
      <family val="3"/>
      <charset val="128"/>
    </font>
    <font>
      <sz val="11"/>
      <color rgb="FF0070C0"/>
      <name val="HGS創英角ｺﾞｼｯｸUB"/>
      <family val="3"/>
      <charset val="128"/>
    </font>
    <font>
      <b/>
      <sz val="14"/>
      <color rgb="FF002060"/>
      <name val="HG丸ｺﾞｼｯｸM-PRO"/>
      <family val="3"/>
      <charset val="128"/>
    </font>
    <font>
      <b/>
      <sz val="9"/>
      <color theme="1"/>
      <name val="ＤＨＰ特太ゴシック体"/>
      <family val="3"/>
      <charset val="128"/>
    </font>
    <font>
      <sz val="10"/>
      <color theme="4" tint="-0.249977111117893"/>
      <name val="HGPｺﾞｼｯｸE"/>
      <family val="3"/>
      <charset val="128"/>
    </font>
    <font>
      <sz val="10"/>
      <color rgb="FFFF0000"/>
      <name val="HGSｺﾞｼｯｸE"/>
      <family val="3"/>
      <charset val="128"/>
    </font>
    <font>
      <sz val="10"/>
      <color theme="4" tint="-0.249977111117893"/>
      <name val="HGSｺﾞｼｯｸE"/>
      <family val="3"/>
      <charset val="128"/>
    </font>
    <font>
      <sz val="9"/>
      <color theme="4" tint="-0.249977111117893"/>
      <name val="HGSｺﾞｼｯｸE"/>
      <family val="3"/>
      <charset val="128"/>
    </font>
    <font>
      <sz val="10"/>
      <color theme="1"/>
      <name val="UD デジタル 教科書体 N-B"/>
      <family val="1"/>
      <charset val="128"/>
    </font>
    <font>
      <b/>
      <sz val="10"/>
      <color theme="1"/>
      <name val="UD デジタル 教科書体 N-B"/>
      <family val="1"/>
      <charset val="128"/>
    </font>
    <font>
      <sz val="10"/>
      <name val="UD デジタル 教科書体 NK-B"/>
      <family val="1"/>
      <charset val="128"/>
    </font>
    <font>
      <sz val="10"/>
      <color rgb="FFFF0000"/>
      <name val="UD デジタル 教科書体 N-B"/>
      <family val="1"/>
      <charset val="128"/>
    </font>
    <font>
      <sz val="10"/>
      <name val="UD デジタル 教科書体 N-B"/>
      <family val="1"/>
      <charset val="128"/>
    </font>
    <font>
      <b/>
      <sz val="9"/>
      <color rgb="FF0070C0"/>
      <name val="HG丸ｺﾞｼｯｸM-PRO"/>
      <family val="3"/>
      <charset val="128"/>
    </font>
    <font>
      <b/>
      <sz val="10.5"/>
      <name val="ＭＳ ゴシック"/>
      <family val="3"/>
      <charset val="128"/>
    </font>
    <font>
      <b/>
      <sz val="12"/>
      <name val="UD デジタル 教科書体 N-B"/>
      <family val="1"/>
      <charset val="128"/>
    </font>
    <font>
      <b/>
      <sz val="11"/>
      <color theme="0"/>
      <name val="BIZ UDゴシック"/>
      <family val="3"/>
      <charset val="128"/>
    </font>
    <font>
      <b/>
      <sz val="12"/>
      <color theme="0"/>
      <name val="BIZ UDゴシック"/>
      <family val="3"/>
      <charset val="128"/>
    </font>
    <font>
      <b/>
      <sz val="12"/>
      <color rgb="FF000000"/>
      <name val="UD デジタル 教科書体 NK-B"/>
      <family val="1"/>
      <charset val="128"/>
    </font>
    <font>
      <b/>
      <sz val="14"/>
      <color rgb="FF000000"/>
      <name val="UD デジタル 教科書体 NK-B"/>
      <family val="1"/>
      <charset val="128"/>
    </font>
    <font>
      <b/>
      <sz val="13"/>
      <color rgb="FF000000"/>
      <name val="UD デジタル 教科書体 NK-B"/>
      <family val="1"/>
      <charset val="128"/>
    </font>
    <font>
      <sz val="13"/>
      <color rgb="FF000000"/>
      <name val="UD デジタル 教科書体 NK-B"/>
      <family val="1"/>
      <charset val="128"/>
    </font>
    <font>
      <sz val="10"/>
      <color rgb="FFFF0000"/>
      <name val="ＭＳ Ｐゴシック"/>
      <family val="2"/>
      <charset val="128"/>
      <scheme val="minor"/>
    </font>
    <font>
      <sz val="10"/>
      <color rgb="FFFF0000"/>
      <name val="HG丸ｺﾞｼｯｸM-PRO"/>
      <family val="3"/>
      <charset val="128"/>
    </font>
    <font>
      <sz val="12"/>
      <color rgb="FFFF0000"/>
      <name val="ＤＦ平成明朝体W3"/>
      <family val="1"/>
      <charset val="128"/>
    </font>
    <font>
      <sz val="12"/>
      <color rgb="FFFF0000"/>
      <name val="ＭＳ Ｐゴシック"/>
      <family val="3"/>
      <charset val="128"/>
      <scheme val="minor"/>
    </font>
    <font>
      <sz val="12"/>
      <color rgb="FFFF0000"/>
      <name val="ＭＳ Ｐゴシック"/>
      <family val="2"/>
      <charset val="128"/>
      <scheme val="minor"/>
    </font>
    <font>
      <sz val="10"/>
      <name val="ＭＳ Ｐゴシック"/>
      <family val="2"/>
      <charset val="128"/>
      <scheme val="minor"/>
    </font>
    <font>
      <sz val="10"/>
      <name val="ＤＦ平成明朝体W3"/>
      <family val="1"/>
      <charset val="128"/>
    </font>
    <font>
      <b/>
      <sz val="10.5"/>
      <color rgb="FF0070C0"/>
      <name val="BIZ UDゴシック"/>
      <family val="3"/>
      <charset val="128"/>
    </font>
    <font>
      <sz val="1"/>
      <color theme="0"/>
      <name val="HGP創英角ﾎﾟｯﾌﾟ体"/>
      <family val="3"/>
      <charset val="128"/>
    </font>
  </fonts>
  <fills count="69">
    <fill>
      <patternFill patternType="none"/>
    </fill>
    <fill>
      <patternFill patternType="gray125"/>
    </fill>
    <fill>
      <patternFill patternType="solid">
        <fgColor rgb="FFB8ECF2"/>
        <bgColor indexed="64"/>
      </patternFill>
    </fill>
    <fill>
      <patternFill patternType="solid">
        <fgColor rgb="FFFF99CC"/>
        <bgColor indexed="64"/>
      </patternFill>
    </fill>
    <fill>
      <patternFill patternType="solid">
        <fgColor rgb="FFFFFF66"/>
        <bgColor indexed="64"/>
      </patternFill>
    </fill>
    <fill>
      <patternFill patternType="gray0625">
        <bgColor theme="0"/>
      </patternFill>
    </fill>
    <fill>
      <patternFill patternType="solid">
        <fgColor rgb="FF217346"/>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339966"/>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gray0625">
        <bgColor rgb="FFFFFF66"/>
      </patternFill>
    </fill>
    <fill>
      <patternFill patternType="solid">
        <fgColor rgb="FFFFCCFF"/>
        <bgColor indexed="64"/>
      </patternFill>
    </fill>
    <fill>
      <patternFill patternType="gray125">
        <fgColor rgb="FF0070C0"/>
        <bgColor theme="0"/>
      </patternFill>
    </fill>
    <fill>
      <patternFill patternType="gray125">
        <fgColor rgb="FF0070C0"/>
        <bgColor rgb="FFB8ECF2"/>
      </patternFill>
    </fill>
    <fill>
      <patternFill patternType="lightGray">
        <fgColor rgb="FF99FF33"/>
      </patternFill>
    </fill>
    <fill>
      <patternFill patternType="solid">
        <fgColor theme="7" tint="0.39997558519241921"/>
        <bgColor indexed="64"/>
      </patternFill>
    </fill>
    <fill>
      <patternFill patternType="solid">
        <fgColor rgb="FFB8ECF2"/>
        <bgColor rgb="FFFF6699"/>
      </patternFill>
    </fill>
    <fill>
      <patternFill patternType="solid">
        <fgColor rgb="FF0070C0"/>
        <bgColor indexed="64"/>
      </patternFill>
    </fill>
    <fill>
      <patternFill patternType="solid">
        <fgColor rgb="FF33CC33"/>
        <bgColor indexed="64"/>
      </patternFill>
    </fill>
    <fill>
      <patternFill patternType="solid">
        <fgColor rgb="FF3399FF"/>
        <bgColor indexed="64"/>
      </patternFill>
    </fill>
    <fill>
      <patternFill patternType="solid">
        <fgColor rgb="FFFF9933"/>
        <bgColor indexed="64"/>
      </patternFill>
    </fill>
    <fill>
      <patternFill patternType="solid">
        <fgColor rgb="FFFF2929"/>
        <bgColor indexed="64"/>
      </patternFill>
    </fill>
    <fill>
      <patternFill patternType="solid">
        <fgColor rgb="FFF080D8"/>
        <bgColor indexed="64"/>
      </patternFill>
    </fill>
    <fill>
      <patternFill patternType="solid">
        <fgColor rgb="FFFF3300"/>
        <bgColor indexed="64"/>
      </patternFill>
    </fill>
    <fill>
      <patternFill patternType="lightGray">
        <fgColor rgb="FFFF6699"/>
      </patternFill>
    </fill>
    <fill>
      <patternFill patternType="darkTrellis">
        <fgColor theme="5" tint="0.39991454817346722"/>
        <bgColor theme="0"/>
      </patternFill>
    </fill>
    <fill>
      <patternFill patternType="lightTrellis">
        <fgColor theme="7" tint="0.39994506668294322"/>
        <bgColor indexed="65"/>
      </patternFill>
    </fill>
    <fill>
      <patternFill patternType="lightTrellis">
        <fgColor theme="7" tint="0.39994506668294322"/>
        <bgColor rgb="FFFFFF99"/>
      </patternFill>
    </fill>
    <fill>
      <patternFill patternType="gray125">
        <fgColor rgb="FF0070C0"/>
        <bgColor rgb="FFFFFF99"/>
      </patternFill>
    </fill>
    <fill>
      <patternFill patternType="lightTrellis">
        <fgColor rgb="FF99FF66"/>
        <bgColor theme="0"/>
      </patternFill>
    </fill>
    <fill>
      <patternFill patternType="solid">
        <fgColor rgb="FFBFBFBF"/>
        <bgColor indexed="64"/>
      </patternFill>
    </fill>
    <fill>
      <patternFill patternType="solid">
        <fgColor rgb="FFF79FB8"/>
        <bgColor indexed="64"/>
      </patternFill>
    </fill>
    <fill>
      <patternFill patternType="solid">
        <fgColor rgb="FFF79FB8"/>
        <bgColor auto="1"/>
      </patternFill>
    </fill>
    <fill>
      <patternFill patternType="solid">
        <fgColor rgb="FFFFFF19"/>
        <bgColor indexed="64"/>
      </patternFill>
    </fill>
    <fill>
      <patternFill patternType="solid">
        <fgColor rgb="FFC4FF89"/>
        <bgColor indexed="64"/>
      </patternFill>
    </fill>
    <fill>
      <patternFill patternType="lightTrellis">
        <fgColor rgb="FF99FF66"/>
      </patternFill>
    </fill>
    <fill>
      <patternFill patternType="lightTrellis">
        <fgColor rgb="FFF79FB8"/>
      </patternFill>
    </fill>
    <fill>
      <patternFill patternType="solid">
        <fgColor rgb="FFCCFF99"/>
        <bgColor indexed="64"/>
      </patternFill>
    </fill>
    <fill>
      <patternFill patternType="lightGray">
        <fgColor indexed="31"/>
        <bgColor theme="0" tint="-0.14999847407452621"/>
      </patternFill>
    </fill>
    <fill>
      <patternFill patternType="solid">
        <fgColor theme="0" tint="-0.14999847407452621"/>
        <bgColor indexed="64"/>
      </patternFill>
    </fill>
    <fill>
      <patternFill patternType="solid">
        <fgColor theme="0" tint="-0.14999847407452621"/>
        <bgColor indexed="31"/>
      </patternFill>
    </fill>
    <fill>
      <patternFill patternType="solid">
        <fgColor indexed="65"/>
        <bgColor indexed="31"/>
      </patternFill>
    </fill>
    <fill>
      <patternFill patternType="solid">
        <fgColor rgb="FFFFC000"/>
        <bgColor indexed="64"/>
      </patternFill>
    </fill>
    <fill>
      <patternFill patternType="solid">
        <fgColor rgb="FFFF7B21"/>
        <bgColor indexed="64"/>
      </patternFill>
    </fill>
    <fill>
      <patternFill patternType="lightGray">
        <fgColor rgb="FFFF7B21"/>
        <bgColor theme="7" tint="0.59996337778862885"/>
      </patternFill>
    </fill>
    <fill>
      <patternFill patternType="solid">
        <fgColor rgb="FFFFCB25"/>
        <bgColor indexed="64"/>
      </patternFill>
    </fill>
    <fill>
      <patternFill patternType="solid">
        <fgColor rgb="FFFFD243"/>
        <bgColor indexed="64"/>
      </patternFill>
    </fill>
    <fill>
      <patternFill patternType="solid">
        <fgColor rgb="FFFFE1FF"/>
        <bgColor indexed="64"/>
      </patternFill>
    </fill>
    <fill>
      <patternFill patternType="solid">
        <fgColor rgb="FFFF6699"/>
        <bgColor indexed="64"/>
      </patternFill>
    </fill>
    <fill>
      <patternFill patternType="solid">
        <fgColor rgb="FFEA2D00"/>
        <bgColor indexed="64"/>
      </patternFill>
    </fill>
    <fill>
      <patternFill patternType="solid">
        <fgColor theme="7" tint="0.59999389629810485"/>
        <bgColor indexed="64"/>
      </patternFill>
    </fill>
    <fill>
      <patternFill patternType="solid">
        <fgColor rgb="FF9BE5ED"/>
        <bgColor indexed="64"/>
      </patternFill>
    </fill>
    <fill>
      <patternFill patternType="solid">
        <fgColor rgb="FF15C2FF"/>
        <bgColor indexed="64"/>
      </patternFill>
    </fill>
    <fill>
      <patternFill patternType="solid">
        <fgColor theme="7" tint="0.79998168889431442"/>
        <bgColor indexed="64"/>
      </patternFill>
    </fill>
    <fill>
      <patternFill patternType="solid">
        <fgColor rgb="FFFFE5FF"/>
        <bgColor indexed="64"/>
      </patternFill>
    </fill>
    <fill>
      <patternFill patternType="solid">
        <fgColor rgb="FFFFE5FF"/>
        <bgColor auto="1"/>
      </patternFill>
    </fill>
    <fill>
      <patternFill patternType="solid">
        <fgColor rgb="FFFFE5FF"/>
        <bgColor rgb="FF99FF33"/>
      </patternFill>
    </fill>
    <fill>
      <patternFill patternType="solid">
        <fgColor rgb="FFFFD3BD"/>
        <bgColor indexed="64"/>
      </patternFill>
    </fill>
    <fill>
      <patternFill patternType="solid">
        <fgColor rgb="FFFFD3BD"/>
        <bgColor auto="1"/>
      </patternFill>
    </fill>
    <fill>
      <patternFill patternType="solid">
        <fgColor rgb="FFFFD3BD"/>
        <bgColor rgb="FF99FF33"/>
      </patternFill>
    </fill>
    <fill>
      <patternFill patternType="lightGray">
        <fgColor rgb="FFFF79D2"/>
      </patternFill>
    </fill>
    <fill>
      <patternFill patternType="lightGray">
        <fgColor rgb="FF99FF33"/>
        <bgColor rgb="FFFFFF99"/>
      </patternFill>
    </fill>
    <fill>
      <patternFill patternType="solid">
        <fgColor rgb="FFFF7DA8"/>
        <bgColor indexed="64"/>
      </patternFill>
    </fill>
    <fill>
      <patternFill patternType="solid">
        <fgColor theme="4" tint="0.79998168889431442"/>
        <bgColor theme="4" tint="0.79998168889431442"/>
      </patternFill>
    </fill>
    <fill>
      <patternFill patternType="solid">
        <fgColor rgb="FFFFFFD1"/>
        <bgColor indexed="64"/>
      </patternFill>
    </fill>
    <fill>
      <patternFill patternType="lightGray">
        <fgColor rgb="FFFF6699"/>
        <bgColor auto="1"/>
      </patternFill>
    </fill>
  </fills>
  <borders count="47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diagonal/>
    </border>
    <border>
      <left style="thin">
        <color rgb="FF339966"/>
      </left>
      <right/>
      <top/>
      <bottom style="thin">
        <color rgb="FF339966"/>
      </bottom>
      <diagonal/>
    </border>
    <border>
      <left style="thin">
        <color rgb="FF339966"/>
      </left>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style="thin">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hair">
        <color indexed="64"/>
      </left>
      <right style="hair">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style="thin">
        <color indexed="64"/>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dotted">
        <color indexed="64"/>
      </right>
      <top style="medium">
        <color indexed="64"/>
      </top>
      <bottom/>
      <diagonal/>
    </border>
    <border>
      <left/>
      <right style="medium">
        <color indexed="64"/>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dotted">
        <color indexed="64"/>
      </left>
      <right/>
      <top/>
      <bottom style="thin">
        <color indexed="64"/>
      </bottom>
      <diagonal/>
    </border>
    <border>
      <left style="dotted">
        <color theme="1" tint="0.499984740745262"/>
      </left>
      <right/>
      <top/>
      <bottom style="thin">
        <color indexed="64"/>
      </bottom>
      <diagonal/>
    </border>
    <border>
      <left style="dotted">
        <color indexed="64"/>
      </left>
      <right/>
      <top style="double">
        <color indexed="64"/>
      </top>
      <bottom/>
      <diagonal/>
    </border>
    <border>
      <left style="dotted">
        <color theme="1" tint="0.499984740745262"/>
      </left>
      <right/>
      <top style="double">
        <color indexed="64"/>
      </top>
      <bottom/>
      <diagonal/>
    </border>
    <border>
      <left style="dotted">
        <color indexed="64"/>
      </left>
      <right/>
      <top style="thin">
        <color indexed="64"/>
      </top>
      <bottom/>
      <diagonal/>
    </border>
    <border>
      <left style="dotted">
        <color theme="1" tint="0.499984740745262"/>
      </left>
      <right/>
      <top style="thin">
        <color indexed="64"/>
      </top>
      <bottom/>
      <diagonal/>
    </border>
    <border>
      <left style="dotted">
        <color indexed="64"/>
      </left>
      <right/>
      <top style="thin">
        <color indexed="64"/>
      </top>
      <bottom style="thin">
        <color indexed="64"/>
      </bottom>
      <diagonal/>
    </border>
    <border>
      <left style="dotted">
        <color theme="1" tint="0.499984740745262"/>
      </left>
      <right/>
      <top style="thin">
        <color indexed="64"/>
      </top>
      <bottom style="thin">
        <color indexed="64"/>
      </bottom>
      <diagonal/>
    </border>
    <border>
      <left style="dotted">
        <color indexed="64"/>
      </left>
      <right/>
      <top/>
      <bottom/>
      <diagonal/>
    </border>
    <border>
      <left style="dotted">
        <color theme="1" tint="0.499984740745262"/>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otted">
        <color theme="1" tint="0.499984740745262"/>
      </right>
      <top/>
      <bottom/>
      <diagonal/>
    </border>
    <border>
      <left/>
      <right style="dotted">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tted">
        <color theme="1" tint="0.499984740745262"/>
      </right>
      <top/>
      <bottom style="thin">
        <color indexed="64"/>
      </bottom>
      <diagonal/>
    </border>
    <border>
      <left/>
      <right style="dotted">
        <color indexed="64"/>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bottom style="double">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top/>
      <bottom style="double">
        <color indexed="64"/>
      </bottom>
      <diagonal/>
    </border>
    <border diagonalUp="1">
      <left/>
      <right/>
      <top/>
      <bottom/>
      <diagonal style="thin">
        <color indexed="64"/>
      </diagonal>
    </border>
    <border diagonalUp="1">
      <left/>
      <right style="double">
        <color indexed="64"/>
      </right>
      <top/>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left/>
      <right style="thick">
        <color rgb="FFFF0000"/>
      </right>
      <top/>
      <bottom/>
      <diagonal/>
    </border>
    <border>
      <left/>
      <right style="hair">
        <color indexed="64"/>
      </right>
      <top/>
      <bottom/>
      <diagonal/>
    </border>
    <border>
      <left style="medium">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rgb="FFFF0066"/>
      </left>
      <right style="thin">
        <color rgb="FFFF0066"/>
      </right>
      <top style="thin">
        <color rgb="FFFF0066"/>
      </top>
      <bottom style="thin">
        <color rgb="FFFF0066"/>
      </bottom>
      <diagonal/>
    </border>
    <border>
      <left style="thin">
        <color rgb="FFFF0066"/>
      </left>
      <right/>
      <top style="thin">
        <color rgb="FFFF0066"/>
      </top>
      <bottom style="thin">
        <color rgb="FFFF0066"/>
      </bottom>
      <diagonal/>
    </border>
    <border>
      <left/>
      <right style="thin">
        <color rgb="FFFF0066"/>
      </right>
      <top style="thin">
        <color rgb="FFFF0066"/>
      </top>
      <bottom style="thin">
        <color rgb="FFFF0066"/>
      </bottom>
      <diagonal/>
    </border>
    <border>
      <left/>
      <right/>
      <top/>
      <bottom style="thick">
        <color rgb="FFFF0000"/>
      </bottom>
      <diagonal/>
    </border>
    <border>
      <left/>
      <right/>
      <top style="thick">
        <color rgb="FFFF0066"/>
      </top>
      <bottom style="thin">
        <color rgb="FFFF0066"/>
      </bottom>
      <diagonal/>
    </border>
    <border>
      <left/>
      <right style="thick">
        <color rgb="FFFF0066"/>
      </right>
      <top style="thick">
        <color rgb="FFFF0066"/>
      </top>
      <bottom style="thin">
        <color rgb="FFFF0066"/>
      </bottom>
      <diagonal/>
    </border>
    <border>
      <left style="thin">
        <color rgb="FFFF0066"/>
      </left>
      <right style="thin">
        <color rgb="FFFF0066"/>
      </right>
      <top style="thin">
        <color rgb="FFFF0066"/>
      </top>
      <bottom style="thick">
        <color rgb="FFFF0066"/>
      </bottom>
      <diagonal/>
    </border>
    <border>
      <left style="thin">
        <color rgb="FFFF0066"/>
      </left>
      <right style="thick">
        <color rgb="FFFF0066"/>
      </right>
      <top style="thin">
        <color rgb="FFFF0066"/>
      </top>
      <bottom style="thick">
        <color rgb="FFFF0066"/>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slantDashDot">
        <color indexed="64"/>
      </left>
      <right/>
      <top/>
      <bottom/>
      <diagonal/>
    </border>
    <border>
      <left/>
      <right/>
      <top style="thick">
        <color indexed="64"/>
      </top>
      <bottom/>
      <diagonal/>
    </border>
    <border>
      <left style="thin">
        <color indexed="64"/>
      </left>
      <right style="hair">
        <color indexed="64"/>
      </right>
      <top style="thin">
        <color indexed="64"/>
      </top>
      <bottom style="thin">
        <color indexed="64"/>
      </bottom>
      <diagonal/>
    </border>
    <border>
      <left/>
      <right/>
      <top/>
      <bottom style="thick">
        <color indexed="64"/>
      </bottom>
      <diagonal/>
    </border>
    <border>
      <left/>
      <right/>
      <top/>
      <bottom style="double">
        <color indexed="64"/>
      </bottom>
      <diagonal/>
    </border>
    <border>
      <left style="medium">
        <color indexed="64"/>
      </left>
      <right/>
      <top/>
      <bottom style="double">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dotted">
        <color indexed="64"/>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dotted">
        <color indexed="64"/>
      </right>
      <top style="hair">
        <color indexed="64"/>
      </top>
      <bottom style="hair">
        <color indexed="64"/>
      </bottom>
      <diagonal/>
    </border>
    <border>
      <left/>
      <right style="hair">
        <color indexed="64"/>
      </right>
      <top/>
      <bottom style="hair">
        <color indexed="64"/>
      </bottom>
      <diagonal/>
    </border>
    <border>
      <left style="thin">
        <color indexed="64"/>
      </left>
      <right style="dotted">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medium">
        <color indexed="64"/>
      </left>
      <right/>
      <top/>
      <bottom style="hair">
        <color indexed="64"/>
      </bottom>
      <diagonal/>
    </border>
    <border>
      <left/>
      <right style="hair">
        <color indexed="64"/>
      </right>
      <top/>
      <bottom style="double">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medium">
        <color indexed="64"/>
      </left>
      <right style="thin">
        <color indexed="64"/>
      </right>
      <top style="double">
        <color indexed="64"/>
      </top>
      <bottom/>
      <diagonal/>
    </border>
    <border>
      <left/>
      <right style="hair">
        <color indexed="64"/>
      </right>
      <top style="thin">
        <color indexed="64"/>
      </top>
      <bottom style="double">
        <color indexed="64"/>
      </bottom>
      <diagonal/>
    </border>
    <border>
      <left style="hair">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right style="dashed">
        <color auto="1"/>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auto="1"/>
      </right>
      <top/>
      <bottom/>
      <diagonal/>
    </border>
    <border>
      <left/>
      <right style="slantDashDot">
        <color auto="1"/>
      </right>
      <top/>
      <bottom style="slantDashDot">
        <color auto="1"/>
      </bottom>
      <diagonal/>
    </border>
    <border>
      <left/>
      <right/>
      <top/>
      <bottom style="slantDashDot">
        <color auto="1"/>
      </bottom>
      <diagonal/>
    </border>
    <border>
      <left style="slantDashDot">
        <color auto="1"/>
      </left>
      <right/>
      <top/>
      <bottom style="slantDashDot">
        <color auto="1"/>
      </bottom>
      <diagonal/>
    </border>
    <border>
      <left style="dashed">
        <color auto="1"/>
      </left>
      <right/>
      <top/>
      <bottom/>
      <diagonal/>
    </border>
    <border>
      <left/>
      <right style="slantDashDot">
        <color auto="1"/>
      </right>
      <top/>
      <bottom/>
      <diagonal/>
    </border>
    <border>
      <left/>
      <right style="slantDashDot">
        <color auto="1"/>
      </right>
      <top style="slantDashDot">
        <color auto="1"/>
      </top>
      <bottom/>
      <diagonal/>
    </border>
    <border>
      <left/>
      <right/>
      <top style="slantDashDot">
        <color auto="1"/>
      </top>
      <bottom/>
      <diagonal/>
    </border>
    <border>
      <left style="slantDashDot">
        <color auto="1"/>
      </left>
      <right/>
      <top style="slantDashDot">
        <color auto="1"/>
      </top>
      <bottom/>
      <diagonal/>
    </border>
    <border>
      <left/>
      <right style="dashed">
        <color auto="1"/>
      </right>
      <top style="dashed">
        <color auto="1"/>
      </top>
      <bottom/>
      <diagonal/>
    </border>
    <border>
      <left/>
      <right/>
      <top style="dashed">
        <color auto="1"/>
      </top>
      <bottom/>
      <diagonal/>
    </border>
    <border>
      <left style="dashed">
        <color auto="1"/>
      </left>
      <right/>
      <top style="dashed">
        <color auto="1"/>
      </top>
      <bottom/>
      <diagonal/>
    </border>
    <border>
      <left style="slantDashDot">
        <color auto="1"/>
      </left>
      <right style="dashed">
        <color indexed="64"/>
      </right>
      <top/>
      <bottom/>
      <diagonal/>
    </border>
    <border>
      <left style="thin">
        <color rgb="FFFF0066"/>
      </left>
      <right/>
      <top style="thin">
        <color rgb="FFFF0066"/>
      </top>
      <bottom style="thick">
        <color rgb="FFFF0066"/>
      </bottom>
      <diagonal/>
    </border>
    <border>
      <left/>
      <right style="thin">
        <color rgb="FFFF0066"/>
      </right>
      <top style="thin">
        <color rgb="FFFF0066"/>
      </top>
      <bottom style="thick">
        <color rgb="FFFF0066"/>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style="medium">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medium">
        <color indexed="64"/>
      </top>
      <bottom/>
      <diagonal/>
    </border>
    <border>
      <left style="medium">
        <color indexed="64"/>
      </left>
      <right/>
      <top style="dotted">
        <color indexed="64"/>
      </top>
      <bottom style="medium">
        <color indexed="64"/>
      </bottom>
      <diagonal/>
    </border>
    <border>
      <left style="medium">
        <color indexed="64"/>
      </left>
      <right/>
      <top/>
      <bottom style="dotted">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thin">
        <color indexed="64"/>
      </left>
      <right style="medium">
        <color indexed="64"/>
      </right>
      <top style="medium">
        <color indexed="64"/>
      </top>
      <bottom/>
      <diagonal/>
    </border>
    <border>
      <left style="double">
        <color indexed="64"/>
      </left>
      <right/>
      <top style="medium">
        <color indexed="64"/>
      </top>
      <bottom/>
      <diagonal/>
    </border>
    <border>
      <left style="double">
        <color indexed="64"/>
      </left>
      <right style="thin">
        <color indexed="64"/>
      </right>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uble">
        <color indexed="64"/>
      </left>
      <right style="thin">
        <color indexed="64"/>
      </right>
      <top/>
      <bottom style="thin">
        <color indexed="64"/>
      </bottom>
      <diagonal/>
    </border>
    <border>
      <left/>
      <right style="dotted">
        <color indexed="64"/>
      </right>
      <top/>
      <bottom style="dotted">
        <color indexed="64"/>
      </bottom>
      <diagonal/>
    </border>
    <border>
      <left style="double">
        <color indexed="64"/>
      </left>
      <right style="thin">
        <color indexed="64"/>
      </right>
      <top style="thin">
        <color indexed="64"/>
      </top>
      <bottom/>
      <diagonal/>
    </border>
    <border>
      <left style="medium">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double">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hair">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uble">
        <color indexed="64"/>
      </top>
      <bottom style="dotted">
        <color indexed="64"/>
      </bottom>
      <diagonal/>
    </border>
    <border>
      <left style="dotted">
        <color indexed="64"/>
      </left>
      <right style="thin">
        <color indexed="64"/>
      </right>
      <top style="double">
        <color indexed="64"/>
      </top>
      <bottom style="dotted">
        <color indexed="64"/>
      </bottom>
      <diagonal/>
    </border>
    <border>
      <left style="medium">
        <color indexed="64"/>
      </left>
      <right style="dotted">
        <color indexed="64"/>
      </right>
      <top style="double">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double">
        <color indexed="64"/>
      </bottom>
      <diagonal/>
    </border>
    <border>
      <left style="medium">
        <color indexed="64"/>
      </left>
      <right style="dotted">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right style="dotted">
        <color indexed="64"/>
      </right>
      <top style="medium">
        <color indexed="64"/>
      </top>
      <bottom/>
      <diagonal/>
    </border>
    <border>
      <left/>
      <right style="medium">
        <color indexed="64"/>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right/>
      <top style="medium">
        <color theme="0"/>
      </top>
      <bottom/>
      <diagonal/>
    </border>
    <border>
      <left/>
      <right/>
      <top/>
      <bottom style="medium">
        <color theme="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style="hair">
        <color indexed="64"/>
      </left>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thin">
        <color indexed="64"/>
      </left>
      <right style="dashed">
        <color indexed="64"/>
      </right>
      <top style="medium">
        <color indexed="64"/>
      </top>
      <bottom/>
      <diagonal/>
    </border>
    <border>
      <left style="thin">
        <color indexed="64"/>
      </left>
      <right style="dashed">
        <color indexed="64"/>
      </right>
      <top/>
      <bottom style="thin">
        <color indexed="64"/>
      </bottom>
      <diagonal/>
    </border>
    <border>
      <left/>
      <right style="thick">
        <color rgb="FFFF0000"/>
      </right>
      <top style="medium">
        <color indexed="64"/>
      </top>
      <bottom/>
      <diagonal/>
    </border>
    <border>
      <left/>
      <right style="thick">
        <color rgb="FFFF0000"/>
      </right>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medium">
        <color rgb="FFC00000"/>
      </top>
      <bottom/>
      <diagonal/>
    </border>
    <border>
      <left style="medium">
        <color rgb="FFC00000"/>
      </left>
      <right/>
      <top style="medium">
        <color rgb="FFC00000"/>
      </top>
      <bottom style="thin">
        <color rgb="FFC00000"/>
      </bottom>
      <diagonal/>
    </border>
    <border>
      <left/>
      <right style="medium">
        <color rgb="FFC00000"/>
      </right>
      <top style="medium">
        <color rgb="FFC00000"/>
      </top>
      <bottom style="thin">
        <color rgb="FFC00000"/>
      </bottom>
      <diagonal/>
    </border>
    <border>
      <left/>
      <right style="thin">
        <color rgb="FFC00000"/>
      </right>
      <top style="medium">
        <color rgb="FFC00000"/>
      </top>
      <bottom/>
      <diagonal/>
    </border>
    <border>
      <left/>
      <right style="thin">
        <color rgb="FFC00000"/>
      </right>
      <top/>
      <bottom style="medium">
        <color rgb="FFC00000"/>
      </bottom>
      <diagonal/>
    </border>
    <border>
      <left/>
      <right style="medium">
        <color rgb="FFC00000"/>
      </right>
      <top style="medium">
        <color rgb="FFC00000"/>
      </top>
      <bottom style="medium">
        <color rgb="FFC00000"/>
      </bottom>
      <diagonal/>
    </border>
    <border>
      <left/>
      <right/>
      <top style="medium">
        <color rgb="FFC00000"/>
      </top>
      <bottom style="medium">
        <color rgb="FFC00000"/>
      </bottom>
      <diagonal/>
    </border>
    <border>
      <left style="medium">
        <color rgb="FFC00000"/>
      </left>
      <right/>
      <top style="medium">
        <color rgb="FFC00000"/>
      </top>
      <bottom style="medium">
        <color rgb="FFC00000"/>
      </bottom>
      <diagonal/>
    </border>
    <border>
      <left/>
      <right style="thin">
        <color rgb="FFC00000"/>
      </right>
      <top style="medium">
        <color rgb="FFC00000"/>
      </top>
      <bottom style="medium">
        <color rgb="FFC00000"/>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tted">
        <color indexed="64"/>
      </right>
      <top/>
      <bottom/>
      <diagonal/>
    </border>
    <border diagonalUp="1">
      <left style="thin">
        <color indexed="64"/>
      </left>
      <right style="dotted">
        <color indexed="64"/>
      </right>
      <top style="thin">
        <color indexed="64"/>
      </top>
      <bottom/>
      <diagonal style="thin">
        <color indexed="64"/>
      </diagonal>
    </border>
    <border diagonalUp="1">
      <left style="thin">
        <color indexed="64"/>
      </left>
      <right style="dotted">
        <color indexed="64"/>
      </right>
      <top/>
      <bottom/>
      <diagonal style="thin">
        <color indexed="64"/>
      </diagonal>
    </border>
    <border diagonalUp="1">
      <left style="thin">
        <color indexed="64"/>
      </left>
      <right style="dotted">
        <color indexed="64"/>
      </right>
      <top/>
      <bottom style="thin">
        <color indexed="64"/>
      </bottom>
      <diagonal style="thin">
        <color indexed="64"/>
      </diagonal>
    </border>
    <border>
      <left style="thin">
        <color rgb="FFC00000"/>
      </left>
      <right/>
      <top style="medium">
        <color rgb="FFC00000"/>
      </top>
      <bottom/>
      <diagonal/>
    </border>
    <border>
      <left style="thin">
        <color rgb="FFC00000"/>
      </left>
      <right/>
      <top/>
      <bottom style="medium">
        <color rgb="FFC00000"/>
      </bottom>
      <diagonal/>
    </border>
    <border>
      <left style="medium">
        <color rgb="FFC00000"/>
      </left>
      <right/>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thin">
        <color indexed="64"/>
      </bottom>
      <diagonal/>
    </border>
    <border>
      <left style="dotted">
        <color indexed="64"/>
      </left>
      <right/>
      <top/>
      <bottom style="hair">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hair">
        <color indexed="64"/>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medium">
        <color indexed="64"/>
      </left>
      <right style="dotted">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medium">
        <color rgb="FF002060"/>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style="thin">
        <color rgb="FFFF0066"/>
      </left>
      <right style="medium">
        <color rgb="FFFF0066"/>
      </right>
      <top style="thin">
        <color rgb="FFFF0066"/>
      </top>
      <bottom style="thin">
        <color rgb="FFFF0066"/>
      </bottom>
      <diagonal/>
    </border>
    <border>
      <left style="thin">
        <color rgb="FFFF0066"/>
      </left>
      <right style="medium">
        <color rgb="FFFF0066"/>
      </right>
      <top style="thin">
        <color rgb="FFFF0066"/>
      </top>
      <bottom style="thick">
        <color rgb="FFFF0066"/>
      </bottom>
      <diagonal/>
    </border>
    <border>
      <left/>
      <right style="medium">
        <color rgb="FFFF0066"/>
      </right>
      <top style="thick">
        <color rgb="FFFF0066"/>
      </top>
      <bottom style="thin">
        <color rgb="FFFF0066"/>
      </bottom>
      <diagonal/>
    </border>
    <border>
      <left style="thick">
        <color rgb="FFFF0066"/>
      </left>
      <right style="medium">
        <color rgb="FFFF0066"/>
      </right>
      <top style="thin">
        <color rgb="FFFF0066"/>
      </top>
      <bottom style="thick">
        <color rgb="FFFF0066"/>
      </bottom>
      <diagonal/>
    </border>
    <border>
      <left style="thick">
        <color rgb="FFFF0066"/>
      </left>
      <right style="medium">
        <color rgb="FFFF0066"/>
      </right>
      <top style="thick">
        <color rgb="FFFF0066"/>
      </top>
      <bottom/>
      <diagonal/>
    </border>
    <border>
      <left style="thick">
        <color rgb="FFFF0066"/>
      </left>
      <right style="medium">
        <color rgb="FFFF0066"/>
      </right>
      <top/>
      <bottom style="thin">
        <color rgb="FFFF0066"/>
      </bottom>
      <diagonal/>
    </border>
    <border>
      <left/>
      <right style="thick">
        <color rgb="FFFF0066"/>
      </right>
      <top/>
      <bottom/>
      <diagonal/>
    </border>
    <border>
      <left style="thin">
        <color rgb="FFFF0066"/>
      </left>
      <right style="thick">
        <color rgb="FFFF0066"/>
      </right>
      <top style="thin">
        <color rgb="FFFF0066"/>
      </top>
      <bottom style="thin">
        <color rgb="FFFF0066"/>
      </bottom>
      <diagonal/>
    </border>
    <border>
      <left/>
      <right/>
      <top style="thick">
        <color rgb="FFFF0066"/>
      </top>
      <bottom/>
      <diagonal/>
    </border>
    <border>
      <left/>
      <right/>
      <top style="thin">
        <color rgb="FFFF0066"/>
      </top>
      <bottom style="thin">
        <color rgb="FFFF0066"/>
      </bottom>
      <diagonal/>
    </border>
    <border>
      <left/>
      <right style="medium">
        <color rgb="FFFF0066"/>
      </right>
      <top style="thin">
        <color rgb="FFFF0066"/>
      </top>
      <bottom style="thin">
        <color rgb="FFFF0066"/>
      </bottom>
      <diagonal/>
    </border>
    <border>
      <left/>
      <right style="medium">
        <color rgb="FFFF0066"/>
      </right>
      <top style="thin">
        <color rgb="FFFF0066"/>
      </top>
      <bottom style="thick">
        <color rgb="FFFF0066"/>
      </bottom>
      <diagonal/>
    </border>
    <border>
      <left style="medium">
        <color rgb="FFFF0066"/>
      </left>
      <right/>
      <top style="medium">
        <color rgb="FFFF0066"/>
      </top>
      <bottom style="medium">
        <color rgb="FFFF0066"/>
      </bottom>
      <diagonal/>
    </border>
    <border>
      <left/>
      <right style="medium">
        <color rgb="FFFF0066"/>
      </right>
      <top style="medium">
        <color rgb="FFFF0066"/>
      </top>
      <bottom style="medium">
        <color rgb="FFFF0066"/>
      </bottom>
      <diagonal/>
    </border>
    <border>
      <left/>
      <right/>
      <top style="medium">
        <color rgb="FFFF0066"/>
      </top>
      <bottom style="medium">
        <color rgb="FFFF0066"/>
      </bottom>
      <diagonal/>
    </border>
    <border>
      <left style="medium">
        <color rgb="FFFF0066"/>
      </left>
      <right/>
      <top style="thick">
        <color rgb="FFFF0066"/>
      </top>
      <bottom style="thin">
        <color rgb="FFFF0066"/>
      </bottom>
      <diagonal/>
    </border>
    <border>
      <left/>
      <right style="thin">
        <color rgb="FFFF0066"/>
      </right>
      <top style="thick">
        <color rgb="FFFF0066"/>
      </top>
      <bottom style="thin">
        <color rgb="FFFF0066"/>
      </bottom>
      <diagonal/>
    </border>
    <border>
      <left style="dotted">
        <color indexed="64"/>
      </left>
      <right style="medium">
        <color indexed="64"/>
      </right>
      <top style="thin">
        <color indexed="64"/>
      </top>
      <bottom style="dotted">
        <color indexed="64"/>
      </bottom>
      <diagonal/>
    </border>
    <border>
      <left style="medium">
        <color rgb="FFFF0066"/>
      </left>
      <right/>
      <top style="thin">
        <color rgb="FFFF0066"/>
      </top>
      <bottom style="thick">
        <color rgb="FFFF0066"/>
      </bottom>
      <diagonal/>
    </border>
    <border>
      <left style="medium">
        <color rgb="FFFF0066"/>
      </left>
      <right/>
      <top style="thin">
        <color rgb="FFFF0066"/>
      </top>
      <bottom style="thin">
        <color rgb="FFFF0066"/>
      </bottom>
      <diagonal/>
    </border>
    <border>
      <left style="thin">
        <color rgb="FFFF0066"/>
      </left>
      <right/>
      <top style="thick">
        <color rgb="FFFF0066"/>
      </top>
      <bottom style="thin">
        <color rgb="FFFF0066"/>
      </bottom>
      <diagonal/>
    </border>
    <border>
      <left style="thin">
        <color rgb="FFFF0066"/>
      </left>
      <right/>
      <top/>
      <bottom style="thin">
        <color rgb="FFFF0066"/>
      </bottom>
      <diagonal/>
    </border>
    <border>
      <left/>
      <right/>
      <top/>
      <bottom style="thin">
        <color rgb="FFFF0066"/>
      </bottom>
      <diagonal/>
    </border>
    <border>
      <left/>
      <right style="thin">
        <color rgb="FF002060"/>
      </right>
      <top style="medium">
        <color rgb="FF002060"/>
      </top>
      <bottom style="medium">
        <color rgb="FF002060"/>
      </bottom>
      <diagonal/>
    </border>
    <border>
      <left style="medium">
        <color rgb="FF002060"/>
      </left>
      <right/>
      <top style="medium">
        <color rgb="FF002060"/>
      </top>
      <bottom style="thin">
        <color rgb="FF002060"/>
      </bottom>
      <diagonal/>
    </border>
    <border>
      <left/>
      <right/>
      <top style="medium">
        <color rgb="FF002060"/>
      </top>
      <bottom style="thin">
        <color rgb="FF002060"/>
      </bottom>
      <diagonal/>
    </border>
    <border>
      <left/>
      <right style="medium">
        <color rgb="FF002060"/>
      </right>
      <top style="medium">
        <color rgb="FF002060"/>
      </top>
      <bottom style="thin">
        <color rgb="FF002060"/>
      </bottom>
      <diagonal/>
    </border>
    <border>
      <left/>
      <right style="thin">
        <color rgb="FFFF0066"/>
      </right>
      <top/>
      <bottom style="thin">
        <color rgb="FFFF0066"/>
      </bottom>
      <diagonal/>
    </border>
    <border>
      <left style="thin">
        <color rgb="FFFF0066"/>
      </left>
      <right style="medium">
        <color rgb="FFFF0066"/>
      </right>
      <top/>
      <bottom style="thin">
        <color rgb="FFFF0066"/>
      </bottom>
      <diagonal/>
    </border>
    <border>
      <left style="medium">
        <color rgb="FFFF0066"/>
      </left>
      <right/>
      <top/>
      <bottom style="thin">
        <color rgb="FFFF0066"/>
      </bottom>
      <diagonal/>
    </border>
    <border>
      <left/>
      <right style="medium">
        <color rgb="FFFF0066"/>
      </right>
      <top/>
      <bottom style="thin">
        <color rgb="FFFF0066"/>
      </bottom>
      <diagonal/>
    </border>
    <border>
      <left style="thin">
        <color rgb="FFFF0066"/>
      </left>
      <right style="thick">
        <color rgb="FFFF0066"/>
      </right>
      <top/>
      <bottom style="thin">
        <color rgb="FFFF0066"/>
      </bottom>
      <diagonal/>
    </border>
    <border>
      <left/>
      <right style="thin">
        <color rgb="FFFF0066"/>
      </right>
      <top/>
      <bottom style="thick">
        <color rgb="FFFF0066"/>
      </bottom>
      <diagonal/>
    </border>
    <border>
      <left style="thin">
        <color rgb="FFFF0066"/>
      </left>
      <right style="medium">
        <color rgb="FFFF0066"/>
      </right>
      <top/>
      <bottom style="thick">
        <color rgb="FFFF0066"/>
      </bottom>
      <diagonal/>
    </border>
    <border>
      <left style="thin">
        <color rgb="FFFF0066"/>
      </left>
      <right style="thin">
        <color rgb="FFFF0066"/>
      </right>
      <top/>
      <bottom style="thick">
        <color rgb="FFFF0066"/>
      </bottom>
      <diagonal/>
    </border>
    <border>
      <left style="thin">
        <color rgb="FFFF0066"/>
      </left>
      <right style="thick">
        <color rgb="FFFF0066"/>
      </right>
      <top/>
      <bottom style="thick">
        <color rgb="FFFF0066"/>
      </bottom>
      <diagonal/>
    </border>
    <border>
      <left/>
      <right style="medium">
        <color rgb="FFFF0066"/>
      </right>
      <top/>
      <bottom style="thick">
        <color rgb="FFFF0066"/>
      </bottom>
      <diagonal/>
    </border>
    <border>
      <left/>
      <right/>
      <top style="medium">
        <color rgb="FF002060"/>
      </top>
      <bottom style="double">
        <color rgb="FF00B050"/>
      </bottom>
      <diagonal/>
    </border>
    <border>
      <left style="thick">
        <color rgb="FFFF0066"/>
      </left>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top style="slantDashDot">
        <color auto="1"/>
      </top>
      <bottom style="slantDashDot">
        <color indexed="64"/>
      </bottom>
      <diagonal/>
    </border>
    <border>
      <left style="thin">
        <color indexed="64"/>
      </left>
      <right style="double">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22">
    <xf numFmtId="0" fontId="0" fillId="0" borderId="0">
      <alignment vertical="center"/>
    </xf>
    <xf numFmtId="0" fontId="7" fillId="0" borderId="0">
      <alignment vertical="center"/>
    </xf>
    <xf numFmtId="0" fontId="74" fillId="0" borderId="0"/>
    <xf numFmtId="0" fontId="75" fillId="6" borderId="0" applyNumberFormat="0" applyProtection="0">
      <alignment horizontal="left" wrapText="1" indent="4"/>
    </xf>
    <xf numFmtId="0" fontId="76" fillId="6" borderId="0" applyNumberFormat="0" applyProtection="0">
      <alignment horizontal="left" wrapText="1" indent="4"/>
    </xf>
    <xf numFmtId="0" fontId="77" fillId="6" borderId="0" applyNumberFormat="0" applyBorder="0" applyProtection="0">
      <alignment horizontal="left" indent="1"/>
    </xf>
    <xf numFmtId="0" fontId="76" fillId="0" borderId="0" applyFill="0" applyBorder="0">
      <alignment wrapText="1"/>
    </xf>
    <xf numFmtId="0" fontId="78" fillId="0" borderId="0"/>
    <xf numFmtId="0" fontId="74" fillId="7" borderId="63"/>
    <xf numFmtId="0" fontId="74" fillId="8" borderId="60"/>
    <xf numFmtId="0" fontId="74" fillId="7" borderId="0"/>
    <xf numFmtId="0" fontId="78" fillId="9" borderId="0" applyNumberFormat="0" applyBorder="0" applyProtection="0"/>
    <xf numFmtId="0" fontId="79" fillId="0" borderId="0" applyNumberFormat="0" applyFill="0" applyBorder="0" applyAlignment="0" applyProtection="0"/>
    <xf numFmtId="0" fontId="74" fillId="0" borderId="1" applyNumberFormat="0" applyFont="0" applyFill="0" applyAlignment="0"/>
    <xf numFmtId="0" fontId="74" fillId="0" borderId="64" applyNumberFormat="0" applyFont="0" applyFill="0" applyAlignment="0"/>
    <xf numFmtId="0" fontId="74" fillId="0" borderId="65" applyNumberFormat="0" applyFont="0" applyFill="0"/>
    <xf numFmtId="0" fontId="74" fillId="0" borderId="66" applyNumberFormat="0" applyFont="0" applyFill="0" applyAlignment="0"/>
    <xf numFmtId="179" fontId="74" fillId="0" borderId="0" applyFont="0" applyFill="0" applyBorder="0" applyAlignment="0"/>
    <xf numFmtId="178" fontId="74" fillId="10" borderId="0" applyFont="0" applyBorder="0" applyAlignment="0"/>
    <xf numFmtId="180" fontId="74" fillId="0" borderId="0" applyFont="0" applyFill="0" applyBorder="0" applyAlignment="0" applyProtection="0"/>
    <xf numFmtId="42" fontId="74" fillId="0" borderId="0" applyFont="0" applyFill="0" applyBorder="0" applyAlignment="0" applyProtection="0"/>
    <xf numFmtId="0" fontId="80" fillId="0" borderId="0">
      <alignment vertical="center"/>
    </xf>
  </cellStyleXfs>
  <cellXfs count="3297">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lignment vertic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2" fillId="0" borderId="0" xfId="0" applyFont="1">
      <alignment vertical="center"/>
    </xf>
    <xf numFmtId="0" fontId="13" fillId="0" borderId="0" xfId="0" applyFont="1">
      <alignment vertical="center"/>
    </xf>
    <xf numFmtId="0" fontId="0" fillId="0" borderId="0" xfId="0">
      <alignment vertical="center"/>
    </xf>
    <xf numFmtId="0" fontId="0" fillId="0" borderId="0" xfId="0" applyAlignment="1">
      <alignment vertical="center"/>
    </xf>
    <xf numFmtId="0" fontId="0" fillId="0" borderId="0" xfId="0">
      <alignment vertical="center"/>
    </xf>
    <xf numFmtId="0" fontId="19" fillId="0" borderId="0" xfId="0" applyFont="1" applyAlignment="1">
      <alignment wrapText="1"/>
    </xf>
    <xf numFmtId="0" fontId="22" fillId="0" borderId="0" xfId="0" applyFont="1">
      <alignment vertical="center"/>
    </xf>
    <xf numFmtId="0" fontId="19" fillId="0" borderId="0" xfId="0" applyFont="1" applyAlignment="1">
      <alignment horizontal="left" vertical="center" wrapText="1"/>
    </xf>
    <xf numFmtId="0" fontId="22" fillId="0" borderId="0" xfId="0" applyFont="1" applyBorder="1">
      <alignment vertical="center"/>
    </xf>
    <xf numFmtId="0" fontId="18" fillId="0" borderId="28" xfId="0" applyFont="1" applyBorder="1" applyAlignment="1">
      <alignment horizontal="center"/>
    </xf>
    <xf numFmtId="0" fontId="19" fillId="0" borderId="0" xfId="0" applyFont="1" applyBorder="1" applyAlignment="1">
      <alignment horizontal="left" vertical="center" wrapText="1"/>
    </xf>
    <xf numFmtId="0" fontId="19" fillId="0" borderId="0" xfId="0" applyFont="1" applyBorder="1" applyAlignment="1">
      <alignment horizontal="right" wrapText="1"/>
    </xf>
    <xf numFmtId="0" fontId="20" fillId="0" borderId="0" xfId="0" applyFont="1" applyBorder="1" applyAlignment="1">
      <alignment vertical="center" wrapText="1"/>
    </xf>
    <xf numFmtId="0" fontId="10" fillId="0" borderId="22" xfId="0" applyFont="1" applyFill="1" applyBorder="1" applyAlignment="1">
      <alignment horizontal="center" vertical="center" wrapText="1"/>
    </xf>
    <xf numFmtId="0" fontId="0" fillId="0" borderId="0" xfId="0">
      <alignment vertical="center"/>
    </xf>
    <xf numFmtId="0" fontId="0" fillId="0" borderId="0" xfId="0" applyAlignment="1">
      <alignment vertical="center"/>
    </xf>
    <xf numFmtId="0" fontId="18" fillId="0" borderId="0" xfId="0" applyFont="1" applyBorder="1" applyAlignment="1">
      <alignment vertical="top" wrapText="1"/>
    </xf>
    <xf numFmtId="0" fontId="0" fillId="0" borderId="19" xfId="0" applyBorder="1">
      <alignment vertical="center"/>
    </xf>
    <xf numFmtId="0" fontId="11" fillId="0" borderId="0" xfId="0" applyFont="1" applyFill="1" applyBorder="1" applyAlignment="1">
      <alignment horizontal="center" vertical="center"/>
    </xf>
    <xf numFmtId="0" fontId="33" fillId="0" borderId="0" xfId="0" applyFont="1" applyBorder="1" applyAlignment="1">
      <alignment vertical="center" wrapText="1"/>
    </xf>
    <xf numFmtId="176" fontId="30" fillId="0" borderId="34" xfId="0" applyNumberFormat="1" applyFont="1" applyBorder="1" applyAlignment="1">
      <alignment horizontal="center" vertical="center" wrapText="1"/>
    </xf>
    <xf numFmtId="176" fontId="18" fillId="0" borderId="34" xfId="0" applyNumberFormat="1" applyFont="1" applyBorder="1" applyAlignment="1">
      <alignment horizontal="center" vertical="center" wrapText="1"/>
    </xf>
    <xf numFmtId="176" fontId="18" fillId="0" borderId="34" xfId="0" applyNumberFormat="1" applyFont="1" applyBorder="1" applyAlignment="1">
      <alignment horizontal="right" vertical="center" wrapText="1"/>
    </xf>
    <xf numFmtId="0" fontId="10" fillId="0" borderId="22" xfId="0" applyFont="1" applyFill="1" applyBorder="1" applyAlignment="1">
      <alignment horizontal="center" vertical="center"/>
    </xf>
    <xf numFmtId="0" fontId="0" fillId="0" borderId="22" xfId="0" applyBorder="1">
      <alignment vertical="center"/>
    </xf>
    <xf numFmtId="0" fontId="24" fillId="0" borderId="0" xfId="0" applyFont="1" applyBorder="1" applyAlignment="1">
      <alignment vertical="center"/>
    </xf>
    <xf numFmtId="176" fontId="0" fillId="0" borderId="0" xfId="0" applyNumberFormat="1">
      <alignment vertical="center"/>
    </xf>
    <xf numFmtId="176" fontId="26" fillId="0" borderId="0" xfId="0" applyNumberFormat="1" applyFont="1" applyAlignment="1">
      <alignment vertical="center"/>
    </xf>
    <xf numFmtId="176" fontId="22" fillId="0" borderId="0" xfId="0" applyNumberFormat="1" applyFont="1">
      <alignment vertical="center"/>
    </xf>
    <xf numFmtId="176" fontId="41" fillId="0" borderId="0" xfId="0" applyNumberFormat="1" applyFont="1">
      <alignment vertical="center"/>
    </xf>
    <xf numFmtId="176" fontId="26" fillId="0" borderId="0" xfId="0" applyNumberFormat="1" applyFont="1" applyAlignment="1">
      <alignment horizontal="right" vertical="center"/>
    </xf>
    <xf numFmtId="0" fontId="0" fillId="0" borderId="0" xfId="0" applyFill="1" applyBorder="1">
      <alignment vertical="center"/>
    </xf>
    <xf numFmtId="0" fontId="48" fillId="0" borderId="0" xfId="0" applyFont="1">
      <alignment vertical="center"/>
    </xf>
    <xf numFmtId="0" fontId="21" fillId="0" borderId="11" xfId="0" applyFont="1" applyBorder="1" applyAlignment="1">
      <alignment vertical="center" wrapText="1"/>
    </xf>
    <xf numFmtId="176" fontId="18" fillId="0" borderId="0" xfId="0" applyNumberFormat="1" applyFont="1" applyBorder="1" applyAlignment="1">
      <alignment horizontal="center" vertical="center"/>
    </xf>
    <xf numFmtId="0" fontId="50" fillId="0" borderId="0" xfId="0" applyFont="1" applyFill="1">
      <alignment vertical="center"/>
    </xf>
    <xf numFmtId="0" fontId="50" fillId="0" borderId="0" xfId="0" applyFont="1" applyFill="1" applyBorder="1">
      <alignment vertical="center"/>
    </xf>
    <xf numFmtId="0" fontId="52" fillId="0" borderId="0" xfId="0" applyFont="1" applyAlignment="1">
      <alignment horizontal="center" vertical="center"/>
    </xf>
    <xf numFmtId="0" fontId="3" fillId="0" borderId="23" xfId="0" applyFont="1" applyFill="1" applyBorder="1" applyAlignment="1">
      <alignment horizontal="center"/>
    </xf>
    <xf numFmtId="0" fontId="42" fillId="0" borderId="0" xfId="0" applyFont="1" applyBorder="1" applyAlignment="1">
      <alignment vertical="center"/>
    </xf>
    <xf numFmtId="0" fontId="80" fillId="0" borderId="0" xfId="21">
      <alignment vertical="center"/>
    </xf>
    <xf numFmtId="0" fontId="61" fillId="0" borderId="0" xfId="21" applyFont="1">
      <alignment vertical="center"/>
    </xf>
    <xf numFmtId="0" fontId="70" fillId="0" borderId="0" xfId="21" applyFont="1" applyAlignment="1">
      <alignment horizontal="center" vertical="center" shrinkToFit="1"/>
    </xf>
    <xf numFmtId="0" fontId="2" fillId="0" borderId="0" xfId="21" applyFont="1" applyAlignment="1">
      <alignment vertical="center" wrapText="1"/>
    </xf>
    <xf numFmtId="0" fontId="2" fillId="0" borderId="0" xfId="21" applyFont="1" applyBorder="1" applyAlignment="1">
      <alignment vertical="center" wrapText="1"/>
    </xf>
    <xf numFmtId="0" fontId="64" fillId="0" borderId="0" xfId="21" applyFont="1" applyBorder="1" applyAlignment="1">
      <alignment vertical="center" wrapText="1"/>
    </xf>
    <xf numFmtId="0" fontId="65" fillId="0" borderId="0" xfId="21" applyFont="1">
      <alignment vertical="center"/>
    </xf>
    <xf numFmtId="0" fontId="66" fillId="0" borderId="0" xfId="21" applyFont="1" applyBorder="1" applyAlignment="1">
      <alignment horizontal="justify" vertical="center"/>
    </xf>
    <xf numFmtId="0" fontId="66" fillId="0" borderId="6" xfId="21" applyFont="1" applyBorder="1" applyAlignment="1">
      <alignment horizontal="justify" vertical="center"/>
    </xf>
    <xf numFmtId="0" fontId="63" fillId="0" borderId="0" xfId="21" applyFont="1" applyBorder="1" applyAlignment="1">
      <alignment vertical="center"/>
    </xf>
    <xf numFmtId="0" fontId="64" fillId="0" borderId="0" xfId="21" applyFont="1" applyBorder="1" applyAlignment="1">
      <alignment horizontal="justify" vertical="center"/>
    </xf>
    <xf numFmtId="0" fontId="62" fillId="0" borderId="0" xfId="21" applyFont="1">
      <alignment vertical="center"/>
    </xf>
    <xf numFmtId="0" fontId="64" fillId="0" borderId="0" xfId="21" applyFont="1" applyBorder="1" applyAlignment="1">
      <alignment horizontal="justify" vertical="top"/>
    </xf>
    <xf numFmtId="0" fontId="63" fillId="0" borderId="7" xfId="21" applyFont="1" applyBorder="1" applyAlignment="1">
      <alignment vertical="center" wrapText="1"/>
    </xf>
    <xf numFmtId="0" fontId="63" fillId="0" borderId="0" xfId="21" applyFont="1" applyBorder="1" applyAlignment="1">
      <alignment vertical="center" wrapText="1"/>
    </xf>
    <xf numFmtId="0" fontId="80" fillId="0" borderId="0" xfId="21" applyBorder="1" applyAlignment="1">
      <alignment vertical="center"/>
    </xf>
    <xf numFmtId="0" fontId="64" fillId="0" borderId="7" xfId="21" applyFont="1" applyBorder="1" applyAlignment="1">
      <alignment vertical="center" wrapText="1"/>
    </xf>
    <xf numFmtId="49" fontId="81" fillId="0" borderId="31" xfId="0" applyNumberFormat="1" applyFont="1" applyBorder="1" applyAlignment="1">
      <alignment horizontal="center" vertical="center"/>
    </xf>
    <xf numFmtId="0" fontId="19" fillId="0" borderId="0" xfId="0" applyFont="1" applyBorder="1" applyAlignment="1">
      <alignment horizontal="left" wrapText="1"/>
    </xf>
    <xf numFmtId="49" fontId="81" fillId="0" borderId="32" xfId="0" applyNumberFormat="1" applyFont="1" applyBorder="1" applyAlignment="1">
      <alignment horizontal="center" vertical="center"/>
    </xf>
    <xf numFmtId="0" fontId="7" fillId="0" borderId="0" xfId="1">
      <alignment vertical="center"/>
    </xf>
    <xf numFmtId="0" fontId="7" fillId="0" borderId="0" xfId="1" applyBorder="1" applyAlignment="1">
      <alignment vertical="center"/>
    </xf>
    <xf numFmtId="0" fontId="7" fillId="0" borderId="0" xfId="1" applyBorder="1">
      <alignment vertical="center"/>
    </xf>
    <xf numFmtId="0" fontId="91" fillId="0" borderId="0" xfId="1" applyFont="1" applyBorder="1" applyAlignment="1">
      <alignment vertical="center"/>
    </xf>
    <xf numFmtId="0" fontId="19" fillId="0" borderId="0" xfId="0" applyFont="1" applyBorder="1" applyAlignment="1">
      <alignment horizontal="center" wrapText="1"/>
    </xf>
    <xf numFmtId="176" fontId="18" fillId="0" borderId="0" xfId="0" applyNumberFormat="1" applyFont="1" applyBorder="1" applyAlignment="1">
      <alignment vertical="top" wrapText="1"/>
    </xf>
    <xf numFmtId="0" fontId="90" fillId="0" borderId="0" xfId="1" applyFont="1" applyBorder="1" applyAlignment="1">
      <alignment vertical="justify" wrapText="1"/>
    </xf>
    <xf numFmtId="0" fontId="0" fillId="0" borderId="0" xfId="0" applyFont="1" applyBorder="1">
      <alignment vertical="center"/>
    </xf>
    <xf numFmtId="0" fontId="0" fillId="0" borderId="0" xfId="0" applyFont="1" applyBorder="1" applyAlignment="1">
      <alignment vertical="center"/>
    </xf>
    <xf numFmtId="0" fontId="91" fillId="0" borderId="4" xfId="1" applyFont="1" applyBorder="1" applyAlignment="1">
      <alignment vertical="center"/>
    </xf>
    <xf numFmtId="0" fontId="7" fillId="0" borderId="4" xfId="1" applyBorder="1" applyAlignment="1">
      <alignment vertical="center"/>
    </xf>
    <xf numFmtId="0" fontId="7" fillId="0" borderId="5" xfId="1" applyBorder="1" applyAlignment="1">
      <alignment vertical="center"/>
    </xf>
    <xf numFmtId="0" fontId="0" fillId="0" borderId="0" xfId="0" applyBorder="1" applyAlignment="1">
      <alignment vertical="center"/>
    </xf>
    <xf numFmtId="0" fontId="98" fillId="0" borderId="11" xfId="0" applyFont="1" applyBorder="1" applyAlignment="1">
      <alignment vertical="center" wrapText="1"/>
    </xf>
    <xf numFmtId="0" fontId="98" fillId="0" borderId="4" xfId="0" applyFont="1" applyBorder="1" applyAlignment="1">
      <alignment horizontal="right" wrapText="1"/>
    </xf>
    <xf numFmtId="0" fontId="98" fillId="0" borderId="11" xfId="0" applyFont="1" applyBorder="1" applyAlignment="1">
      <alignment horizontal="right" wrapText="1"/>
    </xf>
    <xf numFmtId="0" fontId="99" fillId="0" borderId="11" xfId="0" applyFont="1" applyBorder="1" applyAlignment="1">
      <alignment vertical="center" wrapText="1"/>
    </xf>
    <xf numFmtId="0" fontId="98" fillId="0" borderId="4" xfId="0" applyFont="1" applyBorder="1" applyAlignment="1">
      <alignment horizontal="center" wrapText="1"/>
    </xf>
    <xf numFmtId="0" fontId="98" fillId="0" borderId="4" xfId="0" applyFont="1" applyBorder="1" applyAlignment="1">
      <alignment horizontal="left" wrapText="1"/>
    </xf>
    <xf numFmtId="0" fontId="98" fillId="0" borderId="11" xfId="0" applyFont="1" applyBorder="1" applyAlignment="1">
      <alignment horizontal="left" wrapText="1"/>
    </xf>
    <xf numFmtId="0" fontId="28" fillId="0" borderId="0" xfId="0" applyFont="1" applyBorder="1" applyAlignment="1">
      <alignment horizontal="right" vertical="center" wrapText="1"/>
    </xf>
    <xf numFmtId="0" fontId="28" fillId="0" borderId="0" xfId="0" applyFont="1" applyBorder="1" applyAlignment="1">
      <alignment vertical="center" wrapText="1"/>
    </xf>
    <xf numFmtId="176" fontId="28" fillId="0" borderId="0" xfId="0" applyNumberFormat="1" applyFont="1" applyBorder="1" applyAlignment="1">
      <alignment horizontal="left" vertical="center" wrapText="1"/>
    </xf>
    <xf numFmtId="0" fontId="96" fillId="0" borderId="0" xfId="0" applyFont="1" applyAlignment="1">
      <alignment vertical="center"/>
    </xf>
    <xf numFmtId="176" fontId="25" fillId="0" borderId="0" xfId="0" applyNumberFormat="1" applyFont="1" applyBorder="1" applyAlignment="1">
      <alignment horizontal="center" vertical="center"/>
    </xf>
    <xf numFmtId="176" fontId="41" fillId="0" borderId="0" xfId="0" applyNumberFormat="1" applyFont="1" applyBorder="1">
      <alignment vertical="center"/>
    </xf>
    <xf numFmtId="176" fontId="22" fillId="0" borderId="0" xfId="0" applyNumberFormat="1" applyFont="1" applyBorder="1">
      <alignment vertical="center"/>
    </xf>
    <xf numFmtId="176" fontId="26" fillId="0" borderId="0" xfId="0" applyNumberFormat="1" applyFont="1" applyBorder="1" applyAlignment="1">
      <alignment horizontal="center" vertical="center"/>
    </xf>
    <xf numFmtId="176" fontId="0" fillId="0" borderId="0" xfId="0" applyNumberFormat="1" applyBorder="1">
      <alignment vertical="center"/>
    </xf>
    <xf numFmtId="176" fontId="29" fillId="0" borderId="11" xfId="0" applyNumberFormat="1" applyFont="1" applyBorder="1" applyAlignment="1">
      <alignment horizontal="left" wrapText="1"/>
    </xf>
    <xf numFmtId="0" fontId="26" fillId="0" borderId="0" xfId="0" applyFont="1" applyBorder="1" applyAlignment="1">
      <alignment horizontal="left" vertical="center" wrapText="1"/>
    </xf>
    <xf numFmtId="0" fontId="0" fillId="0" borderId="0" xfId="0" applyAlignment="1"/>
    <xf numFmtId="176" fontId="34" fillId="0" borderId="34" xfId="0" applyNumberFormat="1" applyFont="1" applyBorder="1" applyAlignment="1">
      <alignment horizontal="center" vertical="center" wrapText="1"/>
    </xf>
    <xf numFmtId="176" fontId="34" fillId="0" borderId="34" xfId="0" applyNumberFormat="1" applyFont="1" applyBorder="1" applyAlignment="1">
      <alignment horizontal="right" vertical="center" wrapText="1"/>
    </xf>
    <xf numFmtId="176" fontId="34" fillId="0" borderId="34" xfId="0" applyNumberFormat="1" applyFont="1" applyBorder="1" applyAlignment="1">
      <alignment vertical="center" wrapText="1"/>
    </xf>
    <xf numFmtId="0" fontId="80" fillId="0" borderId="0" xfId="0" applyFont="1" applyAlignment="1">
      <alignment vertical="center"/>
    </xf>
    <xf numFmtId="176" fontId="103" fillId="0" borderId="34" xfId="0" applyNumberFormat="1" applyFont="1" applyBorder="1" applyAlignment="1">
      <alignment horizontal="right" vertical="center"/>
    </xf>
    <xf numFmtId="176" fontId="103" fillId="0" borderId="34" xfId="0" applyNumberFormat="1" applyFont="1" applyBorder="1" applyAlignment="1">
      <alignment horizontal="left" vertical="center"/>
    </xf>
    <xf numFmtId="176" fontId="103" fillId="0" borderId="34" xfId="0" applyNumberFormat="1" applyFont="1" applyBorder="1" applyAlignment="1">
      <alignment vertical="center"/>
    </xf>
    <xf numFmtId="176" fontId="103" fillId="0" borderId="40" xfId="0" applyNumberFormat="1" applyFont="1" applyBorder="1" applyAlignment="1">
      <alignment vertical="center"/>
    </xf>
    <xf numFmtId="0" fontId="26" fillId="0" borderId="0" xfId="0" applyFont="1" applyBorder="1" applyAlignment="1">
      <alignment vertical="top" wrapText="1"/>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80" fillId="0" borderId="0" xfId="21" applyAlignment="1"/>
    <xf numFmtId="0" fontId="80" fillId="0" borderId="0" xfId="21" applyBorder="1" applyAlignment="1"/>
    <xf numFmtId="0" fontId="80" fillId="0" borderId="0" xfId="21" applyBorder="1">
      <alignment vertical="center"/>
    </xf>
    <xf numFmtId="0" fontId="88" fillId="0" borderId="0" xfId="21" applyFont="1" applyFill="1" applyBorder="1" applyAlignment="1">
      <alignment horizontal="center" vertical="center"/>
    </xf>
    <xf numFmtId="0" fontId="88" fillId="0" borderId="0" xfId="21" applyFont="1" applyFill="1" applyBorder="1" applyAlignment="1">
      <alignment vertical="center"/>
    </xf>
    <xf numFmtId="0" fontId="96" fillId="0" borderId="0" xfId="21" applyFont="1" applyBorder="1" applyAlignment="1">
      <alignment horizontal="left" vertical="top"/>
    </xf>
    <xf numFmtId="0" fontId="106" fillId="0" borderId="0" xfId="21" applyFont="1" applyBorder="1" applyAlignment="1">
      <alignment horizontal="center"/>
    </xf>
    <xf numFmtId="0" fontId="102" fillId="0" borderId="0" xfId="21" applyFont="1">
      <alignment vertical="center"/>
    </xf>
    <xf numFmtId="0" fontId="110" fillId="0" borderId="0" xfId="21" applyFont="1" applyAlignment="1">
      <alignment horizontal="left" vertical="center"/>
    </xf>
    <xf numFmtId="0" fontId="80" fillId="0" borderId="9" xfId="21" applyBorder="1">
      <alignment vertical="center"/>
    </xf>
    <xf numFmtId="0" fontId="80" fillId="0" borderId="1" xfId="21" applyBorder="1">
      <alignment vertical="center"/>
    </xf>
    <xf numFmtId="0" fontId="80" fillId="0" borderId="8" xfId="21" applyBorder="1">
      <alignment vertical="center"/>
    </xf>
    <xf numFmtId="0" fontId="80" fillId="0" borderId="7" xfId="21" applyBorder="1">
      <alignment vertical="center"/>
    </xf>
    <xf numFmtId="0" fontId="80" fillId="0" borderId="6" xfId="21" applyBorder="1">
      <alignment vertical="center"/>
    </xf>
    <xf numFmtId="0" fontId="80" fillId="0" borderId="4" xfId="21" applyBorder="1">
      <alignment vertical="center"/>
    </xf>
    <xf numFmtId="0" fontId="80" fillId="0" borderId="3" xfId="21" applyBorder="1">
      <alignment vertical="center"/>
    </xf>
    <xf numFmtId="0" fontId="80" fillId="0" borderId="13" xfId="21" applyBorder="1">
      <alignment vertical="center"/>
    </xf>
    <xf numFmtId="0" fontId="80" fillId="0" borderId="12" xfId="21" applyBorder="1">
      <alignment vertical="center"/>
    </xf>
    <xf numFmtId="0" fontId="107" fillId="0" borderId="10" xfId="21" applyFont="1" applyBorder="1" applyAlignment="1">
      <alignment horizontal="center" vertical="center"/>
    </xf>
    <xf numFmtId="0" fontId="80" fillId="0" borderId="116" xfId="21" applyBorder="1">
      <alignment vertical="center"/>
    </xf>
    <xf numFmtId="0" fontId="0" fillId="0" borderId="0" xfId="0" applyAlignment="1">
      <alignment horizontal="left" vertical="center"/>
    </xf>
    <xf numFmtId="49" fontId="116" fillId="0" borderId="22" xfId="0" applyNumberFormat="1" applyFont="1" applyFill="1" applyBorder="1" applyAlignment="1">
      <alignment horizontal="center" vertical="center"/>
    </xf>
    <xf numFmtId="0" fontId="116" fillId="0" borderId="22" xfId="0" applyFont="1" applyFill="1" applyBorder="1" applyAlignment="1">
      <alignment horizontal="center" vertical="center"/>
    </xf>
    <xf numFmtId="0" fontId="118" fillId="0" borderId="0" xfId="0" applyFont="1" applyAlignment="1">
      <alignment horizontal="left" vertical="center"/>
    </xf>
    <xf numFmtId="0" fontId="120" fillId="0" borderId="62" xfId="21" applyFont="1" applyBorder="1" applyAlignment="1">
      <alignment horizontal="center" vertical="distributed" textRotation="255" shrinkToFit="1"/>
    </xf>
    <xf numFmtId="0" fontId="120" fillId="0" borderId="10" xfId="21" applyFont="1" applyBorder="1" applyAlignment="1">
      <alignment horizontal="center" vertical="distributed" textRotation="255" shrinkToFit="1"/>
    </xf>
    <xf numFmtId="176" fontId="72" fillId="0" borderId="13" xfId="21" applyNumberFormat="1" applyFont="1" applyBorder="1" applyAlignment="1">
      <alignment horizontal="right" vertical="center" shrinkToFit="1"/>
    </xf>
    <xf numFmtId="176" fontId="72" fillId="0" borderId="13" xfId="21" applyNumberFormat="1" applyFont="1" applyBorder="1" applyAlignment="1">
      <alignment horizontal="center" vertical="center" shrinkToFit="1"/>
    </xf>
    <xf numFmtId="176" fontId="72" fillId="0" borderId="14" xfId="21" applyNumberFormat="1" applyFont="1" applyBorder="1" applyAlignment="1">
      <alignment vertical="center" shrinkToFit="1"/>
    </xf>
    <xf numFmtId="176" fontId="72" fillId="0" borderId="13" xfId="21" applyNumberFormat="1" applyFont="1" applyBorder="1" applyAlignment="1">
      <alignment horizontal="center" vertical="center"/>
    </xf>
    <xf numFmtId="176" fontId="72" fillId="0" borderId="13" xfId="21" applyNumberFormat="1" applyFont="1" applyBorder="1" applyAlignment="1">
      <alignment horizontal="right" vertical="center"/>
    </xf>
    <xf numFmtId="176" fontId="72" fillId="0" borderId="3" xfId="21" applyNumberFormat="1" applyFont="1" applyBorder="1" applyAlignment="1">
      <alignment vertical="top"/>
    </xf>
    <xf numFmtId="176" fontId="72" fillId="0" borderId="4" xfId="21" applyNumberFormat="1" applyFont="1" applyBorder="1" applyAlignment="1">
      <alignment vertical="top"/>
    </xf>
    <xf numFmtId="176" fontId="72" fillId="0" borderId="5" xfId="21" applyNumberFormat="1" applyFont="1" applyBorder="1" applyAlignment="1">
      <alignment vertical="top"/>
    </xf>
    <xf numFmtId="0" fontId="8" fillId="0" borderId="16" xfId="0" applyFont="1" applyBorder="1" applyAlignment="1">
      <alignment horizontal="center" vertical="center"/>
    </xf>
    <xf numFmtId="0" fontId="0" fillId="0" borderId="11" xfId="0" applyBorder="1">
      <alignment vertical="center"/>
    </xf>
    <xf numFmtId="0" fontId="68" fillId="0" borderId="0" xfId="21" applyFont="1" applyBorder="1" applyAlignment="1">
      <alignment vertical="center" wrapText="1"/>
    </xf>
    <xf numFmtId="0" fontId="61" fillId="0" borderId="0" xfId="21" applyFont="1" applyBorder="1">
      <alignment vertical="center"/>
    </xf>
    <xf numFmtId="0" fontId="2" fillId="0" borderId="0" xfId="21" applyFont="1" applyBorder="1" applyAlignment="1">
      <alignment horizontal="center" vertical="center" wrapText="1"/>
    </xf>
    <xf numFmtId="0" fontId="5" fillId="0" borderId="0" xfId="21" applyFont="1" applyBorder="1" applyAlignment="1">
      <alignment vertical="center" wrapText="1"/>
    </xf>
    <xf numFmtId="0" fontId="3" fillId="0" borderId="0" xfId="21" applyFont="1" applyBorder="1" applyAlignment="1">
      <alignment vertical="center" wrapText="1"/>
    </xf>
    <xf numFmtId="49" fontId="116" fillId="0" borderId="11" xfId="0" applyNumberFormat="1" applyFont="1" applyFill="1" applyBorder="1" applyAlignment="1">
      <alignment horizontal="center" vertical="center"/>
    </xf>
    <xf numFmtId="0" fontId="4" fillId="0" borderId="0" xfId="21" applyFont="1" applyBorder="1" applyAlignment="1">
      <alignment vertical="center" wrapText="1"/>
    </xf>
    <xf numFmtId="0" fontId="10" fillId="0" borderId="0" xfId="0" applyFont="1" applyFill="1" applyBorder="1" applyAlignment="1">
      <alignment vertical="center"/>
    </xf>
    <xf numFmtId="176" fontId="63" fillId="0" borderId="0" xfId="21" applyNumberFormat="1" applyFont="1" applyBorder="1" applyAlignment="1">
      <alignment horizontal="right" wrapText="1"/>
    </xf>
    <xf numFmtId="176" fontId="63" fillId="0" borderId="0" xfId="21" applyNumberFormat="1" applyFont="1" applyBorder="1" applyAlignment="1">
      <alignment horizontal="center" wrapText="1"/>
    </xf>
    <xf numFmtId="176" fontId="63" fillId="0" borderId="0" xfId="21" applyNumberFormat="1" applyFont="1" applyBorder="1" applyAlignment="1">
      <alignment wrapText="1"/>
    </xf>
    <xf numFmtId="176" fontId="63" fillId="0" borderId="7" xfId="21" applyNumberFormat="1" applyFont="1" applyBorder="1" applyAlignment="1">
      <alignment wrapText="1"/>
    </xf>
    <xf numFmtId="176" fontId="63" fillId="0" borderId="0" xfId="21" applyNumberFormat="1" applyFont="1" applyBorder="1" applyAlignment="1">
      <alignment horizontal="left"/>
    </xf>
    <xf numFmtId="176" fontId="63" fillId="0" borderId="0" xfId="21" applyNumberFormat="1" applyFont="1" applyBorder="1" applyAlignment="1"/>
    <xf numFmtId="176" fontId="63" fillId="0" borderId="13" xfId="21" applyNumberFormat="1" applyFont="1" applyBorder="1" applyAlignment="1">
      <alignment horizontal="center" vertical="center" shrinkToFit="1"/>
    </xf>
    <xf numFmtId="176" fontId="63" fillId="0" borderId="0" xfId="21" applyNumberFormat="1" applyFont="1" applyBorder="1" applyAlignment="1">
      <alignment horizontal="center" vertical="center" wrapText="1"/>
    </xf>
    <xf numFmtId="176" fontId="63" fillId="0" borderId="14" xfId="21" applyNumberFormat="1" applyFont="1" applyBorder="1" applyAlignment="1">
      <alignment horizontal="center" vertical="center" shrinkToFit="1"/>
    </xf>
    <xf numFmtId="176" fontId="63" fillId="0" borderId="3" xfId="21" applyNumberFormat="1" applyFont="1" applyBorder="1" applyAlignment="1">
      <alignment vertical="center" wrapText="1"/>
    </xf>
    <xf numFmtId="176" fontId="63" fillId="0" borderId="4" xfId="21" applyNumberFormat="1" applyFont="1" applyBorder="1" applyAlignment="1">
      <alignment vertical="center" wrapText="1"/>
    </xf>
    <xf numFmtId="176" fontId="124" fillId="0" borderId="0" xfId="0" applyNumberFormat="1" applyFont="1" applyAlignment="1">
      <alignment horizontal="center" vertical="center"/>
    </xf>
    <xf numFmtId="176" fontId="63" fillId="0" borderId="13" xfId="21" applyNumberFormat="1" applyFont="1" applyBorder="1" applyAlignment="1">
      <alignment horizontal="center" vertical="center" wrapText="1"/>
    </xf>
    <xf numFmtId="176" fontId="2" fillId="0" borderId="9" xfId="21" applyNumberFormat="1" applyFont="1" applyBorder="1" applyAlignment="1">
      <alignment vertical="center" wrapText="1"/>
    </xf>
    <xf numFmtId="176" fontId="64" fillId="0" borderId="7" xfId="21" applyNumberFormat="1" applyFont="1" applyBorder="1" applyAlignment="1">
      <alignment vertical="center" wrapText="1"/>
    </xf>
    <xf numFmtId="0" fontId="42" fillId="0" borderId="0" xfId="0" applyFont="1" applyBorder="1" applyAlignment="1">
      <alignment horizontal="left" vertical="center"/>
    </xf>
    <xf numFmtId="0" fontId="0" fillId="0" borderId="0" xfId="0" applyAlignment="1">
      <alignment vertical="center" wrapText="1"/>
    </xf>
    <xf numFmtId="0" fontId="126" fillId="0" borderId="0" xfId="0" applyFont="1" applyBorder="1" applyAlignment="1">
      <alignment horizontal="left" vertical="center" wrapText="1"/>
    </xf>
    <xf numFmtId="0" fontId="126" fillId="0" borderId="11" xfId="0" applyFont="1" applyBorder="1" applyAlignment="1">
      <alignment horizontal="left" vertical="center" wrapText="1"/>
    </xf>
    <xf numFmtId="0" fontId="7" fillId="0" borderId="6" xfId="1" applyBorder="1">
      <alignment vertical="center"/>
    </xf>
    <xf numFmtId="0" fontId="88" fillId="0" borderId="0" xfId="1" applyFont="1" applyBorder="1" applyAlignment="1">
      <alignment horizontal="center" vertical="center"/>
    </xf>
    <xf numFmtId="0" fontId="7" fillId="0" borderId="18" xfId="1" applyBorder="1">
      <alignment vertical="center"/>
    </xf>
    <xf numFmtId="0" fontId="92" fillId="0" borderId="0" xfId="1" applyFont="1" applyBorder="1" applyAlignment="1">
      <alignment horizontal="center"/>
    </xf>
    <xf numFmtId="0" fontId="7" fillId="0" borderId="13" xfId="1" applyFont="1" applyBorder="1" applyAlignment="1">
      <alignment horizontal="right" vertical="center"/>
    </xf>
    <xf numFmtId="0" fontId="52" fillId="0" borderId="0" xfId="0" applyFont="1" applyAlignment="1">
      <alignment horizontal="center" vertical="center"/>
    </xf>
    <xf numFmtId="176" fontId="34" fillId="0" borderId="34" xfId="0" applyNumberFormat="1" applyFont="1" applyBorder="1" applyAlignment="1">
      <alignment horizontal="right" vertical="center" wrapText="1"/>
    </xf>
    <xf numFmtId="0" fontId="130" fillId="0" borderId="0" xfId="0" applyFont="1" applyAlignment="1">
      <alignment horizontal="justify" vertical="center"/>
    </xf>
    <xf numFmtId="0" fontId="132" fillId="0" borderId="0" xfId="0" applyFont="1" applyBorder="1" applyAlignment="1">
      <alignment vertical="center" wrapText="1"/>
    </xf>
    <xf numFmtId="0" fontId="32" fillId="0" borderId="0" xfId="0" applyFont="1" applyFill="1" applyBorder="1" applyAlignment="1">
      <alignment horizontal="left" vertical="center"/>
    </xf>
    <xf numFmtId="0" fontId="51" fillId="0" borderId="0" xfId="0" applyFont="1" applyAlignment="1">
      <alignment vertical="center"/>
    </xf>
    <xf numFmtId="0" fontId="36" fillId="14" borderId="24" xfId="0" applyFont="1" applyFill="1" applyBorder="1" applyAlignment="1">
      <alignment horizontal="center" vertical="center" wrapText="1"/>
    </xf>
    <xf numFmtId="49" fontId="7" fillId="0" borderId="0" xfId="1" applyNumberFormat="1">
      <alignment vertical="center"/>
    </xf>
    <xf numFmtId="176" fontId="64" fillId="0" borderId="0" xfId="21" applyNumberFormat="1" applyFont="1" applyBorder="1" applyAlignment="1">
      <alignment horizontal="center" vertical="center" shrinkToFit="1"/>
    </xf>
    <xf numFmtId="176" fontId="63" fillId="0" borderId="0" xfId="21" applyNumberFormat="1" applyFont="1" applyBorder="1" applyAlignment="1">
      <alignment vertical="center" wrapText="1"/>
    </xf>
    <xf numFmtId="176" fontId="66" fillId="0" borderId="0" xfId="21" applyNumberFormat="1" applyFont="1" applyBorder="1" applyAlignment="1">
      <alignment horizontal="justify" vertical="center"/>
    </xf>
    <xf numFmtId="176" fontId="66" fillId="0" borderId="0" xfId="21" applyNumberFormat="1" applyFont="1" applyBorder="1" applyAlignment="1">
      <alignment horizontal="center" vertical="center"/>
    </xf>
    <xf numFmtId="176" fontId="66" fillId="0" borderId="7" xfId="21" applyNumberFormat="1" applyFont="1" applyBorder="1" applyAlignment="1">
      <alignment horizontal="justify" vertical="center"/>
    </xf>
    <xf numFmtId="176" fontId="63" fillId="0" borderId="4" xfId="21" applyNumberFormat="1" applyFont="1" applyBorder="1" applyAlignment="1">
      <alignment horizontal="center" vertical="center" wrapText="1"/>
    </xf>
    <xf numFmtId="176" fontId="63" fillId="0" borderId="5" xfId="21" applyNumberFormat="1" applyFont="1" applyBorder="1" applyAlignment="1">
      <alignment vertical="center" wrapText="1"/>
    </xf>
    <xf numFmtId="176" fontId="63" fillId="0" borderId="0" xfId="0" applyNumberFormat="1" applyFont="1" applyBorder="1" applyAlignment="1">
      <alignment horizontal="center" vertical="center"/>
    </xf>
    <xf numFmtId="176" fontId="61" fillId="0" borderId="0" xfId="21" applyNumberFormat="1" applyFont="1" applyAlignment="1">
      <alignment vertical="center"/>
    </xf>
    <xf numFmtId="176" fontId="63" fillId="0" borderId="0" xfId="21" applyNumberFormat="1" applyFont="1" applyBorder="1" applyAlignment="1">
      <alignment vertical="center"/>
    </xf>
    <xf numFmtId="176" fontId="63" fillId="0" borderId="7" xfId="21" applyNumberFormat="1" applyFont="1" applyBorder="1" applyAlignment="1">
      <alignment vertical="center"/>
    </xf>
    <xf numFmtId="0" fontId="147" fillId="0" borderId="0" xfId="21" applyFont="1" applyBorder="1" applyAlignment="1">
      <alignment horizontal="right" wrapText="1"/>
    </xf>
    <xf numFmtId="176" fontId="147" fillId="0" borderId="0" xfId="21" applyNumberFormat="1" applyFont="1" applyBorder="1" applyAlignment="1">
      <alignment wrapText="1"/>
    </xf>
    <xf numFmtId="176" fontId="147" fillId="0" borderId="0" xfId="21" applyNumberFormat="1" applyFont="1" applyBorder="1" applyAlignment="1">
      <alignment horizontal="center" wrapText="1"/>
    </xf>
    <xf numFmtId="0" fontId="147" fillId="0" borderId="4" xfId="21" applyFont="1" applyBorder="1" applyAlignment="1">
      <alignment horizontal="center" vertical="center" wrapText="1"/>
    </xf>
    <xf numFmtId="0" fontId="102" fillId="0" borderId="0" xfId="21" applyFont="1" applyBorder="1" applyAlignment="1">
      <alignment wrapText="1"/>
    </xf>
    <xf numFmtId="0" fontId="102" fillId="0" borderId="1" xfId="21" applyFont="1" applyBorder="1" applyAlignment="1">
      <alignment vertical="center" wrapText="1"/>
    </xf>
    <xf numFmtId="176" fontId="148" fillId="0" borderId="1" xfId="0" applyNumberFormat="1" applyFont="1" applyBorder="1" applyAlignment="1">
      <alignment horizontal="center" vertical="center"/>
    </xf>
    <xf numFmtId="0" fontId="102" fillId="0" borderId="1" xfId="21" applyFont="1" applyBorder="1">
      <alignment vertical="center"/>
    </xf>
    <xf numFmtId="176" fontId="102" fillId="0" borderId="1" xfId="21" applyNumberFormat="1" applyFont="1" applyBorder="1" applyAlignment="1">
      <alignment vertical="center" wrapText="1"/>
    </xf>
    <xf numFmtId="0" fontId="147" fillId="0" borderId="0" xfId="21" applyFont="1" applyBorder="1" applyAlignment="1">
      <alignment vertical="center" shrinkToFit="1"/>
    </xf>
    <xf numFmtId="0" fontId="147" fillId="0" borderId="0" xfId="21" applyFont="1" applyBorder="1" applyAlignment="1">
      <alignment horizontal="center" vertical="center"/>
    </xf>
    <xf numFmtId="176" fontId="30" fillId="0" borderId="34" xfId="0" applyNumberFormat="1" applyFont="1" applyBorder="1" applyAlignment="1">
      <alignment horizontal="right" vertical="center" wrapText="1"/>
    </xf>
    <xf numFmtId="0" fontId="150" fillId="0" borderId="0" xfId="0" applyFont="1" applyFill="1" applyAlignment="1">
      <alignment horizontal="left" vertical="center" wrapText="1"/>
    </xf>
    <xf numFmtId="0" fontId="3" fillId="0" borderId="0" xfId="21" applyFont="1" applyFill="1" applyBorder="1" applyAlignment="1">
      <alignment vertical="center" wrapText="1"/>
    </xf>
    <xf numFmtId="0" fontId="7" fillId="0" borderId="0" xfId="1" applyFill="1" applyBorder="1">
      <alignment vertical="center"/>
    </xf>
    <xf numFmtId="0" fontId="57" fillId="0" borderId="0" xfId="1" applyFont="1" applyFill="1" applyBorder="1" applyAlignment="1">
      <alignment horizontal="left" vertical="top" wrapText="1"/>
    </xf>
    <xf numFmtId="0" fontId="92" fillId="0" borderId="0" xfId="1" applyFont="1" applyFill="1" applyBorder="1" applyAlignment="1">
      <alignment horizontal="center"/>
    </xf>
    <xf numFmtId="0" fontId="0" fillId="0" borderId="0" xfId="0" applyAlignment="1">
      <alignment horizontal="center" vertical="center"/>
    </xf>
    <xf numFmtId="0" fontId="0" fillId="0" borderId="0" xfId="0" applyFont="1">
      <alignment vertical="center"/>
    </xf>
    <xf numFmtId="0" fontId="80" fillId="0" borderId="0" xfId="0" applyFont="1" applyAlignment="1">
      <alignment horizontal="center" vertical="center"/>
    </xf>
    <xf numFmtId="0" fontId="116" fillId="0" borderId="0" xfId="1" applyFont="1" applyBorder="1" applyAlignment="1">
      <alignment vertical="center"/>
    </xf>
    <xf numFmtId="0" fontId="80" fillId="0" borderId="0" xfId="0" applyFont="1" applyAlignment="1">
      <alignment horizontal="center" vertical="center"/>
    </xf>
    <xf numFmtId="0" fontId="155" fillId="0" borderId="0" xfId="0" applyFont="1" applyFill="1" applyAlignment="1">
      <alignment horizontal="center" vertical="center"/>
    </xf>
    <xf numFmtId="0" fontId="157" fillId="0" borderId="0" xfId="0" applyFont="1" applyAlignment="1">
      <alignment vertical="center" wrapText="1"/>
    </xf>
    <xf numFmtId="0" fontId="163" fillId="0" borderId="0" xfId="0" applyFont="1" applyBorder="1" applyAlignment="1">
      <alignment vertical="center" wrapText="1"/>
    </xf>
    <xf numFmtId="0" fontId="42" fillId="0" borderId="0" xfId="0" applyFont="1" applyFill="1" applyBorder="1" applyAlignment="1">
      <alignment vertical="center"/>
    </xf>
    <xf numFmtId="0" fontId="72" fillId="0" borderId="43" xfId="21" applyFont="1" applyBorder="1" applyAlignment="1">
      <alignment vertical="center"/>
    </xf>
    <xf numFmtId="0" fontId="61" fillId="0" borderId="7" xfId="21" applyFont="1" applyBorder="1">
      <alignment vertical="center"/>
    </xf>
    <xf numFmtId="0" fontId="3" fillId="0" borderId="0" xfId="21" applyFont="1">
      <alignment vertical="center"/>
    </xf>
    <xf numFmtId="0" fontId="5" fillId="2" borderId="22" xfId="0" applyNumberFormat="1" applyFont="1" applyFill="1" applyBorder="1" applyAlignment="1" applyProtection="1">
      <alignment horizontal="center" vertical="center" shrinkToFit="1"/>
      <protection locked="0"/>
    </xf>
    <xf numFmtId="0" fontId="80" fillId="0" borderId="0" xfId="21" applyFill="1">
      <alignment vertical="center"/>
    </xf>
    <xf numFmtId="0" fontId="0" fillId="0" borderId="0" xfId="0" applyProtection="1">
      <alignment vertical="center"/>
    </xf>
    <xf numFmtId="0" fontId="98" fillId="0" borderId="4" xfId="0" applyFont="1" applyBorder="1" applyAlignment="1" applyProtection="1">
      <alignment horizontal="center" wrapText="1"/>
    </xf>
    <xf numFmtId="0" fontId="98" fillId="0" borderId="4" xfId="0" applyFont="1" applyBorder="1" applyAlignment="1" applyProtection="1">
      <alignment horizontal="left" wrapText="1"/>
    </xf>
    <xf numFmtId="0" fontId="21" fillId="0" borderId="11" xfId="0" applyFont="1" applyBorder="1" applyAlignment="1" applyProtection="1">
      <alignment vertical="center" wrapText="1"/>
    </xf>
    <xf numFmtId="0" fontId="98" fillId="0" borderId="11" xfId="0" applyFont="1" applyBorder="1" applyAlignment="1" applyProtection="1">
      <alignment horizontal="right" wrapText="1"/>
    </xf>
    <xf numFmtId="0" fontId="99" fillId="0" borderId="11" xfId="0" applyFont="1" applyBorder="1" applyAlignment="1" applyProtection="1">
      <alignment vertical="center" wrapText="1"/>
    </xf>
    <xf numFmtId="0" fontId="98" fillId="0" borderId="11" xfId="0" applyFont="1" applyBorder="1" applyAlignment="1" applyProtection="1">
      <alignment vertical="center" wrapText="1"/>
    </xf>
    <xf numFmtId="0" fontId="98" fillId="0" borderId="11" xfId="0" applyFont="1" applyBorder="1" applyAlignment="1" applyProtection="1">
      <alignment horizontal="left" wrapText="1"/>
    </xf>
    <xf numFmtId="0" fontId="0" fillId="0" borderId="0" xfId="0" applyAlignment="1" applyProtection="1">
      <alignment vertical="center"/>
    </xf>
    <xf numFmtId="0" fontId="26" fillId="0" borderId="0" xfId="0" applyFont="1" applyBorder="1" applyAlignment="1" applyProtection="1">
      <alignment horizontal="left" vertical="center" wrapText="1"/>
    </xf>
    <xf numFmtId="0" fontId="26" fillId="0" borderId="0" xfId="0" applyFont="1" applyBorder="1" applyAlignment="1" applyProtection="1">
      <alignment vertical="center" wrapText="1"/>
    </xf>
    <xf numFmtId="0" fontId="28" fillId="0" borderId="0" xfId="0" applyFont="1" applyBorder="1" applyAlignment="1" applyProtection="1">
      <alignment horizontal="right" vertical="center" wrapText="1"/>
    </xf>
    <xf numFmtId="176" fontId="28" fillId="0" borderId="0" xfId="0" applyNumberFormat="1" applyFont="1" applyBorder="1" applyAlignment="1" applyProtection="1">
      <alignment horizontal="left" vertical="center" wrapText="1"/>
    </xf>
    <xf numFmtId="0" fontId="26" fillId="0" borderId="0" xfId="0" applyFont="1" applyBorder="1" applyAlignment="1" applyProtection="1">
      <alignment vertical="top" wrapText="1"/>
    </xf>
    <xf numFmtId="0" fontId="28" fillId="0" borderId="0" xfId="0" applyFont="1" applyBorder="1" applyAlignment="1" applyProtection="1">
      <alignment vertical="center" wrapText="1"/>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133" fillId="4" borderId="2" xfId="21" applyFont="1" applyFill="1" applyBorder="1" applyAlignment="1">
      <alignment vertical="center"/>
    </xf>
    <xf numFmtId="0" fontId="13" fillId="0" borderId="0" xfId="21" applyFont="1" applyBorder="1" applyAlignment="1">
      <alignment horizontal="center" vertical="center" wrapText="1"/>
    </xf>
    <xf numFmtId="0" fontId="80" fillId="0" borderId="0" xfId="21" applyAlignment="1">
      <alignment vertical="center"/>
    </xf>
    <xf numFmtId="0" fontId="85" fillId="0" borderId="0" xfId="21" applyFont="1" applyBorder="1" applyAlignment="1">
      <alignment vertical="center" shrinkToFit="1"/>
    </xf>
    <xf numFmtId="0" fontId="13" fillId="0" borderId="0" xfId="21" applyNumberFormat="1" applyFont="1" applyBorder="1" applyAlignment="1">
      <alignment horizontal="center" vertical="center" shrinkToFit="1"/>
    </xf>
    <xf numFmtId="0" fontId="174" fillId="4" borderId="2" xfId="21" applyFont="1" applyFill="1" applyBorder="1">
      <alignment vertical="center"/>
    </xf>
    <xf numFmtId="0" fontId="178" fillId="4" borderId="2" xfId="21" applyFont="1" applyFill="1" applyBorder="1">
      <alignment vertical="center"/>
    </xf>
    <xf numFmtId="0" fontId="80" fillId="23" borderId="0" xfId="21" applyFill="1">
      <alignment vertical="center"/>
    </xf>
    <xf numFmtId="0" fontId="80" fillId="21" borderId="0" xfId="21" applyFill="1">
      <alignment vertical="center"/>
    </xf>
    <xf numFmtId="0" fontId="80" fillId="22" borderId="0" xfId="21" applyFill="1">
      <alignment vertical="center"/>
    </xf>
    <xf numFmtId="0" fontId="85" fillId="22" borderId="0" xfId="21" applyFont="1" applyFill="1" applyBorder="1" applyAlignment="1">
      <alignment horizontal="center" vertical="center" shrinkToFit="1"/>
    </xf>
    <xf numFmtId="0" fontId="13" fillId="22" borderId="0" xfId="21" applyFont="1" applyFill="1" applyBorder="1" applyAlignment="1">
      <alignment horizontal="center" vertical="center" wrapText="1"/>
    </xf>
    <xf numFmtId="0" fontId="85" fillId="22" borderId="0" xfId="21" applyFont="1" applyFill="1" applyBorder="1" applyAlignment="1">
      <alignment vertical="center" shrinkToFit="1"/>
    </xf>
    <xf numFmtId="0" fontId="175" fillId="22" borderId="0" xfId="21" applyFont="1" applyFill="1" applyBorder="1" applyAlignment="1" applyProtection="1">
      <alignment horizontal="right" wrapText="1"/>
      <protection locked="0"/>
    </xf>
    <xf numFmtId="0" fontId="176" fillId="22" borderId="0" xfId="21" applyFont="1" applyFill="1" applyBorder="1" applyAlignment="1">
      <alignment horizontal="right" wrapText="1"/>
    </xf>
    <xf numFmtId="0" fontId="177" fillId="22" borderId="0" xfId="21" applyFont="1" applyFill="1" applyBorder="1" applyAlignment="1">
      <alignment horizontal="right" wrapText="1"/>
    </xf>
    <xf numFmtId="0" fontId="174" fillId="0" borderId="0" xfId="21" applyFont="1" applyFill="1" applyBorder="1">
      <alignment vertical="center"/>
    </xf>
    <xf numFmtId="0" fontId="178" fillId="0" borderId="0" xfId="21" applyFont="1" applyFill="1" applyBorder="1">
      <alignment vertical="center"/>
    </xf>
    <xf numFmtId="0" fontId="135" fillId="0" borderId="0" xfId="0" applyNumberFormat="1" applyFont="1" applyFill="1" applyBorder="1" applyAlignment="1" applyProtection="1">
      <alignment horizontal="center" vertical="top"/>
      <protection locked="0"/>
    </xf>
    <xf numFmtId="176" fontId="80" fillId="0" borderId="0" xfId="21" applyNumberFormat="1" applyFill="1" applyBorder="1" applyAlignment="1">
      <alignment horizontal="left" vertical="center"/>
    </xf>
    <xf numFmtId="0" fontId="5" fillId="0" borderId="0" xfId="21" applyFont="1" applyAlignment="1">
      <alignment horizontal="left" vertical="center"/>
    </xf>
    <xf numFmtId="0" fontId="8" fillId="0" borderId="0" xfId="21" applyFont="1" applyBorder="1" applyAlignment="1">
      <alignment horizontal="right" vertical="center"/>
    </xf>
    <xf numFmtId="0" fontId="39" fillId="0" borderId="0" xfId="21" applyFont="1" applyBorder="1" applyAlignment="1">
      <alignment horizontal="left" vertical="center"/>
    </xf>
    <xf numFmtId="176" fontId="5" fillId="0" borderId="1" xfId="21" applyNumberFormat="1" applyFont="1" applyBorder="1" applyAlignment="1">
      <alignment horizontal="left" vertical="center" shrinkToFit="1"/>
    </xf>
    <xf numFmtId="0" fontId="182" fillId="0" borderId="0" xfId="0" applyFont="1" applyBorder="1" applyAlignment="1">
      <alignment horizontal="center" vertical="center" wrapText="1"/>
    </xf>
    <xf numFmtId="0" fontId="180" fillId="25" borderId="2" xfId="21" applyFont="1" applyFill="1" applyBorder="1" applyAlignment="1" applyProtection="1">
      <alignment horizontal="center" vertical="center" wrapText="1"/>
      <protection locked="0"/>
    </xf>
    <xf numFmtId="0" fontId="180" fillId="25" borderId="1" xfId="0" applyNumberFormat="1" applyFont="1" applyFill="1" applyBorder="1" applyAlignment="1" applyProtection="1">
      <alignment horizontal="center" vertical="center"/>
      <protection locked="0"/>
    </xf>
    <xf numFmtId="0" fontId="5" fillId="0" borderId="0" xfId="21" applyFont="1" applyBorder="1" applyAlignment="1">
      <alignment horizontal="left" vertical="center"/>
    </xf>
    <xf numFmtId="176" fontId="35" fillId="0" borderId="172" xfId="0" applyNumberFormat="1" applyFont="1" applyBorder="1" applyAlignment="1">
      <alignment horizontal="left" vertical="center" wrapText="1"/>
    </xf>
    <xf numFmtId="0" fontId="180" fillId="25" borderId="173" xfId="0" applyNumberFormat="1" applyFont="1" applyFill="1" applyBorder="1" applyAlignment="1" applyProtection="1">
      <alignment horizontal="center" vertical="center" wrapText="1"/>
      <protection locked="0"/>
    </xf>
    <xf numFmtId="176" fontId="165" fillId="0" borderId="0" xfId="0" applyNumberFormat="1" applyFont="1" applyBorder="1" applyAlignment="1">
      <alignment horizontal="center" wrapText="1"/>
    </xf>
    <xf numFmtId="0" fontId="53" fillId="0" borderId="0" xfId="0" applyFont="1" applyFill="1" applyBorder="1" applyAlignment="1">
      <alignment horizontal="left" vertical="center" wrapText="1"/>
    </xf>
    <xf numFmtId="0" fontId="64" fillId="0" borderId="0" xfId="21" applyFont="1" applyBorder="1" applyAlignment="1">
      <alignment horizontal="center" vertical="center" wrapText="1"/>
    </xf>
    <xf numFmtId="0" fontId="2" fillId="0" borderId="0" xfId="21" applyFont="1" applyBorder="1" applyAlignment="1">
      <alignment vertical="center" wrapText="1"/>
    </xf>
    <xf numFmtId="0" fontId="53" fillId="0" borderId="0" xfId="0" applyFont="1" applyFill="1" applyBorder="1" applyAlignment="1">
      <alignment vertical="center" wrapText="1"/>
    </xf>
    <xf numFmtId="0" fontId="189" fillId="0" borderId="0" xfId="21" applyFont="1" applyBorder="1" applyAlignment="1">
      <alignment vertical="center" wrapText="1"/>
    </xf>
    <xf numFmtId="0" fontId="109" fillId="0" borderId="0" xfId="0" applyFont="1">
      <alignment vertical="center"/>
    </xf>
    <xf numFmtId="0" fontId="9" fillId="0" borderId="0" xfId="1" applyFont="1" applyBorder="1" applyAlignment="1">
      <alignment horizontal="left"/>
    </xf>
    <xf numFmtId="0" fontId="9" fillId="0" borderId="0" xfId="1" applyFont="1" applyBorder="1" applyAlignment="1">
      <alignment vertical="center"/>
    </xf>
    <xf numFmtId="181" fontId="2" fillId="0" borderId="0" xfId="0" applyNumberFormat="1" applyFont="1" applyAlignment="1">
      <alignment horizontal="center" vertical="top"/>
    </xf>
    <xf numFmtId="0" fontId="169" fillId="0" borderId="0" xfId="0" applyFont="1" applyAlignment="1">
      <alignment horizontal="left" vertical="center" wrapText="1"/>
    </xf>
    <xf numFmtId="0" fontId="8" fillId="2" borderId="22" xfId="0" applyNumberFormat="1" applyFont="1" applyFill="1" applyBorder="1" applyAlignment="1" applyProtection="1">
      <alignment horizontal="center" vertical="center" shrinkToFit="1"/>
      <protection locked="0"/>
    </xf>
    <xf numFmtId="0" fontId="8" fillId="0" borderId="22" xfId="0" applyFont="1" applyBorder="1" applyAlignment="1" applyProtection="1">
      <alignment horizontal="center" vertical="center"/>
    </xf>
    <xf numFmtId="0" fontId="9" fillId="0" borderId="0" xfId="1" applyFont="1" applyFill="1" applyBorder="1" applyAlignment="1">
      <alignment horizontal="left"/>
    </xf>
    <xf numFmtId="0" fontId="117" fillId="0" borderId="0" xfId="0" applyFont="1">
      <alignment vertical="center"/>
    </xf>
    <xf numFmtId="0" fontId="109" fillId="0" borderId="0" xfId="0" applyFont="1" applyFill="1" applyBorder="1">
      <alignment vertical="center"/>
    </xf>
    <xf numFmtId="176" fontId="32" fillId="0" borderId="22" xfId="0" applyNumberFormat="1" applyFont="1" applyBorder="1" applyAlignment="1" applyProtection="1">
      <alignment horizontal="right" vertical="center" wrapText="1"/>
    </xf>
    <xf numFmtId="176" fontId="32" fillId="0" borderId="22" xfId="0" applyNumberFormat="1" applyFont="1" applyBorder="1" applyAlignment="1" applyProtection="1">
      <alignment horizontal="center" vertical="center" wrapText="1"/>
    </xf>
    <xf numFmtId="0" fontId="8" fillId="0" borderId="22" xfId="0" applyNumberFormat="1" applyFont="1" applyFill="1" applyBorder="1" applyAlignment="1" applyProtection="1">
      <alignment horizontal="center" vertical="center" shrinkToFit="1"/>
    </xf>
    <xf numFmtId="49" fontId="182" fillId="29" borderId="147" xfId="0" applyNumberFormat="1" applyFont="1" applyFill="1" applyBorder="1" applyAlignment="1" applyProtection="1">
      <alignment horizontal="center" vertical="center"/>
    </xf>
    <xf numFmtId="49" fontId="182" fillId="29" borderId="31" xfId="0" applyNumberFormat="1" applyFont="1" applyFill="1" applyBorder="1" applyAlignment="1" applyProtection="1">
      <alignment horizontal="center" vertical="center"/>
    </xf>
    <xf numFmtId="49" fontId="182" fillId="29" borderId="32" xfId="0" applyNumberFormat="1" applyFont="1" applyFill="1" applyBorder="1" applyAlignment="1" applyProtection="1">
      <alignment horizontal="center" vertical="center"/>
    </xf>
    <xf numFmtId="0" fontId="0" fillId="30" borderId="28" xfId="0" applyFill="1" applyBorder="1">
      <alignment vertical="center"/>
    </xf>
    <xf numFmtId="49" fontId="182" fillId="29" borderId="147" xfId="0" applyNumberFormat="1" applyFont="1" applyFill="1" applyBorder="1" applyAlignment="1">
      <alignment horizontal="center" vertical="center"/>
    </xf>
    <xf numFmtId="49" fontId="182" fillId="29" borderId="31" xfId="0" applyNumberFormat="1" applyFont="1" applyFill="1" applyBorder="1" applyAlignment="1">
      <alignment horizontal="center" vertical="center"/>
    </xf>
    <xf numFmtId="0" fontId="123" fillId="0" borderId="24" xfId="0" applyFont="1" applyFill="1" applyBorder="1" applyAlignment="1">
      <alignment horizontal="center" vertical="center"/>
    </xf>
    <xf numFmtId="0" fontId="52" fillId="0" borderId="0" xfId="0" applyFont="1" applyAlignment="1">
      <alignment horizontal="center" vertical="center"/>
    </xf>
    <xf numFmtId="0" fontId="2" fillId="0" borderId="0" xfId="0" applyFont="1" applyBorder="1">
      <alignment vertical="center"/>
    </xf>
    <xf numFmtId="0" fontId="0" fillId="0" borderId="0" xfId="0" applyFill="1" applyAlignment="1">
      <alignment vertical="center"/>
    </xf>
    <xf numFmtId="0" fontId="2" fillId="0" borderId="18" xfId="0" applyFont="1" applyBorder="1">
      <alignment vertical="center"/>
    </xf>
    <xf numFmtId="49" fontId="2" fillId="0" borderId="0" xfId="0" applyNumberFormat="1" applyFont="1" applyBorder="1">
      <alignment vertical="center"/>
    </xf>
    <xf numFmtId="0" fontId="8" fillId="0" borderId="22" xfId="0" applyFont="1" applyFill="1" applyBorder="1" applyAlignment="1" applyProtection="1">
      <alignment horizontal="center" vertical="center"/>
    </xf>
    <xf numFmtId="183" fontId="8" fillId="0" borderId="22" xfId="0" applyNumberFormat="1" applyFont="1" applyFill="1" applyBorder="1" applyAlignment="1" applyProtection="1">
      <alignment horizontal="center" vertical="center" shrinkToFit="1"/>
    </xf>
    <xf numFmtId="184" fontId="8" fillId="0" borderId="22" xfId="0" applyNumberFormat="1" applyFont="1" applyFill="1" applyBorder="1" applyAlignment="1" applyProtection="1">
      <alignment horizontal="center" vertical="center" shrinkToFit="1"/>
    </xf>
    <xf numFmtId="0" fontId="0" fillId="0" borderId="1" xfId="0" applyBorder="1">
      <alignment vertical="center"/>
    </xf>
    <xf numFmtId="0" fontId="61" fillId="0" borderId="0" xfId="21" applyFont="1" applyFill="1" applyAlignment="1">
      <alignment vertical="center"/>
    </xf>
    <xf numFmtId="0" fontId="28" fillId="0" borderId="4" xfId="0" applyFont="1" applyBorder="1" applyAlignment="1">
      <alignment vertical="center" wrapText="1"/>
    </xf>
    <xf numFmtId="0" fontId="206" fillId="0" borderId="0" xfId="0" applyFont="1" applyBorder="1" applyAlignment="1">
      <alignment horizontal="left" vertical="center"/>
    </xf>
    <xf numFmtId="0" fontId="22" fillId="0" borderId="13" xfId="0" applyFont="1" applyBorder="1">
      <alignment vertical="center"/>
    </xf>
    <xf numFmtId="0" fontId="20" fillId="0" borderId="1" xfId="0" applyFont="1" applyBorder="1" applyAlignment="1">
      <alignment vertical="center" wrapText="1"/>
    </xf>
    <xf numFmtId="0" fontId="19" fillId="0" borderId="1" xfId="0" applyFont="1" applyBorder="1" applyAlignment="1">
      <alignment horizontal="left" vertical="center" wrapText="1"/>
    </xf>
    <xf numFmtId="0" fontId="7" fillId="0" borderId="62" xfId="1" applyBorder="1">
      <alignment vertical="center"/>
    </xf>
    <xf numFmtId="176" fontId="207" fillId="0" borderId="0" xfId="0" applyNumberFormat="1" applyFont="1" applyBorder="1" applyAlignment="1">
      <alignment horizontal="left" vertical="center" wrapText="1"/>
    </xf>
    <xf numFmtId="0" fontId="206" fillId="0" borderId="0" xfId="0" applyFont="1" applyBorder="1" applyAlignment="1">
      <alignment vertical="center"/>
    </xf>
    <xf numFmtId="0" fontId="200" fillId="0" borderId="0" xfId="21" applyFont="1" applyFill="1" applyBorder="1" applyAlignment="1">
      <alignment horizontal="left" vertical="center" wrapText="1"/>
    </xf>
    <xf numFmtId="0" fontId="9" fillId="0" borderId="178" xfId="1" applyFont="1" applyBorder="1" applyAlignment="1">
      <alignment horizontal="center"/>
    </xf>
    <xf numFmtId="0" fontId="9" fillId="0" borderId="102" xfId="1" applyFont="1" applyBorder="1" applyAlignment="1">
      <alignment horizontal="center"/>
    </xf>
    <xf numFmtId="0" fontId="33" fillId="0" borderId="34" xfId="0" applyFont="1" applyFill="1" applyBorder="1" applyAlignment="1">
      <alignment horizontal="left" vertical="center"/>
    </xf>
    <xf numFmtId="0" fontId="33" fillId="0" borderId="40" xfId="0" applyFont="1" applyFill="1" applyBorder="1" applyAlignment="1">
      <alignment horizontal="left" vertical="center"/>
    </xf>
    <xf numFmtId="0" fontId="9" fillId="27" borderId="30" xfId="1" applyFont="1" applyFill="1" applyBorder="1" applyAlignment="1">
      <alignment horizontal="center"/>
    </xf>
    <xf numFmtId="0" fontId="9" fillId="0" borderId="231" xfId="1" applyFont="1" applyBorder="1" applyAlignment="1">
      <alignment horizontal="center"/>
    </xf>
    <xf numFmtId="0" fontId="3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1" xfId="0" applyFont="1" applyBorder="1" applyAlignment="1">
      <alignment vertical="center" wrapText="1"/>
    </xf>
    <xf numFmtId="0" fontId="9" fillId="0" borderId="126" xfId="1" applyFont="1" applyBorder="1" applyAlignment="1">
      <alignment horizontal="center"/>
    </xf>
    <xf numFmtId="0" fontId="9" fillId="0" borderId="29" xfId="1" applyFont="1" applyBorder="1" applyAlignment="1">
      <alignment horizontal="center"/>
    </xf>
    <xf numFmtId="0" fontId="9" fillId="27" borderId="35" xfId="1" applyFont="1" applyFill="1" applyBorder="1" applyAlignment="1">
      <alignment horizontal="center"/>
    </xf>
    <xf numFmtId="0" fontId="9" fillId="0" borderId="21" xfId="1" applyFont="1" applyBorder="1" applyAlignment="1">
      <alignment horizontal="center"/>
    </xf>
    <xf numFmtId="49" fontId="182" fillId="29" borderId="239" xfId="0" applyNumberFormat="1" applyFont="1" applyFill="1" applyBorder="1" applyAlignment="1">
      <alignment horizontal="center" vertical="center"/>
    </xf>
    <xf numFmtId="0" fontId="213" fillId="35" borderId="25" xfId="0" applyFont="1" applyFill="1" applyBorder="1" applyAlignment="1">
      <alignment horizontal="center" vertical="center"/>
    </xf>
    <xf numFmtId="0" fontId="168" fillId="35" borderId="29" xfId="0" applyFont="1" applyFill="1" applyBorder="1" applyAlignment="1">
      <alignment horizontal="center" vertical="center"/>
    </xf>
    <xf numFmtId="176" fontId="64" fillId="0" borderId="0" xfId="21" applyNumberFormat="1" applyFont="1" applyBorder="1" applyAlignment="1">
      <alignment vertical="center" shrinkToFit="1"/>
    </xf>
    <xf numFmtId="176" fontId="63" fillId="0" borderId="0" xfId="21" applyNumberFormat="1" applyFont="1" applyBorder="1" applyAlignment="1">
      <alignment horizontal="right" vertical="center" wrapText="1"/>
    </xf>
    <xf numFmtId="183" fontId="63" fillId="0" borderId="0" xfId="21" applyNumberFormat="1" applyFont="1" applyBorder="1" applyAlignment="1">
      <alignment horizontal="right" vertical="center" wrapText="1"/>
    </xf>
    <xf numFmtId="184" fontId="63" fillId="0" borderId="0" xfId="21" applyNumberFormat="1" applyFont="1" applyBorder="1" applyAlignment="1">
      <alignment horizontal="right" vertical="center" wrapText="1"/>
    </xf>
    <xf numFmtId="176" fontId="63" fillId="0" borderId="13" xfId="21" applyNumberFormat="1" applyFont="1" applyBorder="1" applyAlignment="1">
      <alignment horizontal="right" vertical="center" shrinkToFit="1"/>
    </xf>
    <xf numFmtId="0" fontId="33" fillId="0" borderId="34" xfId="0" applyFont="1" applyFill="1" applyBorder="1" applyAlignment="1">
      <alignment horizontal="left" vertical="center"/>
    </xf>
    <xf numFmtId="0" fontId="33" fillId="0" borderId="40" xfId="0" applyFont="1" applyFill="1" applyBorder="1" applyAlignment="1">
      <alignment horizontal="left" vertical="center"/>
    </xf>
    <xf numFmtId="0" fontId="157" fillId="0" borderId="0" xfId="0" applyFont="1" applyAlignment="1">
      <alignment vertical="top" wrapText="1"/>
    </xf>
    <xf numFmtId="176" fontId="103" fillId="0" borderId="34" xfId="0" applyNumberFormat="1" applyFont="1" applyBorder="1" applyAlignment="1">
      <alignment horizontal="right" vertical="center"/>
    </xf>
    <xf numFmtId="176" fontId="56" fillId="0" borderId="0" xfId="0" applyNumberFormat="1" applyFont="1" applyBorder="1" applyAlignment="1">
      <alignment horizontal="left" vertical="top" wrapText="1"/>
    </xf>
    <xf numFmtId="0" fontId="0" fillId="0" borderId="0" xfId="0" applyFill="1">
      <alignment vertical="center"/>
    </xf>
    <xf numFmtId="49" fontId="81" fillId="0" borderId="0" xfId="0" applyNumberFormat="1" applyFont="1" applyFill="1" applyBorder="1" applyAlignment="1">
      <alignment horizontal="center" vertical="center"/>
    </xf>
    <xf numFmtId="176" fontId="18" fillId="0" borderId="0" xfId="0" applyNumberFormat="1" applyFont="1" applyFill="1" applyBorder="1" applyAlignment="1">
      <alignment horizontal="left" vertical="center" wrapText="1"/>
    </xf>
    <xf numFmtId="176" fontId="18" fillId="0" borderId="0" xfId="0" applyNumberFormat="1" applyFont="1" applyFill="1" applyBorder="1" applyAlignment="1">
      <alignment horizontal="center" vertical="center"/>
    </xf>
    <xf numFmtId="176" fontId="129" fillId="0" borderId="0" xfId="0" applyNumberFormat="1" applyFont="1" applyFill="1" applyBorder="1" applyAlignment="1">
      <alignment horizontal="center" vertical="center"/>
    </xf>
    <xf numFmtId="176" fontId="16" fillId="0" borderId="0" xfId="0" applyNumberFormat="1" applyFont="1" applyFill="1" applyBorder="1" applyAlignment="1">
      <alignment horizontal="left" vertical="top" wrapText="1"/>
    </xf>
    <xf numFmtId="183" fontId="30" fillId="0" borderId="34" xfId="0" applyNumberFormat="1" applyFont="1" applyBorder="1" applyAlignment="1">
      <alignment horizontal="right" vertical="center" wrapText="1"/>
    </xf>
    <xf numFmtId="184" fontId="30" fillId="0" borderId="34" xfId="0" applyNumberFormat="1" applyFont="1" applyBorder="1" applyAlignment="1">
      <alignment horizontal="right" vertical="center" wrapText="1"/>
    </xf>
    <xf numFmtId="49" fontId="182" fillId="0" borderId="0" xfId="0" applyNumberFormat="1" applyFont="1" applyFill="1" applyBorder="1" applyAlignment="1" applyProtection="1">
      <alignment horizontal="center" vertical="center"/>
    </xf>
    <xf numFmtId="0" fontId="161" fillId="0" borderId="0" xfId="0" applyFont="1" applyFill="1" applyBorder="1" applyAlignment="1">
      <alignment horizontal="left" vertical="center" wrapText="1"/>
    </xf>
    <xf numFmtId="0" fontId="117" fillId="0" borderId="0" xfId="0" applyFont="1" applyAlignment="1">
      <alignment vertical="center" wrapText="1"/>
    </xf>
    <xf numFmtId="0" fontId="163" fillId="0" borderId="0" xfId="0" applyFont="1" applyFill="1" applyBorder="1" applyAlignment="1">
      <alignment vertical="center" wrapText="1"/>
    </xf>
    <xf numFmtId="0" fontId="157" fillId="0" borderId="0" xfId="0" applyFont="1" applyFill="1" applyAlignment="1">
      <alignment vertical="center" wrapText="1"/>
    </xf>
    <xf numFmtId="0" fontId="61" fillId="0" borderId="0" xfId="21" applyFont="1" applyFill="1">
      <alignment vertical="center"/>
    </xf>
    <xf numFmtId="0" fontId="33" fillId="0" borderId="34" xfId="0" applyFont="1" applyFill="1" applyBorder="1" applyAlignment="1">
      <alignment vertical="center"/>
    </xf>
    <xf numFmtId="0" fontId="33" fillId="0" borderId="40" xfId="0" applyFont="1" applyFill="1" applyBorder="1" applyAlignment="1">
      <alignment vertical="center"/>
    </xf>
    <xf numFmtId="0" fontId="0" fillId="0" borderId="41" xfId="0" applyBorder="1">
      <alignment vertical="center"/>
    </xf>
    <xf numFmtId="0" fontId="157" fillId="0" borderId="0" xfId="0" applyFont="1" applyBorder="1" applyAlignment="1">
      <alignment vertical="top" wrapText="1"/>
    </xf>
    <xf numFmtId="0" fontId="215" fillId="0" borderId="11" xfId="0" applyFont="1" applyBorder="1" applyAlignment="1">
      <alignment vertical="center" wrapText="1"/>
    </xf>
    <xf numFmtId="0" fontId="109" fillId="0" borderId="16" xfId="0" applyFont="1" applyBorder="1">
      <alignment vertical="center"/>
    </xf>
    <xf numFmtId="0" fontId="191" fillId="0" borderId="18" xfId="0" applyFont="1" applyFill="1" applyBorder="1" applyAlignment="1">
      <alignment vertical="center"/>
    </xf>
    <xf numFmtId="0" fontId="191" fillId="0" borderId="0" xfId="0" applyFont="1" applyFill="1" applyBorder="1" applyAlignment="1">
      <alignment vertical="center"/>
    </xf>
    <xf numFmtId="0" fontId="191" fillId="0" borderId="18" xfId="0" applyFont="1" applyFill="1" applyBorder="1" applyAlignment="1">
      <alignment horizontal="center" vertical="center"/>
    </xf>
    <xf numFmtId="0" fontId="191" fillId="0" borderId="0" xfId="0" applyFont="1" applyFill="1" applyBorder="1" applyAlignment="1">
      <alignment horizontal="center" vertical="center"/>
    </xf>
    <xf numFmtId="0" fontId="0" fillId="37" borderId="0" xfId="0" applyFill="1">
      <alignment vertical="center"/>
    </xf>
    <xf numFmtId="0" fontId="217" fillId="37" borderId="0" xfId="0" applyFont="1" applyFill="1" applyAlignment="1">
      <alignment vertical="center" wrapText="1"/>
    </xf>
    <xf numFmtId="0" fontId="153" fillId="37" borderId="0" xfId="0" applyFont="1" applyFill="1" applyAlignment="1">
      <alignment horizontal="left" vertical="center" wrapText="1"/>
    </xf>
    <xf numFmtId="0" fontId="0" fillId="37" borderId="0" xfId="0" applyFill="1" applyBorder="1">
      <alignment vertical="center"/>
    </xf>
    <xf numFmtId="0" fontId="0" fillId="37" borderId="0" xfId="0" applyFill="1" applyAlignment="1">
      <alignment horizontal="left" vertical="center"/>
    </xf>
    <xf numFmtId="0" fontId="14" fillId="37" borderId="0" xfId="0" applyFont="1" applyFill="1" applyAlignment="1">
      <alignment vertical="center" wrapText="1"/>
    </xf>
    <xf numFmtId="42" fontId="218" fillId="37" borderId="0" xfId="0" applyNumberFormat="1" applyFont="1" applyFill="1" applyAlignment="1">
      <alignment vertical="center"/>
    </xf>
    <xf numFmtId="0" fontId="47" fillId="0" borderId="0" xfId="0" applyFont="1" applyFill="1" applyBorder="1" applyAlignment="1">
      <alignment horizontal="center" vertical="center"/>
    </xf>
    <xf numFmtId="0" fontId="0" fillId="0" borderId="0" xfId="0" applyFill="1" applyBorder="1" applyAlignment="1">
      <alignment vertical="center"/>
    </xf>
    <xf numFmtId="0" fontId="26" fillId="0" borderId="0" xfId="0" applyFont="1" applyBorder="1" applyAlignment="1">
      <alignment wrapText="1"/>
    </xf>
    <xf numFmtId="0" fontId="28" fillId="0" borderId="0" xfId="0" applyFont="1" applyBorder="1" applyAlignment="1">
      <alignment horizontal="right" wrapText="1"/>
    </xf>
    <xf numFmtId="176" fontId="28" fillId="0" borderId="0" xfId="0" applyNumberFormat="1" applyFont="1" applyBorder="1" applyAlignment="1">
      <alignment horizontal="center" wrapText="1"/>
    </xf>
    <xf numFmtId="176" fontId="28" fillId="0" borderId="0" xfId="0" applyNumberFormat="1" applyFont="1" applyBorder="1" applyAlignment="1">
      <alignment horizontal="left" wrapText="1"/>
    </xf>
    <xf numFmtId="0" fontId="28" fillId="0" borderId="0" xfId="0" applyFont="1" applyBorder="1" applyAlignment="1" applyProtection="1">
      <alignment horizontal="right" wrapText="1"/>
    </xf>
    <xf numFmtId="176" fontId="28" fillId="0" borderId="0" xfId="0" applyNumberFormat="1" applyFont="1" applyBorder="1" applyAlignment="1" applyProtection="1">
      <alignment horizontal="center" wrapText="1"/>
    </xf>
    <xf numFmtId="176" fontId="28" fillId="0" borderId="0" xfId="0" applyNumberFormat="1" applyFont="1" applyBorder="1" applyAlignment="1" applyProtection="1">
      <alignment horizontal="left" wrapText="1"/>
    </xf>
    <xf numFmtId="176" fontId="30" fillId="0" borderId="0" xfId="0" applyNumberFormat="1" applyFont="1" applyBorder="1" applyAlignment="1">
      <alignment horizontal="left" vertical="center"/>
    </xf>
    <xf numFmtId="0" fontId="220" fillId="0" borderId="0" xfId="0" applyFont="1" applyAlignment="1">
      <alignment vertical="top" wrapText="1"/>
    </xf>
    <xf numFmtId="0" fontId="157" fillId="0" borderId="0" xfId="0" applyFont="1" applyBorder="1" applyAlignment="1">
      <alignment vertical="center" wrapText="1"/>
    </xf>
    <xf numFmtId="0" fontId="222" fillId="0" borderId="0" xfId="0" applyFont="1">
      <alignment vertical="center"/>
    </xf>
    <xf numFmtId="0" fontId="222" fillId="0" borderId="0" xfId="0" applyFont="1" applyBorder="1">
      <alignment vertical="center"/>
    </xf>
    <xf numFmtId="0" fontId="222" fillId="0" borderId="0" xfId="0" applyFont="1" applyBorder="1" applyAlignment="1">
      <alignment vertical="center"/>
    </xf>
    <xf numFmtId="0" fontId="223" fillId="0" borderId="0" xfId="0" applyFont="1" applyBorder="1" applyAlignment="1">
      <alignment vertical="center"/>
    </xf>
    <xf numFmtId="0" fontId="223" fillId="0" borderId="0" xfId="0" applyFont="1" applyBorder="1" applyAlignment="1">
      <alignment vertical="center" wrapText="1"/>
    </xf>
    <xf numFmtId="0" fontId="226" fillId="0" borderId="0" xfId="0" applyFont="1" applyFill="1" applyAlignment="1">
      <alignment vertical="top" wrapText="1" shrinkToFit="1"/>
    </xf>
    <xf numFmtId="0" fontId="80" fillId="0" borderId="0" xfId="21" applyFont="1">
      <alignment vertical="center"/>
    </xf>
    <xf numFmtId="0" fontId="80" fillId="0" borderId="0" xfId="21" applyFont="1" applyBorder="1">
      <alignment vertical="center"/>
    </xf>
    <xf numFmtId="0" fontId="80" fillId="0" borderId="0" xfId="21" applyFont="1" applyBorder="1" applyAlignment="1">
      <alignment horizontal="right" shrinkToFit="1"/>
    </xf>
    <xf numFmtId="0" fontId="80" fillId="0" borderId="4" xfId="21" applyFont="1" applyBorder="1" applyAlignment="1">
      <alignment horizontal="right" shrinkToFit="1"/>
    </xf>
    <xf numFmtId="0" fontId="80" fillId="0" borderId="4" xfId="21" applyFont="1" applyBorder="1" applyAlignment="1">
      <alignment shrinkToFit="1"/>
    </xf>
    <xf numFmtId="0" fontId="80" fillId="0" borderId="4" xfId="21" applyFont="1" applyBorder="1" applyAlignment="1"/>
    <xf numFmtId="0" fontId="80" fillId="0" borderId="0" xfId="21" applyFont="1" applyBorder="1" applyAlignment="1">
      <alignment horizontal="center"/>
    </xf>
    <xf numFmtId="176" fontId="80" fillId="7" borderId="218" xfId="21" applyNumberFormat="1" applyFont="1" applyFill="1" applyBorder="1" applyAlignment="1">
      <alignment shrinkToFit="1"/>
    </xf>
    <xf numFmtId="176" fontId="80" fillId="0" borderId="195" xfId="21" applyNumberFormat="1" applyBorder="1">
      <alignment vertical="center"/>
    </xf>
    <xf numFmtId="176" fontId="80" fillId="7" borderId="213" xfId="21" applyNumberFormat="1" applyFont="1" applyFill="1" applyBorder="1" applyAlignment="1">
      <alignment shrinkToFit="1"/>
    </xf>
    <xf numFmtId="176" fontId="80" fillId="0" borderId="208" xfId="21" applyNumberFormat="1" applyBorder="1">
      <alignment vertical="center"/>
    </xf>
    <xf numFmtId="0" fontId="155" fillId="0" borderId="0" xfId="21" applyFont="1" applyFill="1">
      <alignment vertical="center"/>
    </xf>
    <xf numFmtId="176" fontId="80" fillId="0" borderId="206" xfId="21" applyNumberFormat="1" applyBorder="1">
      <alignment vertical="center"/>
    </xf>
    <xf numFmtId="0" fontId="80" fillId="7" borderId="211" xfId="21" applyFont="1" applyFill="1" applyBorder="1" applyAlignment="1">
      <alignment shrinkToFit="1"/>
    </xf>
    <xf numFmtId="0" fontId="80" fillId="0" borderId="2" xfId="21" applyBorder="1" applyAlignment="1"/>
    <xf numFmtId="0" fontId="80" fillId="7" borderId="211" xfId="21" applyFont="1" applyFill="1" applyBorder="1" applyAlignment="1">
      <alignment horizontal="center" shrinkToFit="1"/>
    </xf>
    <xf numFmtId="0" fontId="80" fillId="0" borderId="0" xfId="21" applyFont="1" applyAlignment="1"/>
    <xf numFmtId="0" fontId="80" fillId="0" borderId="1" xfId="21" applyBorder="1" applyAlignment="1">
      <alignment vertical="center" shrinkToFit="1"/>
    </xf>
    <xf numFmtId="0" fontId="80" fillId="0" borderId="1" xfId="21" applyBorder="1" applyAlignment="1"/>
    <xf numFmtId="0" fontId="80" fillId="0" borderId="0" xfId="21" applyBorder="1" applyAlignment="1">
      <alignment horizontal="center"/>
    </xf>
    <xf numFmtId="0" fontId="80" fillId="0" borderId="0" xfId="21" applyBorder="1" applyAlignment="1">
      <alignment vertical="center" shrinkToFit="1"/>
    </xf>
    <xf numFmtId="0" fontId="80" fillId="0" borderId="4" xfId="21" applyBorder="1" applyAlignment="1">
      <alignment vertical="center" shrinkToFit="1"/>
    </xf>
    <xf numFmtId="0" fontId="80" fillId="0" borderId="4" xfId="21" applyBorder="1" applyAlignment="1"/>
    <xf numFmtId="176" fontId="80" fillId="0" borderId="204" xfId="21" applyNumberFormat="1" applyBorder="1" applyAlignment="1">
      <alignment vertical="center" shrinkToFit="1"/>
    </xf>
    <xf numFmtId="176" fontId="80" fillId="0" borderId="195" xfId="21" applyNumberFormat="1" applyBorder="1" applyAlignment="1">
      <alignment vertical="center" shrinkToFit="1"/>
    </xf>
    <xf numFmtId="176" fontId="80" fillId="0" borderId="202" xfId="21" applyNumberFormat="1" applyBorder="1" applyAlignment="1">
      <alignment vertical="center" shrinkToFit="1"/>
    </xf>
    <xf numFmtId="176" fontId="80" fillId="0" borderId="210" xfId="21" applyNumberFormat="1" applyBorder="1" applyAlignment="1">
      <alignment shrinkToFit="1"/>
    </xf>
    <xf numFmtId="0" fontId="80" fillId="0" borderId="204" xfId="21" applyBorder="1">
      <alignment vertical="center"/>
    </xf>
    <xf numFmtId="0" fontId="80" fillId="0" borderId="195" xfId="21" applyBorder="1">
      <alignment vertical="center"/>
    </xf>
    <xf numFmtId="0" fontId="80" fillId="0" borderId="202" xfId="21" applyBorder="1" applyAlignment="1"/>
    <xf numFmtId="176" fontId="80" fillId="0" borderId="209" xfId="21" applyNumberFormat="1" applyBorder="1" applyAlignment="1">
      <alignment vertical="center" shrinkToFit="1"/>
    </xf>
    <xf numFmtId="176" fontId="80" fillId="0" borderId="208" xfId="21" applyNumberFormat="1" applyBorder="1" applyAlignment="1">
      <alignment vertical="center" shrinkToFit="1"/>
    </xf>
    <xf numFmtId="176" fontId="80" fillId="0" borderId="185" xfId="21" applyNumberFormat="1" applyBorder="1" applyAlignment="1">
      <alignment vertical="center" shrinkToFit="1"/>
    </xf>
    <xf numFmtId="176" fontId="80" fillId="0" borderId="207" xfId="21" applyNumberFormat="1" applyBorder="1" applyAlignment="1">
      <alignment shrinkToFit="1"/>
    </xf>
    <xf numFmtId="0" fontId="80" fillId="0" borderId="209" xfId="21" applyBorder="1">
      <alignment vertical="center"/>
    </xf>
    <xf numFmtId="0" fontId="80" fillId="0" borderId="208" xfId="21" applyBorder="1">
      <alignment vertical="center"/>
    </xf>
    <xf numFmtId="0" fontId="80" fillId="0" borderId="185" xfId="21" applyBorder="1" applyAlignment="1"/>
    <xf numFmtId="176" fontId="80" fillId="0" borderId="185" xfId="21" applyNumberFormat="1" applyBorder="1" applyAlignment="1">
      <alignment shrinkToFit="1"/>
    </xf>
    <xf numFmtId="176" fontId="80" fillId="0" borderId="200" xfId="21" applyNumberFormat="1" applyBorder="1" applyAlignment="1">
      <alignment vertical="center" shrinkToFit="1"/>
    </xf>
    <xf numFmtId="176" fontId="80" fillId="0" borderId="206" xfId="21" applyNumberFormat="1" applyBorder="1" applyAlignment="1">
      <alignment vertical="center" shrinkToFit="1"/>
    </xf>
    <xf numFmtId="176" fontId="80" fillId="0" borderId="198" xfId="21" applyNumberFormat="1" applyBorder="1" applyAlignment="1">
      <alignment vertical="center" shrinkToFit="1"/>
    </xf>
    <xf numFmtId="176" fontId="80" fillId="0" borderId="205" xfId="21" applyNumberFormat="1" applyBorder="1" applyAlignment="1">
      <alignment shrinkToFit="1"/>
    </xf>
    <xf numFmtId="0" fontId="80" fillId="0" borderId="200" xfId="21" applyBorder="1">
      <alignment vertical="center"/>
    </xf>
    <xf numFmtId="0" fontId="80" fillId="0" borderId="206" xfId="21" applyBorder="1">
      <alignment vertical="center"/>
    </xf>
    <xf numFmtId="0" fontId="80" fillId="0" borderId="198" xfId="21" applyBorder="1" applyAlignment="1"/>
    <xf numFmtId="176" fontId="80" fillId="0" borderId="197" xfId="21" applyNumberFormat="1" applyBorder="1" applyAlignment="1">
      <alignment vertical="center" shrinkToFit="1"/>
    </xf>
    <xf numFmtId="176" fontId="80" fillId="0" borderId="189" xfId="21" applyNumberFormat="1" applyBorder="1" applyAlignment="1">
      <alignment vertical="center" shrinkToFit="1"/>
    </xf>
    <xf numFmtId="176" fontId="80" fillId="0" borderId="12" xfId="21" applyNumberFormat="1" applyBorder="1" applyAlignment="1">
      <alignment vertical="center" shrinkToFit="1"/>
    </xf>
    <xf numFmtId="176" fontId="80" fillId="0" borderId="173" xfId="21" applyNumberFormat="1" applyBorder="1" applyAlignment="1">
      <alignment shrinkToFit="1"/>
    </xf>
    <xf numFmtId="0" fontId="72" fillId="0" borderId="197" xfId="21" applyFont="1" applyBorder="1" applyAlignment="1">
      <alignment shrinkToFit="1"/>
    </xf>
    <xf numFmtId="0" fontId="72" fillId="0" borderId="189" xfId="21" applyFont="1" applyBorder="1" applyAlignment="1">
      <alignment shrinkToFit="1"/>
    </xf>
    <xf numFmtId="0" fontId="7" fillId="0" borderId="203" xfId="21" applyFont="1" applyFill="1" applyBorder="1" applyAlignment="1">
      <alignment horizontal="center" vertical="center"/>
    </xf>
    <xf numFmtId="0" fontId="7" fillId="0" borderId="91" xfId="21" applyFont="1" applyFill="1" applyBorder="1" applyAlignment="1">
      <alignment horizontal="center" vertical="center"/>
    </xf>
    <xf numFmtId="0" fontId="7" fillId="0" borderId="189" xfId="21" applyFont="1" applyFill="1" applyBorder="1" applyAlignment="1">
      <alignment horizontal="center" vertical="center"/>
    </xf>
    <xf numFmtId="0" fontId="80" fillId="0" borderId="8" xfId="21" applyFont="1" applyBorder="1" applyAlignment="1">
      <alignment vertical="top"/>
    </xf>
    <xf numFmtId="0" fontId="7" fillId="0" borderId="79" xfId="21" applyFont="1" applyFill="1" applyBorder="1" applyAlignment="1">
      <alignment horizontal="center" vertical="center"/>
    </xf>
    <xf numFmtId="0" fontId="80" fillId="0" borderId="191" xfId="21" applyFill="1" applyBorder="1" applyAlignment="1"/>
    <xf numFmtId="0" fontId="80" fillId="0" borderId="0" xfId="21" applyBorder="1" applyAlignment="1">
      <alignment shrinkToFit="1"/>
    </xf>
    <xf numFmtId="0" fontId="80" fillId="0" borderId="9" xfId="21" applyBorder="1" applyAlignment="1"/>
    <xf numFmtId="0" fontId="80" fillId="0" borderId="4" xfId="21" applyBorder="1" applyAlignment="1">
      <alignment horizontal="right" vertical="center"/>
    </xf>
    <xf numFmtId="0" fontId="80" fillId="0" borderId="104" xfId="21" applyBorder="1">
      <alignment vertical="center"/>
    </xf>
    <xf numFmtId="0" fontId="80" fillId="0" borderId="189" xfId="21" applyBorder="1" applyAlignment="1">
      <alignment horizontal="center" vertical="center" shrinkToFit="1"/>
    </xf>
    <xf numFmtId="0" fontId="80" fillId="0" borderId="173" xfId="21" applyBorder="1" applyAlignment="1">
      <alignment horizontal="center" vertical="center"/>
    </xf>
    <xf numFmtId="0" fontId="80" fillId="0" borderId="194" xfId="21" applyBorder="1" applyAlignment="1">
      <alignment horizontal="center" vertical="center" shrinkToFit="1"/>
    </xf>
    <xf numFmtId="0" fontId="80" fillId="0" borderId="191" xfId="21" applyBorder="1" applyAlignment="1">
      <alignment horizontal="center" vertical="center"/>
    </xf>
    <xf numFmtId="0" fontId="80" fillId="0" borderId="173" xfId="21" applyBorder="1" applyAlignment="1"/>
    <xf numFmtId="0" fontId="80" fillId="0" borderId="0" xfId="21" applyBorder="1" applyAlignment="1">
      <alignment horizontal="right" vertical="center"/>
    </xf>
    <xf numFmtId="0" fontId="80" fillId="0" borderId="7" xfId="21" applyBorder="1" applyAlignment="1"/>
    <xf numFmtId="0" fontId="90" fillId="0" borderId="0" xfId="21" applyNumberFormat="1" applyFont="1" applyAlignment="1">
      <alignment horizontal="center"/>
    </xf>
    <xf numFmtId="188" fontId="90" fillId="0" borderId="262" xfId="21" applyNumberFormat="1" applyFont="1" applyBorder="1" applyAlignment="1">
      <alignment horizontal="center" vertical="center"/>
    </xf>
    <xf numFmtId="0" fontId="90" fillId="0" borderId="0" xfId="21" applyNumberFormat="1" applyFont="1" applyBorder="1" applyAlignment="1">
      <alignment horizontal="center" vertical="center"/>
    </xf>
    <xf numFmtId="0" fontId="90" fillId="0" borderId="0" xfId="21" applyFont="1" applyBorder="1" applyAlignment="1">
      <alignment vertical="center" textRotation="255" shrinkToFit="1"/>
    </xf>
    <xf numFmtId="0" fontId="90" fillId="0" borderId="0" xfId="21" applyFont="1" applyBorder="1" applyAlignment="1">
      <alignment vertical="center" shrinkToFit="1"/>
    </xf>
    <xf numFmtId="188" fontId="90" fillId="0" borderId="263" xfId="21" applyNumberFormat="1" applyFont="1" applyBorder="1" applyAlignment="1">
      <alignment horizontal="center" vertical="center"/>
    </xf>
    <xf numFmtId="188" fontId="90" fillId="0" borderId="267" xfId="21" applyNumberFormat="1" applyFont="1" applyBorder="1" applyAlignment="1">
      <alignment horizontal="center" vertical="center"/>
    </xf>
    <xf numFmtId="188" fontId="90" fillId="0" borderId="270" xfId="21" applyNumberFormat="1" applyFont="1" applyBorder="1" applyAlignment="1">
      <alignment horizontal="center" vertical="center"/>
    </xf>
    <xf numFmtId="188" fontId="90" fillId="42" borderId="279" xfId="21" applyNumberFormat="1" applyFont="1" applyFill="1" applyBorder="1" applyAlignment="1">
      <alignment horizontal="center" vertical="center"/>
    </xf>
    <xf numFmtId="0" fontId="90" fillId="41" borderId="280" xfId="21" applyFont="1" applyFill="1" applyBorder="1" applyAlignment="1">
      <alignment vertical="center" shrinkToFit="1"/>
    </xf>
    <xf numFmtId="0" fontId="90" fillId="0" borderId="140" xfId="21" applyFont="1" applyBorder="1" applyAlignment="1"/>
    <xf numFmtId="0" fontId="90" fillId="0" borderId="1" xfId="21" applyFont="1" applyBorder="1" applyAlignment="1"/>
    <xf numFmtId="0" fontId="90" fillId="0" borderId="53" xfId="21" applyFont="1" applyBorder="1" applyAlignment="1">
      <alignment vertical="center" textRotation="255"/>
    </xf>
    <xf numFmtId="0" fontId="90" fillId="0" borderId="7" xfId="21" applyFont="1" applyBorder="1" applyAlignment="1">
      <alignment vertical="center"/>
    </xf>
    <xf numFmtId="0" fontId="90" fillId="0" borderId="0" xfId="21" applyFont="1" applyBorder="1" applyAlignment="1">
      <alignment vertical="center"/>
    </xf>
    <xf numFmtId="0" fontId="90" fillId="0" borderId="52" xfId="21" applyFont="1" applyBorder="1" applyAlignment="1">
      <alignment vertical="center" textRotation="255"/>
    </xf>
    <xf numFmtId="0" fontId="90" fillId="41" borderId="286" xfId="21" applyFont="1" applyFill="1" applyBorder="1" applyAlignment="1">
      <alignment vertical="center" shrinkToFit="1"/>
    </xf>
    <xf numFmtId="0" fontId="90" fillId="0" borderId="52" xfId="21" applyFont="1" applyBorder="1" applyAlignment="1">
      <alignment vertical="center" textRotation="255" wrapText="1"/>
    </xf>
    <xf numFmtId="188" fontId="90" fillId="0" borderId="274" xfId="21" applyNumberFormat="1" applyFont="1" applyBorder="1" applyAlignment="1">
      <alignment horizontal="center" vertical="center"/>
    </xf>
    <xf numFmtId="0" fontId="90" fillId="42" borderId="279" xfId="21" applyNumberFormat="1" applyFont="1" applyFill="1" applyBorder="1" applyAlignment="1">
      <alignment horizontal="center" vertical="center"/>
    </xf>
    <xf numFmtId="0" fontId="90" fillId="41" borderId="300" xfId="21" applyFont="1" applyFill="1" applyBorder="1" applyAlignment="1">
      <alignment vertical="center" shrinkToFit="1"/>
    </xf>
    <xf numFmtId="0" fontId="90" fillId="0" borderId="6" xfId="21" applyFont="1" applyBorder="1" applyAlignment="1">
      <alignment vertical="center"/>
    </xf>
    <xf numFmtId="0" fontId="90" fillId="0" borderId="59" xfId="21" applyFont="1" applyBorder="1" applyAlignment="1"/>
    <xf numFmtId="0" fontId="90" fillId="0" borderId="33" xfId="21" applyFont="1" applyBorder="1" applyAlignment="1">
      <alignment horizontal="center" vertical="center"/>
    </xf>
    <xf numFmtId="0" fontId="90" fillId="0" borderId="315" xfId="21" applyFont="1" applyBorder="1" applyAlignment="1">
      <alignment horizontal="center" vertical="center"/>
    </xf>
    <xf numFmtId="0" fontId="90" fillId="0" borderId="46" xfId="21" applyFont="1" applyBorder="1" applyAlignment="1">
      <alignment horizontal="center" vertical="center"/>
    </xf>
    <xf numFmtId="0" fontId="90" fillId="0" borderId="316" xfId="21" applyFont="1" applyBorder="1" applyAlignment="1">
      <alignment horizontal="center" vertical="center"/>
    </xf>
    <xf numFmtId="0" fontId="90" fillId="0" borderId="317" xfId="21" applyFont="1" applyBorder="1" applyAlignment="1">
      <alignment horizontal="center" vertical="center"/>
    </xf>
    <xf numFmtId="0" fontId="90" fillId="0" borderId="58" xfId="21" applyFont="1" applyBorder="1" applyAlignment="1">
      <alignment horizontal="center"/>
    </xf>
    <xf numFmtId="0" fontId="90" fillId="0" borderId="57" xfId="21" applyFont="1" applyBorder="1" applyAlignment="1"/>
    <xf numFmtId="0" fontId="80" fillId="0" borderId="11" xfId="21" applyBorder="1" applyAlignment="1"/>
    <xf numFmtId="0" fontId="174" fillId="0" borderId="0" xfId="21" applyFont="1" applyFill="1" applyAlignment="1">
      <alignment vertical="center" wrapText="1"/>
    </xf>
    <xf numFmtId="0" fontId="34" fillId="0" borderId="13" xfId="0" applyNumberFormat="1" applyFont="1" applyBorder="1" applyAlignment="1">
      <alignment horizontal="left" vertical="center" wrapText="1"/>
    </xf>
    <xf numFmtId="0" fontId="96" fillId="0" borderId="0" xfId="21" applyFont="1" applyBorder="1" applyAlignment="1">
      <alignment horizontal="left" vertical="center"/>
    </xf>
    <xf numFmtId="0" fontId="52" fillId="0" borderId="0" xfId="0" applyFont="1" applyAlignment="1">
      <alignment horizontal="center" vertical="center"/>
    </xf>
    <xf numFmtId="0" fontId="92" fillId="0" borderId="0" xfId="21" applyFont="1" applyBorder="1" applyAlignment="1">
      <alignment horizontal="right" vertical="center"/>
    </xf>
    <xf numFmtId="0" fontId="92" fillId="0" borderId="0" xfId="21" applyFont="1" applyBorder="1" applyAlignment="1">
      <alignment horizontal="center" vertical="center"/>
    </xf>
    <xf numFmtId="0" fontId="142" fillId="0" borderId="0" xfId="21" applyFont="1" applyBorder="1" applyAlignment="1">
      <alignment vertical="center" wrapText="1" shrinkToFit="1"/>
    </xf>
    <xf numFmtId="0" fontId="3" fillId="0" borderId="0" xfId="21" applyFont="1" applyBorder="1" applyAlignment="1"/>
    <xf numFmtId="0" fontId="194" fillId="0" borderId="0" xfId="21" applyFont="1" applyBorder="1" applyAlignment="1">
      <alignment horizontal="left" vertical="center"/>
    </xf>
    <xf numFmtId="0" fontId="3" fillId="0" borderId="0" xfId="21" applyFont="1" applyBorder="1" applyAlignment="1">
      <alignment vertical="top"/>
    </xf>
    <xf numFmtId="0" fontId="37" fillId="0" borderId="33" xfId="0" applyFont="1" applyBorder="1" applyAlignment="1">
      <alignment horizontal="right" vertical="center" wrapText="1"/>
    </xf>
    <xf numFmtId="176" fontId="37" fillId="0" borderId="33" xfId="0" applyNumberFormat="1" applyFont="1" applyBorder="1" applyAlignment="1">
      <alignment vertical="center" wrapText="1"/>
    </xf>
    <xf numFmtId="0" fontId="3" fillId="0" borderId="0" xfId="21" applyFont="1" applyBorder="1">
      <alignment vertical="center"/>
    </xf>
    <xf numFmtId="0" fontId="9" fillId="0" borderId="0" xfId="21" applyFont="1" applyAlignment="1">
      <alignment horizontal="center" vertical="center"/>
    </xf>
    <xf numFmtId="0" fontId="3" fillId="0" borderId="0" xfId="21" applyFont="1" applyAlignment="1"/>
    <xf numFmtId="176" fontId="3" fillId="0" borderId="0" xfId="21" applyNumberFormat="1" applyFont="1" applyBorder="1" applyAlignment="1">
      <alignment horizontal="right" vertical="center"/>
    </xf>
    <xf numFmtId="0" fontId="36" fillId="0" borderId="11" xfId="21" applyFont="1" applyBorder="1" applyAlignment="1">
      <alignment vertical="top" wrapText="1"/>
    </xf>
    <xf numFmtId="0" fontId="37" fillId="0" borderId="39" xfId="0" applyFont="1" applyBorder="1" applyAlignment="1">
      <alignment horizontal="right" vertical="center" wrapText="1"/>
    </xf>
    <xf numFmtId="176" fontId="143" fillId="0" borderId="33" xfId="21" applyNumberFormat="1" applyFont="1" applyBorder="1" applyAlignment="1">
      <alignment horizontal="left" vertical="center"/>
    </xf>
    <xf numFmtId="176" fontId="143" fillId="0" borderId="33" xfId="21" applyNumberFormat="1" applyFont="1" applyBorder="1" applyAlignment="1">
      <alignment vertical="center"/>
    </xf>
    <xf numFmtId="176" fontId="143" fillId="0" borderId="33" xfId="21" applyNumberFormat="1" applyFont="1" applyBorder="1" applyAlignment="1">
      <alignment horizontal="right" vertical="center"/>
    </xf>
    <xf numFmtId="176" fontId="143" fillId="0" borderId="33" xfId="21" applyNumberFormat="1" applyFont="1" applyBorder="1" applyAlignment="1">
      <alignment horizontal="center" vertical="center"/>
    </xf>
    <xf numFmtId="176" fontId="143" fillId="0" borderId="35" xfId="21" applyNumberFormat="1" applyFont="1" applyBorder="1" applyAlignment="1">
      <alignment vertical="center"/>
    </xf>
    <xf numFmtId="176" fontId="37" fillId="0" borderId="33" xfId="0" applyNumberFormat="1" applyFont="1" applyBorder="1" applyAlignment="1">
      <alignment horizontal="left" vertical="center" wrapText="1"/>
    </xf>
    <xf numFmtId="0" fontId="108" fillId="0" borderId="0" xfId="21" applyFont="1" applyBorder="1" applyAlignment="1">
      <alignment horizontal="left" vertical="center" shrinkToFit="1"/>
    </xf>
    <xf numFmtId="0" fontId="219" fillId="0" borderId="30" xfId="21" applyFont="1" applyBorder="1" applyAlignment="1">
      <alignment horizontal="center" vertical="center"/>
    </xf>
    <xf numFmtId="0" fontId="219" fillId="0" borderId="21" xfId="21" applyFont="1" applyBorder="1" applyAlignment="1">
      <alignment horizontal="center" vertical="center"/>
    </xf>
    <xf numFmtId="0" fontId="177" fillId="0" borderId="26" xfId="21" applyFont="1" applyFill="1" applyBorder="1" applyAlignment="1">
      <alignment horizontal="center" vertical="center"/>
    </xf>
    <xf numFmtId="0" fontId="177" fillId="0" borderId="328" xfId="21" applyFont="1" applyFill="1" applyBorder="1" applyAlignment="1">
      <alignment horizontal="center" vertical="center"/>
    </xf>
    <xf numFmtId="0" fontId="229" fillId="0" borderId="0" xfId="21" applyFont="1" applyBorder="1" applyAlignment="1">
      <alignment horizontal="center" vertical="center"/>
    </xf>
    <xf numFmtId="176" fontId="134" fillId="0" borderId="0" xfId="21" applyNumberFormat="1" applyFont="1" applyBorder="1" applyAlignment="1">
      <alignment horizontal="center" vertical="center"/>
    </xf>
    <xf numFmtId="176" fontId="134" fillId="0" borderId="0" xfId="21" applyNumberFormat="1" applyFont="1" applyFill="1" applyBorder="1" applyAlignment="1">
      <alignment horizontal="center" vertical="center"/>
    </xf>
    <xf numFmtId="176" fontId="231" fillId="0" borderId="0" xfId="21" applyNumberFormat="1" applyFont="1" applyFill="1" applyBorder="1" applyAlignment="1">
      <alignment horizontal="center" vertical="center"/>
    </xf>
    <xf numFmtId="176" fontId="232" fillId="11" borderId="0" xfId="21" applyNumberFormat="1" applyFont="1" applyFill="1" applyBorder="1" applyAlignment="1">
      <alignment horizontal="center" vertical="center" shrinkToFit="1"/>
    </xf>
    <xf numFmtId="176" fontId="231" fillId="0" borderId="0" xfId="21" applyNumberFormat="1" applyFont="1" applyBorder="1" applyAlignment="1">
      <alignment horizontal="center" vertical="center"/>
    </xf>
    <xf numFmtId="176" fontId="34" fillId="0" borderId="34" xfId="0" applyNumberFormat="1" applyFont="1" applyBorder="1" applyAlignment="1">
      <alignment horizontal="right" vertical="center" wrapText="1"/>
    </xf>
    <xf numFmtId="176" fontId="34" fillId="0" borderId="34" xfId="0" applyNumberFormat="1" applyFont="1" applyBorder="1" applyAlignment="1">
      <alignment horizontal="center" vertical="center" wrapText="1"/>
    </xf>
    <xf numFmtId="176" fontId="37" fillId="0" borderId="33" xfId="0" applyNumberFormat="1" applyFont="1" applyBorder="1" applyAlignment="1">
      <alignment horizontal="center" vertical="center" wrapText="1"/>
    </xf>
    <xf numFmtId="49" fontId="9" fillId="2" borderId="22" xfId="0" applyNumberFormat="1" applyFont="1" applyFill="1" applyBorder="1" applyAlignment="1" applyProtection="1">
      <alignment horizontal="center" vertical="center"/>
      <protection locked="0"/>
    </xf>
    <xf numFmtId="0" fontId="53" fillId="0" borderId="11" xfId="0" applyFont="1" applyFill="1" applyBorder="1" applyAlignment="1">
      <alignment horizontal="left" vertical="center" wrapText="1"/>
    </xf>
    <xf numFmtId="0" fontId="162" fillId="0" borderId="0" xfId="0" applyFont="1" applyBorder="1" applyAlignment="1">
      <alignment horizontal="left" vertical="center" wrapText="1"/>
    </xf>
    <xf numFmtId="0" fontId="200" fillId="0" borderId="0" xfId="21" applyFont="1" applyFill="1" applyBorder="1" applyAlignment="1">
      <alignment horizontal="left" vertical="center" wrapText="1"/>
    </xf>
    <xf numFmtId="0" fontId="38" fillId="0" borderId="22" xfId="0" applyFont="1" applyBorder="1" applyAlignment="1" applyProtection="1">
      <alignment horizontal="left" vertical="center" wrapText="1"/>
    </xf>
    <xf numFmtId="0" fontId="159" fillId="0" borderId="0" xfId="0" applyFont="1" applyFill="1" applyBorder="1" applyAlignment="1">
      <alignment horizontal="left" vertical="center" wrapText="1"/>
    </xf>
    <xf numFmtId="0" fontId="64" fillId="0" borderId="0" xfId="21" applyFont="1" applyBorder="1" applyAlignment="1">
      <alignment horizontal="center" vertical="center" wrapText="1"/>
    </xf>
    <xf numFmtId="183" fontId="34" fillId="0" borderId="34" xfId="0" applyNumberFormat="1" applyFont="1" applyBorder="1" applyAlignment="1">
      <alignment horizontal="right" vertical="center" wrapText="1"/>
    </xf>
    <xf numFmtId="184" fontId="34" fillId="0" borderId="34" xfId="0" applyNumberFormat="1" applyFont="1" applyBorder="1" applyAlignment="1">
      <alignment horizontal="right" vertical="center" wrapText="1"/>
    </xf>
    <xf numFmtId="0" fontId="238" fillId="0" borderId="0" xfId="0" applyFont="1" applyBorder="1" applyAlignment="1">
      <alignment horizontal="left" vertical="center" wrapText="1"/>
    </xf>
    <xf numFmtId="0" fontId="213" fillId="35" borderId="18" xfId="0" applyFont="1" applyFill="1" applyBorder="1" applyAlignment="1">
      <alignment horizontal="center" vertical="center"/>
    </xf>
    <xf numFmtId="0" fontId="213" fillId="35" borderId="0" xfId="0" applyFont="1" applyFill="1" applyBorder="1" applyAlignment="1">
      <alignment horizontal="center" vertical="center"/>
    </xf>
    <xf numFmtId="176" fontId="32" fillId="0" borderId="11" xfId="0" applyNumberFormat="1" applyFont="1" applyBorder="1" applyAlignment="1" applyProtection="1">
      <alignment horizontal="right" vertical="center" wrapText="1"/>
    </xf>
    <xf numFmtId="176" fontId="32" fillId="0" borderId="11" xfId="0" applyNumberFormat="1" applyFont="1" applyBorder="1" applyAlignment="1" applyProtection="1">
      <alignment horizontal="center" vertical="center" wrapText="1"/>
    </xf>
    <xf numFmtId="176" fontId="32" fillId="0" borderId="11" xfId="0" applyNumberFormat="1" applyFont="1" applyBorder="1" applyAlignment="1" applyProtection="1">
      <alignment vertical="center" wrapText="1"/>
    </xf>
    <xf numFmtId="0" fontId="192" fillId="0" borderId="11" xfId="0" applyFont="1" applyFill="1" applyBorder="1" applyAlignment="1" applyProtection="1">
      <alignment horizontal="right" vertical="center"/>
    </xf>
    <xf numFmtId="176" fontId="35" fillId="0" borderId="11" xfId="0" applyNumberFormat="1" applyFont="1" applyBorder="1" applyAlignment="1" applyProtection="1">
      <alignment horizontal="left" vertical="center" wrapText="1"/>
    </xf>
    <xf numFmtId="183" fontId="3" fillId="0" borderId="11" xfId="0" applyNumberFormat="1" applyFont="1" applyBorder="1" applyAlignment="1" applyProtection="1">
      <alignment horizontal="center" vertical="center"/>
    </xf>
    <xf numFmtId="184" fontId="3" fillId="0" borderId="11" xfId="0" applyNumberFormat="1" applyFont="1" applyBorder="1" applyAlignment="1" applyProtection="1">
      <alignment horizontal="center" vertical="center"/>
    </xf>
    <xf numFmtId="176" fontId="3" fillId="0" borderId="11" xfId="0" applyNumberFormat="1" applyFont="1" applyBorder="1" applyAlignment="1" applyProtection="1">
      <alignment horizontal="center" vertical="center"/>
    </xf>
    <xf numFmtId="0" fontId="116" fillId="30" borderId="0" xfId="1" applyFont="1" applyFill="1" applyBorder="1" applyAlignment="1">
      <alignment vertical="center"/>
    </xf>
    <xf numFmtId="0" fontId="116" fillId="30" borderId="19" xfId="1" applyFont="1" applyFill="1" applyBorder="1" applyAlignment="1">
      <alignment vertical="center"/>
    </xf>
    <xf numFmtId="0" fontId="240" fillId="26" borderId="19" xfId="0" applyFont="1" applyFill="1" applyBorder="1" applyAlignment="1">
      <alignment horizontal="center" vertical="center"/>
    </xf>
    <xf numFmtId="0" fontId="240" fillId="26" borderId="0" xfId="0" applyFont="1" applyFill="1" applyAlignment="1">
      <alignment horizontal="center" vertical="center"/>
    </xf>
    <xf numFmtId="0" fontId="241" fillId="0" borderId="0" xfId="0" applyFont="1" applyFill="1" applyAlignment="1">
      <alignment vertical="center"/>
    </xf>
    <xf numFmtId="0" fontId="240" fillId="26" borderId="19" xfId="0" applyFont="1" applyFill="1" applyBorder="1" applyAlignment="1">
      <alignment horizontal="center" vertical="center"/>
    </xf>
    <xf numFmtId="0" fontId="241" fillId="0" borderId="0" xfId="0" applyFont="1" applyBorder="1">
      <alignment vertical="center"/>
    </xf>
    <xf numFmtId="0" fontId="242" fillId="0" borderId="0" xfId="0" applyFont="1">
      <alignment vertical="center"/>
    </xf>
    <xf numFmtId="49" fontId="96" fillId="2" borderId="2" xfId="0" applyNumberFormat="1" applyFont="1" applyFill="1" applyBorder="1" applyAlignment="1" applyProtection="1">
      <alignment horizontal="center" vertical="center" wrapText="1"/>
    </xf>
    <xf numFmtId="49" fontId="96" fillId="3" borderId="12" xfId="0" applyNumberFormat="1" applyFont="1" applyFill="1" applyBorder="1" applyAlignment="1" applyProtection="1">
      <alignment horizontal="center" vertical="center" wrapText="1"/>
    </xf>
    <xf numFmtId="49" fontId="0" fillId="3" borderId="13" xfId="0" applyNumberFormat="1" applyFont="1" applyFill="1" applyBorder="1" applyAlignment="1" applyProtection="1">
      <alignment horizontal="left" vertical="center" wrapText="1"/>
    </xf>
    <xf numFmtId="49" fontId="0" fillId="3" borderId="14" xfId="0" applyNumberFormat="1" applyFont="1" applyFill="1" applyBorder="1" applyAlignment="1" applyProtection="1">
      <alignment horizontal="left" vertical="center" wrapText="1"/>
    </xf>
    <xf numFmtId="190" fontId="8" fillId="0" borderId="0" xfId="0" applyNumberFormat="1" applyFont="1" applyFill="1" applyBorder="1" applyAlignment="1">
      <alignment vertical="center"/>
    </xf>
    <xf numFmtId="0" fontId="42" fillId="0" borderId="22" xfId="0" applyFont="1" applyBorder="1" applyAlignment="1">
      <alignment vertical="center"/>
    </xf>
    <xf numFmtId="0" fontId="42" fillId="0" borderId="22" xfId="0" applyFont="1" applyFill="1" applyBorder="1" applyAlignment="1">
      <alignment vertical="center"/>
    </xf>
    <xf numFmtId="0" fontId="239" fillId="0" borderId="18" xfId="21" applyFont="1" applyBorder="1">
      <alignment vertical="center"/>
    </xf>
    <xf numFmtId="0" fontId="238" fillId="0" borderId="0" xfId="0" applyFont="1" applyBorder="1" applyAlignment="1">
      <alignment horizontal="left" wrapText="1"/>
    </xf>
    <xf numFmtId="176" fontId="37" fillId="47" borderId="22" xfId="0" applyNumberFormat="1" applyFont="1" applyFill="1" applyBorder="1" applyAlignment="1" applyProtection="1">
      <alignment horizontal="center" vertical="center" wrapText="1"/>
    </xf>
    <xf numFmtId="176" fontId="35" fillId="47" borderId="22" xfId="0" applyNumberFormat="1" applyFont="1" applyFill="1" applyBorder="1" applyAlignment="1" applyProtection="1">
      <alignment horizontal="right" vertical="center" wrapText="1"/>
    </xf>
    <xf numFmtId="176" fontId="37" fillId="47" borderId="22" xfId="0" applyNumberFormat="1" applyFont="1" applyFill="1" applyBorder="1" applyAlignment="1" applyProtection="1">
      <alignment horizontal="right" vertical="center" wrapText="1"/>
    </xf>
    <xf numFmtId="176" fontId="35" fillId="47" borderId="22" xfId="0" applyNumberFormat="1" applyFont="1" applyFill="1" applyBorder="1" applyAlignment="1" applyProtection="1">
      <alignment horizontal="center" vertical="center" wrapText="1"/>
    </xf>
    <xf numFmtId="176" fontId="37" fillId="47" borderId="22" xfId="0" applyNumberFormat="1" applyFont="1" applyFill="1" applyBorder="1" applyAlignment="1" applyProtection="1">
      <alignment horizontal="left" vertical="center" wrapText="1"/>
    </xf>
    <xf numFmtId="0" fontId="192" fillId="47" borderId="22" xfId="0" applyFont="1" applyFill="1" applyBorder="1" applyAlignment="1" applyProtection="1">
      <alignment horizontal="right" vertical="center"/>
    </xf>
    <xf numFmtId="183" fontId="8" fillId="47" borderId="22" xfId="0" applyNumberFormat="1" applyFont="1" applyFill="1" applyBorder="1" applyAlignment="1" applyProtection="1">
      <alignment horizontal="right" vertical="center"/>
    </xf>
    <xf numFmtId="184" fontId="8" fillId="47" borderId="22" xfId="0" applyNumberFormat="1" applyFont="1" applyFill="1" applyBorder="1" applyAlignment="1" applyProtection="1">
      <alignment horizontal="right" vertical="center"/>
    </xf>
    <xf numFmtId="176" fontId="8" fillId="47" borderId="22" xfId="0" applyNumberFormat="1" applyFont="1" applyFill="1" applyBorder="1" applyAlignment="1" applyProtection="1">
      <alignment horizontal="center" vertical="center"/>
    </xf>
    <xf numFmtId="0" fontId="185" fillId="37" borderId="0" xfId="0" applyFont="1" applyFill="1" applyBorder="1" applyAlignment="1">
      <alignment horizontal="left" vertical="center" wrapText="1"/>
    </xf>
    <xf numFmtId="0" fontId="177" fillId="0" borderId="345" xfId="21" applyFont="1" applyFill="1" applyBorder="1" applyAlignment="1">
      <alignment horizontal="center" vertical="center"/>
    </xf>
    <xf numFmtId="0" fontId="177" fillId="0" borderId="346" xfId="21" applyFont="1" applyFill="1" applyBorder="1" applyAlignment="1">
      <alignment horizontal="center" vertical="center"/>
    </xf>
    <xf numFmtId="0" fontId="240" fillId="26" borderId="19" xfId="0" applyFont="1" applyFill="1" applyBorder="1" applyAlignment="1">
      <alignment horizontal="center" vertical="center"/>
    </xf>
    <xf numFmtId="176" fontId="72" fillId="0" borderId="13" xfId="21" applyNumberFormat="1" applyFont="1" applyBorder="1" applyAlignment="1">
      <alignment horizontal="center" vertical="center"/>
    </xf>
    <xf numFmtId="176" fontId="72" fillId="0" borderId="13" xfId="21" applyNumberFormat="1" applyFont="1" applyBorder="1" applyAlignment="1">
      <alignment horizontal="left" vertical="center"/>
    </xf>
    <xf numFmtId="0" fontId="120" fillId="0" borderId="62" xfId="21" applyFont="1" applyBorder="1" applyAlignment="1">
      <alignment horizontal="center" vertical="distributed" textRotation="255" shrinkToFit="1"/>
    </xf>
    <xf numFmtId="176" fontId="34" fillId="0" borderId="34" xfId="0" applyNumberFormat="1" applyFont="1" applyBorder="1" applyAlignment="1">
      <alignment horizontal="left" vertical="center" wrapText="1"/>
    </xf>
    <xf numFmtId="0" fontId="259" fillId="0" borderId="0" xfId="21" applyFont="1">
      <alignment vertical="center"/>
    </xf>
    <xf numFmtId="0" fontId="260" fillId="20" borderId="88" xfId="21" applyFont="1" applyFill="1" applyBorder="1" applyAlignment="1">
      <alignment horizontal="center" vertical="center" shrinkToFit="1"/>
    </xf>
    <xf numFmtId="0" fontId="260" fillId="20" borderId="337" xfId="21" applyFont="1" applyFill="1" applyBorder="1" applyAlignment="1">
      <alignment horizontal="center" vertical="center" shrinkToFit="1"/>
    </xf>
    <xf numFmtId="0" fontId="263" fillId="0" borderId="0" xfId="21" applyFont="1" applyFill="1" applyAlignment="1">
      <alignment vertical="center" wrapText="1"/>
    </xf>
    <xf numFmtId="0" fontId="255" fillId="37" borderId="0" xfId="0" applyFont="1" applyFill="1" applyBorder="1" applyAlignment="1">
      <alignment horizontal="left" vertical="center" wrapText="1"/>
    </xf>
    <xf numFmtId="0" fontId="185" fillId="37" borderId="0" xfId="0" applyFont="1" applyFill="1" applyBorder="1" applyAlignment="1">
      <alignment vertical="center" wrapText="1"/>
    </xf>
    <xf numFmtId="0" fontId="188" fillId="37" borderId="0" xfId="0" applyFont="1" applyFill="1" applyBorder="1" applyAlignment="1">
      <alignment vertical="center" wrapText="1"/>
    </xf>
    <xf numFmtId="0" fontId="80" fillId="0" borderId="332" xfId="21" applyBorder="1">
      <alignment vertical="center"/>
    </xf>
    <xf numFmtId="0" fontId="80" fillId="0" borderId="11" xfId="21" applyBorder="1">
      <alignment vertical="center"/>
    </xf>
    <xf numFmtId="0" fontId="269" fillId="0" borderId="0" xfId="21" applyFont="1">
      <alignment vertical="center"/>
    </xf>
    <xf numFmtId="0" fontId="185" fillId="37" borderId="0" xfId="0" applyFont="1" applyFill="1" applyBorder="1" applyAlignment="1">
      <alignment horizontal="left" vertical="center" wrapText="1"/>
    </xf>
    <xf numFmtId="0" fontId="268" fillId="0" borderId="0" xfId="21" applyFont="1" applyFill="1" applyBorder="1" applyAlignment="1">
      <alignment vertical="center" wrapText="1"/>
    </xf>
    <xf numFmtId="0" fontId="270" fillId="0" borderId="0" xfId="21" applyFont="1" applyFill="1" applyBorder="1" applyAlignment="1">
      <alignment vertical="center" wrapText="1"/>
    </xf>
    <xf numFmtId="0" fontId="216" fillId="0" borderId="16" xfId="21" applyFont="1" applyFill="1" applyBorder="1" applyAlignment="1">
      <alignment horizontal="left" vertical="center" wrapText="1"/>
    </xf>
    <xf numFmtId="184" fontId="40" fillId="0" borderId="13" xfId="0" applyNumberFormat="1" applyFont="1" applyBorder="1" applyAlignment="1">
      <alignment horizontal="right" vertical="center" wrapText="1"/>
    </xf>
    <xf numFmtId="176" fontId="40" fillId="0" borderId="13" xfId="0" applyNumberFormat="1" applyFont="1" applyBorder="1" applyAlignment="1">
      <alignment horizontal="right" vertical="center" wrapText="1"/>
    </xf>
    <xf numFmtId="176" fontId="40" fillId="0" borderId="13" xfId="0" applyNumberFormat="1" applyFont="1" applyBorder="1" applyAlignment="1">
      <alignment horizontal="center" vertical="center" wrapText="1"/>
    </xf>
    <xf numFmtId="0" fontId="72" fillId="0" borderId="13" xfId="21" applyFont="1" applyBorder="1">
      <alignment vertical="center"/>
    </xf>
    <xf numFmtId="183" fontId="40" fillId="0" borderId="13" xfId="0" applyNumberFormat="1" applyFont="1" applyBorder="1" applyAlignment="1">
      <alignment horizontal="right" vertical="center" wrapText="1"/>
    </xf>
    <xf numFmtId="183" fontId="120" fillId="0" borderId="6" xfId="0" applyNumberFormat="1" applyFont="1" applyFill="1" applyBorder="1" applyAlignment="1" applyProtection="1">
      <alignment horizontal="center" vertical="center" shrinkToFit="1"/>
    </xf>
    <xf numFmtId="0" fontId="120" fillId="0" borderId="62" xfId="21" applyFont="1" applyFill="1" applyBorder="1" applyAlignment="1" applyProtection="1">
      <alignment horizontal="center" vertical="distributed" textRotation="255" shrinkToFit="1"/>
    </xf>
    <xf numFmtId="184" fontId="120" fillId="0" borderId="62" xfId="0" applyNumberFormat="1" applyFont="1" applyFill="1" applyBorder="1" applyAlignment="1" applyProtection="1">
      <alignment horizontal="center" vertical="center" shrinkToFit="1"/>
    </xf>
    <xf numFmtId="0" fontId="278" fillId="0" borderId="0" xfId="21" applyFont="1">
      <alignment vertical="center"/>
    </xf>
    <xf numFmtId="0" fontId="117" fillId="0" borderId="0" xfId="21" applyFont="1">
      <alignment vertical="center"/>
    </xf>
    <xf numFmtId="0" fontId="35" fillId="0" borderId="2" xfId="0" applyFont="1" applyFill="1" applyBorder="1" applyAlignment="1" applyProtection="1">
      <alignment horizontal="center" vertical="center"/>
    </xf>
    <xf numFmtId="0" fontId="35" fillId="0" borderId="366" xfId="0" applyFont="1" applyFill="1" applyBorder="1" applyAlignment="1" applyProtection="1">
      <alignment horizontal="center" vertical="center"/>
    </xf>
    <xf numFmtId="0" fontId="80" fillId="0" borderId="6" xfId="21" applyFill="1" applyBorder="1" applyProtection="1">
      <alignment vertical="center"/>
    </xf>
    <xf numFmtId="0" fontId="80" fillId="0" borderId="0" xfId="21" applyFill="1" applyBorder="1" applyProtection="1">
      <alignment vertical="center"/>
    </xf>
    <xf numFmtId="0" fontId="80" fillId="0" borderId="4" xfId="21" applyFill="1" applyBorder="1" applyProtection="1">
      <alignment vertical="center"/>
    </xf>
    <xf numFmtId="0" fontId="80" fillId="0" borderId="12" xfId="21" applyFill="1" applyBorder="1" applyProtection="1">
      <alignment vertical="center"/>
    </xf>
    <xf numFmtId="0" fontId="80" fillId="0" borderId="13" xfId="21" applyFill="1" applyBorder="1" applyProtection="1">
      <alignment vertical="center"/>
    </xf>
    <xf numFmtId="0" fontId="80" fillId="0" borderId="3" xfId="21" applyFill="1" applyBorder="1" applyProtection="1">
      <alignment vertical="center"/>
    </xf>
    <xf numFmtId="0" fontId="80" fillId="0" borderId="77" xfId="21" applyFill="1" applyBorder="1" applyProtection="1">
      <alignment vertical="center"/>
    </xf>
    <xf numFmtId="0" fontId="80" fillId="0" borderId="78" xfId="21" applyFill="1" applyBorder="1" applyProtection="1">
      <alignment vertical="center"/>
    </xf>
    <xf numFmtId="0" fontId="80" fillId="0" borderId="8" xfId="21" applyFill="1" applyBorder="1" applyProtection="1">
      <alignment vertical="center"/>
    </xf>
    <xf numFmtId="0" fontId="80" fillId="0" borderId="1" xfId="21" applyFill="1" applyBorder="1" applyProtection="1">
      <alignment vertical="center"/>
    </xf>
    <xf numFmtId="0" fontId="80" fillId="0" borderId="0" xfId="21" applyFont="1" applyBorder="1" applyAlignment="1">
      <alignment horizontal="left"/>
    </xf>
    <xf numFmtId="0" fontId="279" fillId="0" borderId="0" xfId="21" applyFont="1" applyBorder="1" applyAlignment="1">
      <alignment horizontal="left" vertical="center" wrapText="1"/>
    </xf>
    <xf numFmtId="0" fontId="80" fillId="0" borderId="0" xfId="21" applyBorder="1" applyAlignment="1">
      <alignment horizontal="center" vertical="center"/>
    </xf>
    <xf numFmtId="0" fontId="107" fillId="0" borderId="0" xfId="21" applyFont="1" applyAlignment="1">
      <alignment horizontal="center" vertical="center"/>
    </xf>
    <xf numFmtId="176" fontId="72" fillId="0" borderId="0" xfId="21" applyNumberFormat="1" applyFont="1" applyBorder="1" applyAlignment="1">
      <alignment horizontal="left" vertical="center" wrapText="1"/>
    </xf>
    <xf numFmtId="176" fontId="115" fillId="0" borderId="0" xfId="21" applyNumberFormat="1" applyFont="1" applyBorder="1" applyAlignment="1">
      <alignment horizontal="left" vertical="center" wrapText="1"/>
    </xf>
    <xf numFmtId="0" fontId="113" fillId="0" borderId="0" xfId="21" applyFont="1" applyBorder="1" applyAlignment="1">
      <alignment horizontal="center"/>
    </xf>
    <xf numFmtId="0" fontId="188" fillId="37" borderId="355" xfId="0" applyFont="1" applyFill="1" applyBorder="1" applyAlignment="1">
      <alignment vertical="center" wrapText="1"/>
    </xf>
    <xf numFmtId="0" fontId="185" fillId="37" borderId="355" xfId="0" applyFont="1" applyFill="1" applyBorder="1" applyAlignment="1">
      <alignment horizontal="left" vertical="center" wrapText="1"/>
    </xf>
    <xf numFmtId="0" fontId="150" fillId="0" borderId="0" xfId="0" applyFont="1" applyFill="1" applyAlignment="1">
      <alignment vertical="center" wrapText="1"/>
    </xf>
    <xf numFmtId="0" fontId="217" fillId="0" borderId="0" xfId="0" applyFont="1" applyAlignment="1">
      <alignment horizontal="left" vertical="center" wrapText="1"/>
    </xf>
    <xf numFmtId="49" fontId="284" fillId="0" borderId="1" xfId="0" applyNumberFormat="1" applyFont="1" applyFill="1" applyBorder="1" applyAlignment="1">
      <alignment horizontal="left" vertical="center" wrapText="1"/>
    </xf>
    <xf numFmtId="0" fontId="282" fillId="0" borderId="0" xfId="0" applyFont="1" applyFill="1" applyBorder="1" applyAlignment="1">
      <alignment horizontal="left" vertical="center" wrapText="1"/>
    </xf>
    <xf numFmtId="176" fontId="72" fillId="54" borderId="13" xfId="21" applyNumberFormat="1" applyFont="1" applyFill="1" applyBorder="1" applyAlignment="1" applyProtection="1">
      <alignment horizontal="center" vertical="center" shrinkToFit="1"/>
      <protection locked="0"/>
    </xf>
    <xf numFmtId="0" fontId="116" fillId="54" borderId="22" xfId="0" applyFont="1" applyFill="1" applyBorder="1" applyAlignment="1" applyProtection="1">
      <alignment horizontal="center" vertical="center" wrapText="1"/>
      <protection locked="0"/>
    </xf>
    <xf numFmtId="0" fontId="116" fillId="54" borderId="1" xfId="0" applyFont="1" applyFill="1" applyBorder="1" applyAlignment="1" applyProtection="1">
      <alignment horizontal="center" vertical="center" wrapText="1"/>
      <protection locked="0"/>
    </xf>
    <xf numFmtId="0" fontId="293" fillId="0" borderId="0" xfId="0" applyFont="1" applyAlignment="1">
      <alignment horizontal="left"/>
    </xf>
    <xf numFmtId="0" fontId="292" fillId="0" borderId="363" xfId="0" applyFont="1" applyFill="1" applyBorder="1" applyAlignment="1">
      <alignment horizontal="center" vertical="center"/>
    </xf>
    <xf numFmtId="0" fontId="245" fillId="0" borderId="363" xfId="0" applyFont="1" applyFill="1" applyBorder="1" applyAlignment="1">
      <alignment horizontal="center" vertical="center"/>
    </xf>
    <xf numFmtId="0" fontId="185" fillId="0" borderId="0" xfId="0" applyFont="1" applyAlignment="1">
      <alignment horizontal="left" vertical="top" wrapText="1"/>
    </xf>
    <xf numFmtId="0" fontId="106" fillId="0" borderId="0" xfId="21" applyFont="1">
      <alignment vertical="center"/>
    </xf>
    <xf numFmtId="176" fontId="292" fillId="2" borderId="363" xfId="0" applyNumberFormat="1" applyFont="1" applyFill="1" applyBorder="1" applyAlignment="1" applyProtection="1">
      <alignment horizontal="center" vertical="center"/>
      <protection locked="0"/>
    </xf>
    <xf numFmtId="0" fontId="276" fillId="0" borderId="0" xfId="21" applyFont="1" applyFill="1" applyAlignment="1">
      <alignment horizontal="center" vertical="center" wrapText="1"/>
    </xf>
    <xf numFmtId="0" fontId="277" fillId="0" borderId="0" xfId="21" applyFont="1" applyFill="1" applyBorder="1" applyAlignment="1">
      <alignment horizontal="center" vertical="center" wrapText="1"/>
    </xf>
    <xf numFmtId="0" fontId="275" fillId="0" borderId="0" xfId="21" applyFont="1" applyFill="1" applyBorder="1" applyAlignment="1">
      <alignment horizontal="center" vertical="top" wrapText="1"/>
    </xf>
    <xf numFmtId="0" fontId="141" fillId="0" borderId="0" xfId="21" applyFont="1" applyFill="1" applyBorder="1" applyAlignment="1">
      <alignment horizontal="center" vertical="center"/>
    </xf>
    <xf numFmtId="0" fontId="142" fillId="0" borderId="0" xfId="21" applyFont="1" applyFill="1" applyBorder="1" applyAlignment="1">
      <alignment horizontal="left" vertical="center" wrapText="1" shrinkToFit="1"/>
    </xf>
    <xf numFmtId="0" fontId="171" fillId="0" borderId="0" xfId="21" applyFont="1" applyFill="1" applyBorder="1" applyAlignment="1">
      <alignment horizontal="left" vertical="center"/>
    </xf>
    <xf numFmtId="49" fontId="171" fillId="0" borderId="0" xfId="21" applyNumberFormat="1" applyFont="1" applyFill="1" applyBorder="1" applyAlignment="1" applyProtection="1">
      <alignment horizontal="left" vertical="top" shrinkToFit="1"/>
      <protection locked="0"/>
    </xf>
    <xf numFmtId="0" fontId="295" fillId="0" borderId="0" xfId="21" applyFont="1">
      <alignment vertical="center"/>
    </xf>
    <xf numFmtId="0" fontId="295" fillId="0" borderId="0" xfId="21" applyFont="1" applyAlignment="1">
      <alignment horizontal="right" vertical="center"/>
    </xf>
    <xf numFmtId="0" fontId="295" fillId="0" borderId="0" xfId="21" applyFont="1" applyFill="1">
      <alignment vertical="center"/>
    </xf>
    <xf numFmtId="176" fontId="72" fillId="0" borderId="0" xfId="21" applyNumberFormat="1" applyFont="1" applyBorder="1" applyAlignment="1">
      <alignment horizontal="left" vertical="center"/>
    </xf>
    <xf numFmtId="0" fontId="107" fillId="0" borderId="0" xfId="21" applyFont="1" applyBorder="1" applyAlignment="1">
      <alignment horizontal="center" vertical="center" shrinkToFit="1"/>
    </xf>
    <xf numFmtId="0" fontId="107" fillId="0" borderId="0" xfId="21" applyFont="1" applyBorder="1" applyAlignment="1">
      <alignment horizontal="center" vertical="center"/>
    </xf>
    <xf numFmtId="0" fontId="35" fillId="0" borderId="0" xfId="0" applyFont="1" applyFill="1" applyBorder="1" applyAlignment="1" applyProtection="1">
      <alignment horizontal="center" vertical="center"/>
    </xf>
    <xf numFmtId="0" fontId="107" fillId="0" borderId="0" xfId="21" applyFont="1" applyBorder="1" applyAlignment="1" applyProtection="1">
      <alignment horizontal="center" vertical="center"/>
    </xf>
    <xf numFmtId="176" fontId="72" fillId="37" borderId="3" xfId="21" applyNumberFormat="1" applyFont="1" applyFill="1" applyBorder="1" applyAlignment="1">
      <alignment vertical="top"/>
    </xf>
    <xf numFmtId="176" fontId="72" fillId="37" borderId="4" xfId="21" applyNumberFormat="1" applyFont="1" applyFill="1" applyBorder="1" applyAlignment="1">
      <alignment vertical="top"/>
    </xf>
    <xf numFmtId="176" fontId="72" fillId="0" borderId="4" xfId="21" applyNumberFormat="1" applyFont="1" applyFill="1" applyBorder="1" applyAlignment="1">
      <alignment vertical="top"/>
    </xf>
    <xf numFmtId="188" fontId="90" fillId="0" borderId="274" xfId="21" applyNumberFormat="1" applyFont="1" applyBorder="1" applyAlignment="1">
      <alignment horizontal="center" vertical="center"/>
    </xf>
    <xf numFmtId="0" fontId="304" fillId="0" borderId="0" xfId="21" applyFont="1">
      <alignment vertical="center"/>
    </xf>
    <xf numFmtId="176" fontId="304" fillId="0" borderId="0" xfId="0" applyNumberFormat="1" applyFont="1" applyBorder="1" applyAlignment="1"/>
    <xf numFmtId="176" fontId="304" fillId="0" borderId="0" xfId="0" applyNumberFormat="1" applyFont="1" applyBorder="1" applyAlignment="1">
      <alignment horizontal="center"/>
    </xf>
    <xf numFmtId="176" fontId="304" fillId="0" borderId="0" xfId="0" applyNumberFormat="1" applyFont="1" applyBorder="1" applyAlignment="1">
      <alignment vertical="center" shrinkToFit="1"/>
    </xf>
    <xf numFmtId="176" fontId="304" fillId="0" borderId="0" xfId="0" applyNumberFormat="1" applyFont="1" applyBorder="1">
      <alignment vertical="center"/>
    </xf>
    <xf numFmtId="176" fontId="304" fillId="0" borderId="0" xfId="0" applyNumberFormat="1" applyFont="1">
      <alignment vertical="center"/>
    </xf>
    <xf numFmtId="176" fontId="305" fillId="0" borderId="0" xfId="0" applyNumberFormat="1" applyFont="1" applyFill="1">
      <alignment vertical="center"/>
    </xf>
    <xf numFmtId="0" fontId="304" fillId="0" borderId="0" xfId="0" applyFont="1" applyAlignment="1">
      <alignment horizontal="center" vertical="center"/>
    </xf>
    <xf numFmtId="176" fontId="304" fillId="0" borderId="197" xfId="0" applyNumberFormat="1" applyFont="1" applyFill="1" applyBorder="1" applyAlignment="1">
      <alignment horizontal="center" shrinkToFit="1"/>
    </xf>
    <xf numFmtId="176" fontId="304" fillId="0" borderId="377" xfId="0" applyNumberFormat="1" applyFont="1" applyFill="1" applyBorder="1" applyAlignment="1"/>
    <xf numFmtId="176" fontId="304" fillId="0" borderId="378" xfId="0" applyNumberFormat="1" applyFont="1" applyFill="1" applyBorder="1" applyAlignment="1">
      <alignment vertical="center" shrinkToFit="1"/>
    </xf>
    <xf numFmtId="176" fontId="304" fillId="0" borderId="379" xfId="0" applyNumberFormat="1" applyFont="1" applyFill="1" applyBorder="1" applyAlignment="1"/>
    <xf numFmtId="176" fontId="304" fillId="12" borderId="189" xfId="0" applyNumberFormat="1" applyFont="1" applyFill="1" applyBorder="1">
      <alignment vertical="center"/>
    </xf>
    <xf numFmtId="176" fontId="304" fillId="12" borderId="206" xfId="0" applyNumberFormat="1" applyFont="1" applyFill="1" applyBorder="1">
      <alignment vertical="center"/>
    </xf>
    <xf numFmtId="176" fontId="304" fillId="12" borderId="208" xfId="0" applyNumberFormat="1" applyFont="1" applyFill="1" applyBorder="1">
      <alignment vertical="center"/>
    </xf>
    <xf numFmtId="176" fontId="304" fillId="7" borderId="189" xfId="0" applyNumberFormat="1" applyFont="1" applyFill="1" applyBorder="1">
      <alignment vertical="center"/>
    </xf>
    <xf numFmtId="176" fontId="304" fillId="7" borderId="206" xfId="0" applyNumberFormat="1" applyFont="1" applyFill="1" applyBorder="1">
      <alignment vertical="center"/>
    </xf>
    <xf numFmtId="176" fontId="304" fillId="7" borderId="208" xfId="0" applyNumberFormat="1" applyFont="1" applyFill="1" applyBorder="1">
      <alignment vertical="center"/>
    </xf>
    <xf numFmtId="176" fontId="304" fillId="0" borderId="194" xfId="0" applyNumberFormat="1" applyFont="1" applyFill="1" applyBorder="1" applyAlignment="1">
      <alignment horizontal="center" shrinkToFit="1"/>
    </xf>
    <xf numFmtId="0" fontId="105" fillId="0" borderId="0" xfId="21" applyFont="1" applyAlignment="1">
      <alignment horizontal="center" vertical="center"/>
    </xf>
    <xf numFmtId="0" fontId="308" fillId="0" borderId="0" xfId="21" applyFont="1" applyBorder="1" applyAlignment="1">
      <alignment horizontal="center" vertical="center"/>
    </xf>
    <xf numFmtId="176" fontId="304" fillId="0" borderId="44" xfId="0" applyNumberFormat="1" applyFont="1" applyFill="1" applyBorder="1" applyAlignment="1">
      <alignment horizontal="center" vertical="center"/>
    </xf>
    <xf numFmtId="176" fontId="304" fillId="0" borderId="19" xfId="0" applyNumberFormat="1" applyFont="1" applyFill="1" applyBorder="1" applyAlignment="1">
      <alignment horizontal="center" vertical="center"/>
    </xf>
    <xf numFmtId="176" fontId="304" fillId="0" borderId="391" xfId="0" applyNumberFormat="1" applyFont="1" applyFill="1" applyBorder="1" applyAlignment="1"/>
    <xf numFmtId="176" fontId="305" fillId="7" borderId="392" xfId="0" applyNumberFormat="1" applyFont="1" applyFill="1" applyBorder="1" applyAlignment="1">
      <alignment horizontal="center" vertical="center"/>
    </xf>
    <xf numFmtId="176" fontId="305" fillId="7" borderId="388" xfId="0" applyNumberFormat="1" applyFont="1" applyFill="1" applyBorder="1" applyAlignment="1">
      <alignment horizontal="center" vertical="center"/>
    </xf>
    <xf numFmtId="176" fontId="304" fillId="0" borderId="394" xfId="0" applyNumberFormat="1" applyFont="1" applyFill="1" applyBorder="1" applyAlignment="1"/>
    <xf numFmtId="176" fontId="304" fillId="0" borderId="396" xfId="0" applyNumberFormat="1" applyFont="1" applyFill="1" applyBorder="1" applyAlignment="1"/>
    <xf numFmtId="176" fontId="304" fillId="0" borderId="398" xfId="0" applyNumberFormat="1" applyFont="1" applyFill="1" applyBorder="1" applyAlignment="1"/>
    <xf numFmtId="176" fontId="304" fillId="0" borderId="400" xfId="0" applyNumberFormat="1" applyFont="1" applyFill="1" applyBorder="1" applyAlignment="1"/>
    <xf numFmtId="176" fontId="304" fillId="7" borderId="401" xfId="0" applyNumberFormat="1" applyFont="1" applyFill="1" applyBorder="1">
      <alignment vertical="center"/>
    </xf>
    <xf numFmtId="176" fontId="304" fillId="0" borderId="34" xfId="0" applyNumberFormat="1" applyFont="1" applyFill="1" applyBorder="1" applyAlignment="1">
      <alignment vertical="top"/>
    </xf>
    <xf numFmtId="176" fontId="304" fillId="0" borderId="13" xfId="0" applyNumberFormat="1" applyFont="1" applyFill="1" applyBorder="1">
      <alignment vertical="center"/>
    </xf>
    <xf numFmtId="176" fontId="304" fillId="0" borderId="376" xfId="0" applyNumberFormat="1" applyFont="1" applyFill="1" applyBorder="1">
      <alignment vertical="center"/>
    </xf>
    <xf numFmtId="176" fontId="304" fillId="0" borderId="177" xfId="0" applyNumberFormat="1" applyFont="1" applyFill="1" applyBorder="1" applyAlignment="1"/>
    <xf numFmtId="176" fontId="304" fillId="0" borderId="177" xfId="0" applyNumberFormat="1" applyFont="1" applyFill="1" applyBorder="1">
      <alignment vertical="center"/>
    </xf>
    <xf numFmtId="176" fontId="304" fillId="0" borderId="129" xfId="0" applyNumberFormat="1" applyFont="1" applyFill="1" applyBorder="1">
      <alignment vertical="center"/>
    </xf>
    <xf numFmtId="176" fontId="305" fillId="7" borderId="393" xfId="0" applyNumberFormat="1" applyFont="1" applyFill="1" applyBorder="1" applyAlignment="1">
      <alignment horizontal="center" vertical="center"/>
    </xf>
    <xf numFmtId="176" fontId="304" fillId="7" borderId="395" xfId="0" applyNumberFormat="1" applyFont="1" applyFill="1" applyBorder="1">
      <alignment vertical="center"/>
    </xf>
    <xf numFmtId="176" fontId="304" fillId="7" borderId="397" xfId="0" applyNumberFormat="1" applyFont="1" applyFill="1" applyBorder="1">
      <alignment vertical="center"/>
    </xf>
    <xf numFmtId="176" fontId="304" fillId="7" borderId="399" xfId="0" applyNumberFormat="1" applyFont="1" applyFill="1" applyBorder="1">
      <alignment vertical="center"/>
    </xf>
    <xf numFmtId="176" fontId="304" fillId="7" borderId="402" xfId="0" applyNumberFormat="1" applyFont="1" applyFill="1" applyBorder="1">
      <alignment vertical="center"/>
    </xf>
    <xf numFmtId="176" fontId="304" fillId="0" borderId="403" xfId="0" applyNumberFormat="1" applyFont="1" applyFill="1" applyBorder="1" applyAlignment="1"/>
    <xf numFmtId="176" fontId="304" fillId="0" borderId="397" xfId="0" applyNumberFormat="1" applyFont="1" applyFill="1" applyBorder="1" applyAlignment="1">
      <alignment vertical="center" shrinkToFit="1"/>
    </xf>
    <xf numFmtId="176" fontId="304" fillId="0" borderId="404" xfId="0" applyNumberFormat="1" applyFont="1" applyFill="1" applyBorder="1" applyAlignment="1">
      <alignment vertical="center" shrinkToFit="1"/>
    </xf>
    <xf numFmtId="176" fontId="304" fillId="0" borderId="406" xfId="0" applyNumberFormat="1" applyFont="1" applyFill="1" applyBorder="1" applyAlignment="1"/>
    <xf numFmtId="176" fontId="304" fillId="0" borderId="407" xfId="0" applyNumberFormat="1" applyFont="1" applyFill="1" applyBorder="1" applyAlignment="1">
      <alignment vertical="center" shrinkToFit="1"/>
    </xf>
    <xf numFmtId="176" fontId="304" fillId="0" borderId="402" xfId="0" applyNumberFormat="1" applyFont="1" applyFill="1" applyBorder="1" applyAlignment="1">
      <alignment vertical="center" shrinkToFit="1"/>
    </xf>
    <xf numFmtId="176" fontId="304" fillId="0" borderId="408" xfId="0" applyNumberFormat="1" applyFont="1" applyBorder="1" applyAlignment="1"/>
    <xf numFmtId="176" fontId="304" fillId="0" borderId="409" xfId="0" applyNumberFormat="1" applyFont="1" applyBorder="1" applyAlignment="1"/>
    <xf numFmtId="176" fontId="304" fillId="0" borderId="410" xfId="0" applyNumberFormat="1" applyFont="1" applyBorder="1" applyAlignment="1"/>
    <xf numFmtId="176" fontId="304" fillId="0" borderId="411" xfId="0" applyNumberFormat="1" applyFont="1" applyBorder="1" applyAlignment="1"/>
    <xf numFmtId="0" fontId="80" fillId="0" borderId="160" xfId="21" applyNumberFormat="1" applyBorder="1" applyAlignment="1">
      <alignment horizontal="center" vertical="center" shrinkToFit="1"/>
    </xf>
    <xf numFmtId="0" fontId="80" fillId="0" borderId="195" xfId="21" applyBorder="1" applyAlignment="1">
      <alignment horizontal="center" vertical="center"/>
    </xf>
    <xf numFmtId="0" fontId="80" fillId="0" borderId="190" xfId="21" applyNumberFormat="1" applyBorder="1" applyAlignment="1">
      <alignment horizontal="center" vertical="center"/>
    </xf>
    <xf numFmtId="0" fontId="80" fillId="0" borderId="193" xfId="21" applyBorder="1" applyAlignment="1">
      <alignment horizontal="center" vertical="center"/>
    </xf>
    <xf numFmtId="176" fontId="80" fillId="0" borderId="191" xfId="21" applyNumberFormat="1" applyBorder="1" applyAlignment="1">
      <alignment horizontal="center" vertical="center"/>
    </xf>
    <xf numFmtId="176" fontId="80" fillId="0" borderId="189" xfId="21" applyNumberFormat="1" applyBorder="1" applyAlignment="1">
      <alignment horizontal="center" vertical="center" shrinkToFit="1"/>
    </xf>
    <xf numFmtId="176" fontId="80" fillId="0" borderId="192" xfId="21" applyNumberFormat="1" applyBorder="1" applyAlignment="1">
      <alignment horizontal="center" vertical="center"/>
    </xf>
    <xf numFmtId="176" fontId="80" fillId="0" borderId="193" xfId="21" applyNumberFormat="1" applyBorder="1" applyAlignment="1">
      <alignment horizontal="center" vertical="center"/>
    </xf>
    <xf numFmtId="176" fontId="80" fillId="0" borderId="194" xfId="21" applyNumberFormat="1" applyBorder="1" applyAlignment="1">
      <alignment horizontal="center" vertical="center" shrinkToFit="1"/>
    </xf>
    <xf numFmtId="176" fontId="80" fillId="0" borderId="195" xfId="21" applyNumberFormat="1" applyBorder="1" applyAlignment="1">
      <alignment horizontal="center" vertical="center"/>
    </xf>
    <xf numFmtId="176" fontId="305" fillId="12" borderId="393" xfId="0" applyNumberFormat="1" applyFont="1" applyFill="1" applyBorder="1" applyAlignment="1">
      <alignment horizontal="center" vertical="center"/>
    </xf>
    <xf numFmtId="176" fontId="304" fillId="12" borderId="395" xfId="0" applyNumberFormat="1" applyFont="1" applyFill="1" applyBorder="1">
      <alignment vertical="center"/>
    </xf>
    <xf numFmtId="176" fontId="304" fillId="12" borderId="397" xfId="0" applyNumberFormat="1" applyFont="1" applyFill="1" applyBorder="1">
      <alignment vertical="center"/>
    </xf>
    <xf numFmtId="176" fontId="304" fillId="12" borderId="399" xfId="0" applyNumberFormat="1" applyFont="1" applyFill="1" applyBorder="1">
      <alignment vertical="center"/>
    </xf>
    <xf numFmtId="176" fontId="304" fillId="12" borderId="402" xfId="0" applyNumberFormat="1" applyFont="1" applyFill="1" applyBorder="1">
      <alignment vertical="center"/>
    </xf>
    <xf numFmtId="176" fontId="305" fillId="12" borderId="392" xfId="0" applyNumberFormat="1" applyFont="1" applyFill="1" applyBorder="1" applyAlignment="1">
      <alignment horizontal="center" vertical="center"/>
    </xf>
    <xf numFmtId="176" fontId="304" fillId="12" borderId="401" xfId="0" applyNumberFormat="1" applyFont="1" applyFill="1" applyBorder="1">
      <alignment vertical="center"/>
    </xf>
    <xf numFmtId="0" fontId="7" fillId="0" borderId="197" xfId="21" applyFont="1" applyFill="1" applyBorder="1" applyAlignment="1">
      <alignment horizontal="center" vertical="center"/>
    </xf>
    <xf numFmtId="176" fontId="80" fillId="0" borderId="159" xfId="21" applyNumberFormat="1" applyBorder="1" applyAlignment="1">
      <alignment vertical="center" shrinkToFit="1"/>
    </xf>
    <xf numFmtId="176" fontId="80" fillId="0" borderId="215" xfId="21" applyNumberFormat="1" applyBorder="1" applyAlignment="1">
      <alignment vertical="center" shrinkToFit="1"/>
    </xf>
    <xf numFmtId="176" fontId="80" fillId="0" borderId="201" xfId="21" applyNumberFormat="1" applyBorder="1" applyAlignment="1">
      <alignment vertical="center" shrinkToFit="1"/>
    </xf>
    <xf numFmtId="176" fontId="80" fillId="0" borderId="192" xfId="21" applyNumberFormat="1" applyBorder="1" applyAlignment="1">
      <alignment vertical="center" shrinkToFit="1"/>
    </xf>
    <xf numFmtId="0" fontId="80" fillId="0" borderId="0" xfId="21" applyAlignment="1">
      <alignment horizontal="right" vertical="center"/>
    </xf>
    <xf numFmtId="176" fontId="304" fillId="0" borderId="160" xfId="0" applyNumberFormat="1" applyFont="1" applyFill="1" applyBorder="1" applyAlignment="1">
      <alignment horizontal="center" vertical="center" shrinkToFit="1"/>
    </xf>
    <xf numFmtId="176" fontId="304" fillId="0" borderId="197" xfId="0" applyNumberFormat="1" applyFont="1" applyFill="1" applyBorder="1" applyAlignment="1">
      <alignment horizontal="center" vertical="center" shrinkToFit="1"/>
    </xf>
    <xf numFmtId="176" fontId="306" fillId="0" borderId="389" xfId="0" applyNumberFormat="1" applyFont="1" applyFill="1" applyBorder="1" applyAlignment="1">
      <alignment horizontal="center" vertical="center"/>
    </xf>
    <xf numFmtId="176" fontId="309" fillId="0" borderId="173" xfId="0" applyNumberFormat="1" applyFont="1" applyFill="1" applyBorder="1" applyAlignment="1">
      <alignment horizontal="center" vertical="center"/>
    </xf>
    <xf numFmtId="176" fontId="306" fillId="0" borderId="392" xfId="0" applyNumberFormat="1" applyFont="1" applyFill="1" applyBorder="1" applyAlignment="1">
      <alignment horizontal="center" shrinkToFit="1"/>
    </xf>
    <xf numFmtId="176" fontId="306" fillId="0" borderId="157" xfId="0" applyNumberFormat="1" applyFont="1" applyFill="1" applyBorder="1" applyAlignment="1">
      <alignment horizontal="center" vertical="center"/>
    </xf>
    <xf numFmtId="176" fontId="306" fillId="0" borderId="390" xfId="0" applyNumberFormat="1" applyFont="1" applyFill="1" applyBorder="1" applyAlignment="1">
      <alignment horizontal="center"/>
    </xf>
    <xf numFmtId="176" fontId="306" fillId="0" borderId="91" xfId="0" applyNumberFormat="1" applyFont="1" applyFill="1" applyBorder="1" applyAlignment="1">
      <alignment horizontal="center"/>
    </xf>
    <xf numFmtId="176" fontId="309" fillId="0" borderId="91" xfId="0" applyNumberFormat="1" applyFont="1" applyFill="1" applyBorder="1" applyAlignment="1">
      <alignment horizontal="center" vertical="center"/>
    </xf>
    <xf numFmtId="176" fontId="304" fillId="0" borderId="29" xfId="0" applyNumberFormat="1" applyFont="1" applyFill="1" applyBorder="1" applyAlignment="1">
      <alignment horizontal="center" vertical="center"/>
    </xf>
    <xf numFmtId="176" fontId="309" fillId="0" borderId="157" xfId="0" applyNumberFormat="1" applyFont="1" applyFill="1" applyBorder="1" applyAlignment="1">
      <alignment horizontal="center" vertical="center"/>
    </xf>
    <xf numFmtId="176" fontId="309" fillId="0" borderId="393" xfId="0" applyNumberFormat="1" applyFont="1" applyFill="1" applyBorder="1" applyAlignment="1">
      <alignment horizontal="center" shrinkToFit="1"/>
    </xf>
    <xf numFmtId="176" fontId="90" fillId="44" borderId="314" xfId="0" applyNumberFormat="1" applyFont="1" applyFill="1" applyBorder="1" applyAlignment="1">
      <alignment horizontal="right"/>
    </xf>
    <xf numFmtId="176" fontId="90" fillId="44" borderId="412" xfId="0" applyNumberFormat="1" applyFont="1" applyFill="1" applyBorder="1" applyAlignment="1">
      <alignment horizontal="right"/>
    </xf>
    <xf numFmtId="176" fontId="90" fillId="44" borderId="413" xfId="0" applyNumberFormat="1" applyFont="1" applyFill="1" applyBorder="1" applyAlignment="1">
      <alignment horizontal="right"/>
    </xf>
    <xf numFmtId="176" fontId="90" fillId="44" borderId="313" xfId="0" applyNumberFormat="1" applyFont="1" applyFill="1" applyBorder="1" applyAlignment="1">
      <alignment horizontal="right"/>
    </xf>
    <xf numFmtId="41" fontId="90" fillId="0" borderId="304" xfId="0" applyNumberFormat="1" applyFont="1" applyBorder="1" applyAlignment="1">
      <alignment horizontal="right"/>
    </xf>
    <xf numFmtId="176" fontId="90" fillId="43" borderId="303" xfId="0" applyNumberFormat="1" applyFont="1" applyFill="1" applyBorder="1" applyAlignment="1">
      <alignment horizontal="right"/>
    </xf>
    <xf numFmtId="176" fontId="90" fillId="43" borderId="283" xfId="0" applyNumberFormat="1" applyFont="1" applyFill="1" applyBorder="1" applyAlignment="1">
      <alignment horizontal="right"/>
    </xf>
    <xf numFmtId="176" fontId="90" fillId="43" borderId="282" xfId="0" applyNumberFormat="1" applyFont="1" applyFill="1" applyBorder="1" applyAlignment="1">
      <alignment horizontal="right"/>
    </xf>
    <xf numFmtId="176" fontId="90" fillId="43" borderId="286" xfId="0" applyNumberFormat="1" applyFont="1" applyFill="1" applyBorder="1" applyAlignment="1">
      <alignment horizontal="right"/>
    </xf>
    <xf numFmtId="176" fontId="90" fillId="43" borderId="302" xfId="0" applyNumberFormat="1" applyFont="1" applyFill="1" applyBorder="1" applyAlignment="1">
      <alignment horizontal="right"/>
    </xf>
    <xf numFmtId="41" fontId="90" fillId="0" borderId="281" xfId="0" applyNumberFormat="1" applyFont="1" applyBorder="1" applyAlignment="1">
      <alignment horizontal="right"/>
    </xf>
    <xf numFmtId="176" fontId="90" fillId="0" borderId="284" xfId="0" applyNumberFormat="1" applyFont="1" applyBorder="1" applyAlignment="1">
      <alignment horizontal="right"/>
    </xf>
    <xf numFmtId="176" fontId="90" fillId="0" borderId="118" xfId="0" applyNumberFormat="1" applyFont="1" applyBorder="1" applyAlignment="1">
      <alignment horizontal="right" vertical="center"/>
    </xf>
    <xf numFmtId="176" fontId="90" fillId="0" borderId="282" xfId="0" applyNumberFormat="1" applyFont="1" applyBorder="1" applyAlignment="1">
      <alignment horizontal="right"/>
    </xf>
    <xf numFmtId="176" fontId="90" fillId="41" borderId="301" xfId="0" applyNumberFormat="1" applyFont="1" applyFill="1" applyBorder="1" applyAlignment="1">
      <alignment horizontal="right"/>
    </xf>
    <xf numFmtId="176" fontId="90" fillId="41" borderId="300" xfId="0" applyNumberFormat="1" applyFont="1" applyFill="1" applyBorder="1" applyAlignment="1">
      <alignment horizontal="right"/>
    </xf>
    <xf numFmtId="176" fontId="90" fillId="41" borderId="299" xfId="0" applyNumberFormat="1" applyFont="1" applyFill="1" applyBorder="1" applyAlignment="1">
      <alignment horizontal="right"/>
    </xf>
    <xf numFmtId="176" fontId="90" fillId="41" borderId="278" xfId="0" applyNumberFormat="1" applyFont="1" applyFill="1" applyBorder="1" applyAlignment="1">
      <alignment horizontal="right"/>
    </xf>
    <xf numFmtId="41" fontId="90" fillId="41" borderId="277" xfId="0" applyNumberFormat="1" applyFont="1" applyFill="1" applyBorder="1" applyAlignment="1">
      <alignment horizontal="right"/>
    </xf>
    <xf numFmtId="176" fontId="90" fillId="0" borderId="298" xfId="0" applyNumberFormat="1" applyFont="1" applyBorder="1" applyAlignment="1">
      <alignment horizontal="right"/>
    </xf>
    <xf numFmtId="176" fontId="90" fillId="0" borderId="123" xfId="0" applyNumberFormat="1" applyFont="1" applyBorder="1" applyAlignment="1">
      <alignment horizontal="right"/>
    </xf>
    <xf numFmtId="176" fontId="90" fillId="0" borderId="124" xfId="0" applyNumberFormat="1" applyFont="1" applyBorder="1" applyAlignment="1">
      <alignment horizontal="right"/>
    </xf>
    <xf numFmtId="176" fontId="90" fillId="0" borderId="293" xfId="0" applyNumberFormat="1" applyFont="1" applyBorder="1" applyAlignment="1">
      <alignment horizontal="right"/>
    </xf>
    <xf numFmtId="41" fontId="90" fillId="0" borderId="58" xfId="0" applyNumberFormat="1" applyFont="1" applyBorder="1" applyAlignment="1">
      <alignment horizontal="right"/>
    </xf>
    <xf numFmtId="176" fontId="90" fillId="0" borderId="25" xfId="0" applyNumberFormat="1" applyFont="1" applyBorder="1" applyAlignment="1">
      <alignment horizontal="right"/>
    </xf>
    <xf numFmtId="176" fontId="90" fillId="0" borderId="9" xfId="0" applyNumberFormat="1" applyFont="1" applyBorder="1" applyAlignment="1">
      <alignment horizontal="right"/>
    </xf>
    <xf numFmtId="176" fontId="90" fillId="0" borderId="1" xfId="0" applyNumberFormat="1" applyFont="1" applyBorder="1" applyAlignment="1">
      <alignment horizontal="right"/>
    </xf>
    <xf numFmtId="41" fontId="90" fillId="0" borderId="275" xfId="0" applyNumberFormat="1" applyFont="1" applyBorder="1" applyAlignment="1">
      <alignment horizontal="right"/>
    </xf>
    <xf numFmtId="0" fontId="0" fillId="0" borderId="18" xfId="0" applyBorder="1">
      <alignment vertical="center"/>
    </xf>
    <xf numFmtId="176" fontId="90" fillId="0" borderId="273" xfId="0" applyNumberFormat="1" applyFont="1" applyBorder="1" applyAlignment="1">
      <alignment horizontal="right"/>
    </xf>
    <xf numFmtId="176" fontId="90" fillId="0" borderId="294" xfId="0" applyNumberFormat="1" applyFont="1" applyBorder="1" applyAlignment="1">
      <alignment horizontal="right"/>
    </xf>
    <xf numFmtId="176" fontId="90" fillId="0" borderId="128" xfId="0" applyNumberFormat="1" applyFont="1" applyBorder="1" applyAlignment="1">
      <alignment horizontal="right"/>
    </xf>
    <xf numFmtId="176" fontId="90" fillId="44" borderId="289" xfId="0" applyNumberFormat="1" applyFont="1" applyFill="1" applyBorder="1" applyAlignment="1">
      <alignment horizontal="right"/>
    </xf>
    <xf numFmtId="176" fontId="90" fillId="44" borderId="287" xfId="0" applyNumberFormat="1" applyFont="1" applyFill="1" applyBorder="1" applyAlignment="1">
      <alignment horizontal="right"/>
    </xf>
    <xf numFmtId="176" fontId="90" fillId="44" borderId="288" xfId="0" applyNumberFormat="1" applyFont="1" applyFill="1" applyBorder="1" applyAlignment="1">
      <alignment horizontal="right"/>
    </xf>
    <xf numFmtId="41" fontId="90" fillId="0" borderId="57" xfId="0" applyNumberFormat="1" applyFont="1" applyBorder="1" applyAlignment="1">
      <alignment horizontal="right"/>
    </xf>
    <xf numFmtId="176" fontId="90" fillId="0" borderId="283" xfId="0" applyNumberFormat="1" applyFont="1" applyBorder="1" applyAlignment="1">
      <alignment horizontal="right"/>
    </xf>
    <xf numFmtId="176" fontId="90" fillId="0" borderId="118" xfId="0" applyNumberFormat="1" applyFont="1" applyBorder="1" applyAlignment="1">
      <alignment horizontal="right"/>
    </xf>
    <xf numFmtId="176" fontId="90" fillId="0" borderId="120" xfId="0" applyNumberFormat="1" applyFont="1" applyBorder="1" applyAlignment="1">
      <alignment horizontal="right"/>
    </xf>
    <xf numFmtId="176" fontId="90" fillId="0" borderId="122" xfId="0" applyNumberFormat="1" applyFont="1" applyBorder="1" applyAlignment="1">
      <alignment horizontal="right"/>
    </xf>
    <xf numFmtId="176" fontId="90" fillId="0" borderId="272" xfId="0" applyNumberFormat="1" applyFont="1" applyBorder="1" applyAlignment="1">
      <alignment horizontal="right"/>
    </xf>
    <xf numFmtId="176" fontId="90" fillId="0" borderId="26" xfId="0" applyNumberFormat="1" applyFont="1" applyBorder="1" applyAlignment="1">
      <alignment horizontal="right"/>
    </xf>
    <xf numFmtId="176" fontId="90" fillId="0" borderId="11" xfId="0" applyNumberFormat="1" applyFont="1" applyBorder="1" applyAlignment="1">
      <alignment horizontal="right"/>
    </xf>
    <xf numFmtId="41" fontId="90" fillId="0" borderId="269" xfId="0" applyNumberFormat="1" applyFont="1" applyBorder="1" applyAlignment="1">
      <alignment horizontal="right"/>
    </xf>
    <xf numFmtId="41" fontId="90" fillId="0" borderId="266" xfId="0" applyNumberFormat="1" applyFont="1" applyBorder="1" applyAlignment="1">
      <alignment horizontal="right"/>
    </xf>
    <xf numFmtId="41" fontId="90" fillId="0" borderId="59" xfId="0" applyNumberFormat="1" applyFont="1" applyBorder="1" applyAlignment="1">
      <alignment horizontal="right"/>
    </xf>
    <xf numFmtId="176" fontId="90" fillId="44" borderId="312" xfId="0" applyNumberFormat="1" applyFont="1" applyFill="1" applyBorder="1" applyAlignment="1">
      <alignment horizontal="right"/>
    </xf>
    <xf numFmtId="176" fontId="90" fillId="43" borderId="311" xfId="0" applyNumberFormat="1" applyFont="1" applyFill="1" applyBorder="1" applyAlignment="1">
      <alignment horizontal="right"/>
    </xf>
    <xf numFmtId="176" fontId="90" fillId="41" borderId="310" xfId="0" applyNumberFormat="1" applyFont="1" applyFill="1" applyBorder="1" applyAlignment="1">
      <alignment horizontal="right"/>
    </xf>
    <xf numFmtId="176" fontId="90" fillId="41" borderId="280" xfId="0" applyNumberFormat="1" applyFont="1" applyFill="1" applyBorder="1" applyAlignment="1">
      <alignment horizontal="right"/>
    </xf>
    <xf numFmtId="176" fontId="90" fillId="0" borderId="309" xfId="0" applyNumberFormat="1" applyFont="1" applyBorder="1" applyAlignment="1">
      <alignment horizontal="right"/>
    </xf>
    <xf numFmtId="176" fontId="90" fillId="0" borderId="278" xfId="0" applyNumberFormat="1" applyFont="1" applyBorder="1" applyAlignment="1">
      <alignment horizontal="right"/>
    </xf>
    <xf numFmtId="41" fontId="90" fillId="0" borderId="307" xfId="0" applyNumberFormat="1" applyFont="1" applyBorder="1" applyAlignment="1">
      <alignment horizontal="right"/>
    </xf>
    <xf numFmtId="41" fontId="90" fillId="0" borderId="306" xfId="0" applyNumberFormat="1" applyFont="1" applyBorder="1" applyAlignment="1">
      <alignment horizontal="right"/>
    </xf>
    <xf numFmtId="176" fontId="0" fillId="0" borderId="0" xfId="0" applyNumberFormat="1" applyAlignment="1">
      <alignment horizontal="right"/>
    </xf>
    <xf numFmtId="41" fontId="0" fillId="0" borderId="0" xfId="0" applyNumberFormat="1" applyAlignment="1">
      <alignment horizontal="right"/>
    </xf>
    <xf numFmtId="41" fontId="90" fillId="0" borderId="261" xfId="0" applyNumberFormat="1" applyFont="1" applyBorder="1" applyAlignment="1">
      <alignment horizontal="right"/>
    </xf>
    <xf numFmtId="176" fontId="90" fillId="0" borderId="0" xfId="0" applyNumberFormat="1" applyFont="1" applyBorder="1" applyAlignment="1">
      <alignment horizontal="right"/>
    </xf>
    <xf numFmtId="41" fontId="90" fillId="0" borderId="0" xfId="0" applyNumberFormat="1" applyFont="1" applyBorder="1" applyAlignment="1">
      <alignment horizontal="right"/>
    </xf>
    <xf numFmtId="5" fontId="0" fillId="0" borderId="0" xfId="0" applyNumberFormat="1" applyAlignment="1">
      <alignment shrinkToFit="1"/>
    </xf>
    <xf numFmtId="42" fontId="0" fillId="0" borderId="0" xfId="0" applyNumberFormat="1" applyAlignment="1">
      <alignment shrinkToFit="1"/>
    </xf>
    <xf numFmtId="0" fontId="0" fillId="0" borderId="7" xfId="0" applyBorder="1">
      <alignment vertical="center"/>
    </xf>
    <xf numFmtId="176" fontId="90" fillId="0" borderId="296" xfId="0" applyNumberFormat="1" applyFont="1" applyBorder="1" applyAlignment="1">
      <alignment horizontal="right"/>
    </xf>
    <xf numFmtId="176" fontId="90" fillId="0" borderId="414" xfId="0" applyNumberFormat="1" applyFont="1" applyBorder="1" applyAlignment="1">
      <alignment horizontal="right"/>
    </xf>
    <xf numFmtId="176" fontId="90" fillId="0" borderId="324" xfId="0" applyNumberFormat="1" applyFont="1" applyBorder="1" applyAlignment="1">
      <alignment horizontal="right"/>
    </xf>
    <xf numFmtId="176" fontId="90" fillId="0" borderId="5" xfId="0" applyNumberFormat="1" applyFont="1" applyBorder="1" applyAlignment="1">
      <alignment horizontal="right"/>
    </xf>
    <xf numFmtId="176" fontId="90" fillId="0" borderId="95" xfId="0" applyNumberFormat="1" applyFont="1" applyBorder="1" applyAlignment="1">
      <alignment horizontal="right"/>
    </xf>
    <xf numFmtId="176" fontId="90" fillId="0" borderId="415" xfId="0" applyNumberFormat="1" applyFont="1" applyBorder="1" applyAlignment="1">
      <alignment horizontal="right"/>
    </xf>
    <xf numFmtId="176" fontId="90" fillId="0" borderId="416" xfId="0" applyNumberFormat="1" applyFont="1" applyBorder="1" applyAlignment="1">
      <alignment horizontal="right"/>
    </xf>
    <xf numFmtId="0" fontId="90" fillId="0" borderId="132" xfId="21" applyFont="1" applyBorder="1" applyAlignment="1">
      <alignment vertical="center"/>
    </xf>
    <xf numFmtId="0" fontId="80" fillId="0" borderId="336" xfId="21" applyBorder="1" applyAlignment="1"/>
    <xf numFmtId="0" fontId="80" fillId="0" borderId="156" xfId="21" applyBorder="1" applyAlignment="1"/>
    <xf numFmtId="0" fontId="310" fillId="0" borderId="164" xfId="21" applyFont="1" applyBorder="1" applyAlignment="1">
      <alignment horizontal="right" vertical="center"/>
    </xf>
    <xf numFmtId="0" fontId="311" fillId="0" borderId="0" xfId="21" applyFont="1" applyBorder="1" applyAlignment="1">
      <alignment horizontal="right" vertical="center"/>
    </xf>
    <xf numFmtId="0" fontId="312" fillId="60" borderId="426" xfId="21" applyFont="1" applyFill="1" applyBorder="1" applyAlignment="1">
      <alignment horizontal="center" vertical="center"/>
    </xf>
    <xf numFmtId="0" fontId="133" fillId="0" borderId="0" xfId="0" applyFont="1">
      <alignment vertical="center"/>
    </xf>
    <xf numFmtId="0" fontId="133" fillId="0" borderId="0" xfId="21" applyFont="1">
      <alignment vertical="center"/>
    </xf>
    <xf numFmtId="0" fontId="133" fillId="0" borderId="0" xfId="21" applyFont="1" applyBorder="1" applyAlignment="1">
      <alignment vertical="center" wrapText="1"/>
    </xf>
    <xf numFmtId="0" fontId="318" fillId="0" borderId="6" xfId="0" applyFont="1" applyFill="1" applyBorder="1" applyAlignment="1">
      <alignment horizontal="left" vertical="center" wrapText="1"/>
    </xf>
    <xf numFmtId="0" fontId="13" fillId="0" borderId="0" xfId="21" applyFont="1">
      <alignment vertical="center"/>
    </xf>
    <xf numFmtId="0" fontId="316" fillId="0" borderId="0" xfId="0" applyFont="1" applyAlignment="1">
      <alignment horizontal="right" vertical="center"/>
    </xf>
    <xf numFmtId="0" fontId="49" fillId="0" borderId="0" xfId="0" applyFont="1" applyAlignment="1">
      <alignment horizontal="center"/>
    </xf>
    <xf numFmtId="49" fontId="5" fillId="0" borderId="0" xfId="0" applyNumberFormat="1" applyFont="1" applyAlignment="1" applyProtection="1">
      <alignment horizontal="left" wrapText="1"/>
    </xf>
    <xf numFmtId="0" fontId="49" fillId="0" borderId="0" xfId="0" applyFont="1" applyAlignment="1"/>
    <xf numFmtId="0" fontId="13" fillId="0" borderId="8" xfId="0" applyFont="1" applyBorder="1">
      <alignment vertical="center"/>
    </xf>
    <xf numFmtId="0" fontId="127" fillId="0" borderId="0" xfId="1" applyFont="1">
      <alignment vertical="center"/>
    </xf>
    <xf numFmtId="0" fontId="123" fillId="0" borderId="0" xfId="1" applyFont="1" applyBorder="1" applyAlignment="1">
      <alignment vertical="center"/>
    </xf>
    <xf numFmtId="0" fontId="80" fillId="0" borderId="433" xfId="21" applyBorder="1">
      <alignment vertical="center"/>
    </xf>
    <xf numFmtId="41" fontId="0" fillId="0" borderId="7" xfId="0" applyNumberFormat="1" applyBorder="1" applyAlignment="1">
      <alignment horizontal="left" vertical="center"/>
    </xf>
    <xf numFmtId="0" fontId="0" fillId="0" borderId="7" xfId="0" applyBorder="1" applyAlignment="1">
      <alignment horizontal="left" vertical="center"/>
    </xf>
    <xf numFmtId="41" fontId="0" fillId="0" borderId="0" xfId="0" applyNumberFormat="1" applyAlignment="1">
      <alignment horizontal="left" vertical="center"/>
    </xf>
    <xf numFmtId="5" fontId="0" fillId="0" borderId="0" xfId="0" applyNumberFormat="1" applyAlignment="1">
      <alignment horizontal="left" vertical="center"/>
    </xf>
    <xf numFmtId="0" fontId="319" fillId="0" borderId="0" xfId="0" applyFont="1" applyBorder="1" applyAlignment="1">
      <alignment horizontal="left" vertical="center"/>
    </xf>
    <xf numFmtId="0" fontId="220" fillId="0" borderId="0" xfId="0" applyFont="1" applyBorder="1" applyAlignment="1">
      <alignment vertical="top" wrapText="1"/>
    </xf>
    <xf numFmtId="0" fontId="157" fillId="0" borderId="0" xfId="0" applyFont="1" applyFill="1" applyBorder="1" applyAlignment="1">
      <alignment vertical="center" wrapText="1"/>
    </xf>
    <xf numFmtId="0" fontId="0" fillId="37" borderId="0" xfId="0" applyFill="1" applyBorder="1" applyAlignment="1">
      <alignment horizontal="left" vertical="center"/>
    </xf>
    <xf numFmtId="0" fontId="262" fillId="59" borderId="422" xfId="0" applyFont="1" applyFill="1" applyBorder="1" applyAlignment="1">
      <alignment horizontal="right" vertical="center"/>
    </xf>
    <xf numFmtId="0" fontId="327" fillId="0" borderId="0" xfId="0" applyFont="1" applyFill="1" applyBorder="1" applyAlignment="1">
      <alignment vertical="center" wrapText="1"/>
    </xf>
    <xf numFmtId="0" fontId="328" fillId="0" borderId="0" xfId="0" applyFont="1" applyAlignment="1">
      <alignment vertical="center" wrapText="1"/>
    </xf>
    <xf numFmtId="0" fontId="328" fillId="0" borderId="0" xfId="0" applyFont="1">
      <alignment vertical="center"/>
    </xf>
    <xf numFmtId="0" fontId="31" fillId="0" borderId="0" xfId="0" applyFont="1" applyFill="1" applyBorder="1" applyAlignment="1">
      <alignment horizontal="left" vertical="center" wrapText="1"/>
    </xf>
    <xf numFmtId="176" fontId="324" fillId="0" borderId="11" xfId="21" applyNumberFormat="1" applyFont="1" applyBorder="1" applyAlignment="1">
      <alignment horizontal="left"/>
    </xf>
    <xf numFmtId="176" fontId="56" fillId="0" borderId="0" xfId="0" applyNumberFormat="1" applyFont="1" applyBorder="1" applyAlignment="1">
      <alignment horizontal="left" vertical="top" wrapText="1"/>
    </xf>
    <xf numFmtId="0" fontId="108" fillId="0" borderId="0" xfId="21" applyFont="1" applyBorder="1" applyAlignment="1">
      <alignment horizontal="left" vertical="center" shrinkToFit="1"/>
    </xf>
    <xf numFmtId="0" fontId="92" fillId="0" borderId="0" xfId="21" applyFont="1" applyBorder="1" applyAlignment="1">
      <alignment horizontal="center" vertical="center"/>
    </xf>
    <xf numFmtId="0" fontId="173" fillId="0" borderId="0" xfId="0" applyFont="1" applyFill="1">
      <alignment vertical="center"/>
    </xf>
    <xf numFmtId="49" fontId="3" fillId="0" borderId="0" xfId="0" applyNumberFormat="1" applyFont="1" applyAlignment="1" applyProtection="1">
      <alignment horizontal="right" vertical="center" wrapText="1"/>
    </xf>
    <xf numFmtId="0" fontId="173" fillId="8" borderId="0" xfId="0" applyFont="1" applyFill="1" applyAlignment="1">
      <alignment vertical="center"/>
    </xf>
    <xf numFmtId="176" fontId="90" fillId="0" borderId="444" xfId="0" applyNumberFormat="1" applyFont="1" applyBorder="1" applyAlignment="1">
      <alignment horizontal="right"/>
    </xf>
    <xf numFmtId="0" fontId="336" fillId="8" borderId="257" xfId="0" applyFont="1" applyFill="1" applyBorder="1" applyAlignment="1" applyProtection="1">
      <alignment vertical="center"/>
    </xf>
    <xf numFmtId="0" fontId="336" fillId="8" borderId="167" xfId="0" applyFont="1" applyFill="1" applyBorder="1" applyAlignment="1" applyProtection="1">
      <alignment vertical="center"/>
    </xf>
    <xf numFmtId="0" fontId="336" fillId="8" borderId="428" xfId="0" applyFont="1" applyFill="1" applyBorder="1" applyAlignment="1" applyProtection="1">
      <alignment vertical="center"/>
    </xf>
    <xf numFmtId="3" fontId="336" fillId="8" borderId="256" xfId="0" applyNumberFormat="1" applyFont="1" applyFill="1" applyBorder="1" applyAlignment="1" applyProtection="1">
      <alignment vertical="center"/>
    </xf>
    <xf numFmtId="0" fontId="336" fillId="8" borderId="168" xfId="0" applyFont="1" applyFill="1" applyBorder="1" applyAlignment="1" applyProtection="1">
      <alignment vertical="center"/>
    </xf>
    <xf numFmtId="3" fontId="337" fillId="8" borderId="445" xfId="0" applyNumberFormat="1" applyFont="1" applyFill="1" applyBorder="1" applyAlignment="1" applyProtection="1">
      <alignment vertical="center"/>
    </xf>
    <xf numFmtId="196" fontId="338" fillId="8" borderId="436" xfId="0" applyNumberFormat="1" applyFont="1" applyFill="1" applyBorder="1" applyAlignment="1" applyProtection="1">
      <alignment horizontal="center" vertical="center"/>
    </xf>
    <xf numFmtId="196" fontId="338" fillId="8" borderId="438" xfId="0" applyNumberFormat="1" applyFont="1" applyFill="1" applyBorder="1" applyAlignment="1" applyProtection="1">
      <alignment horizontal="center" vertical="center"/>
    </xf>
    <xf numFmtId="0" fontId="328" fillId="0" borderId="16" xfId="0" applyFont="1" applyBorder="1">
      <alignment vertical="center"/>
    </xf>
    <xf numFmtId="0" fontId="328" fillId="0" borderId="0" xfId="0" applyFont="1" applyAlignment="1">
      <alignment horizontal="left" vertical="center"/>
    </xf>
    <xf numFmtId="0" fontId="341" fillId="0" borderId="0" xfId="0" applyFont="1">
      <alignment vertical="center"/>
    </xf>
    <xf numFmtId="0" fontId="341" fillId="0" borderId="0" xfId="0" applyFont="1" applyFill="1" applyBorder="1" applyAlignment="1">
      <alignment horizontal="center" vertical="center" wrapText="1"/>
    </xf>
    <xf numFmtId="0" fontId="341" fillId="0" borderId="0" xfId="0" applyFont="1" applyFill="1" applyBorder="1" applyAlignment="1">
      <alignment vertical="center" wrapText="1"/>
    </xf>
    <xf numFmtId="0" fontId="341" fillId="0" borderId="0" xfId="0" applyFont="1" applyFill="1" applyBorder="1" applyAlignment="1">
      <alignment horizontal="left" vertical="center"/>
    </xf>
    <xf numFmtId="0" fontId="341" fillId="0" borderId="0" xfId="0" applyFont="1" applyBorder="1" applyAlignment="1">
      <alignment horizontal="center" vertical="center"/>
    </xf>
    <xf numFmtId="0" fontId="341" fillId="0" borderId="0" xfId="0" applyFont="1" applyFill="1" applyBorder="1" applyAlignment="1">
      <alignment horizontal="left" vertical="center" wrapText="1"/>
    </xf>
    <xf numFmtId="0" fontId="328" fillId="0" borderId="0" xfId="0" applyFont="1" applyBorder="1">
      <alignment vertical="center"/>
    </xf>
    <xf numFmtId="181" fontId="342" fillId="0" borderId="0" xfId="1" applyNumberFormat="1" applyFont="1" applyBorder="1" applyAlignment="1">
      <alignment horizontal="left"/>
    </xf>
    <xf numFmtId="0" fontId="341" fillId="0" borderId="0" xfId="1" applyFont="1" applyBorder="1" applyAlignment="1">
      <alignment horizontal="center"/>
    </xf>
    <xf numFmtId="0" fontId="341" fillId="0" borderId="0" xfId="1" applyFont="1" applyBorder="1" applyAlignment="1">
      <alignment horizontal="left" vertical="center"/>
    </xf>
    <xf numFmtId="0" fontId="341" fillId="0" borderId="0" xfId="1" applyFont="1" applyFill="1" applyBorder="1" applyAlignment="1">
      <alignment horizontal="left" vertical="center"/>
    </xf>
    <xf numFmtId="0" fontId="341" fillId="0" borderId="0" xfId="1" applyFont="1" applyBorder="1" applyAlignment="1">
      <alignment horizontal="left"/>
    </xf>
    <xf numFmtId="0" fontId="341" fillId="0" borderId="0" xfId="1" applyFont="1" applyFill="1" applyBorder="1" applyAlignment="1">
      <alignment horizontal="left"/>
    </xf>
    <xf numFmtId="0" fontId="341" fillId="0" borderId="0" xfId="1" applyFont="1" applyBorder="1" applyAlignment="1">
      <alignment horizontal="left" vertical="top"/>
    </xf>
    <xf numFmtId="0" fontId="341" fillId="0" borderId="0" xfId="1" applyFont="1" applyFill="1" applyBorder="1" applyAlignment="1">
      <alignment horizontal="left" vertical="top"/>
    </xf>
    <xf numFmtId="0" fontId="341" fillId="0" borderId="0" xfId="1" applyFont="1" applyBorder="1" applyAlignment="1">
      <alignment horizontal="center" vertical="top"/>
    </xf>
    <xf numFmtId="0" fontId="341" fillId="0" borderId="0" xfId="1" applyFont="1" applyBorder="1" applyAlignment="1">
      <alignment vertical="top"/>
    </xf>
    <xf numFmtId="0" fontId="299" fillId="0" borderId="0" xfId="1" applyFont="1" applyBorder="1" applyAlignment="1">
      <alignment horizontal="left"/>
    </xf>
    <xf numFmtId="0" fontId="341" fillId="0" borderId="0" xfId="1" applyFont="1" applyAlignment="1"/>
    <xf numFmtId="0" fontId="341" fillId="0" borderId="0" xfId="1" applyFont="1">
      <alignment vertical="center"/>
    </xf>
    <xf numFmtId="0" fontId="343" fillId="0" borderId="0" xfId="1" applyFont="1">
      <alignment vertical="center"/>
    </xf>
    <xf numFmtId="0" fontId="238" fillId="0" borderId="0" xfId="0" applyFont="1" applyBorder="1" applyAlignment="1">
      <alignment vertical="center" wrapText="1"/>
    </xf>
    <xf numFmtId="0" fontId="327" fillId="0" borderId="0" xfId="0" applyFont="1" applyBorder="1" applyAlignment="1">
      <alignment vertical="center" wrapText="1"/>
    </xf>
    <xf numFmtId="0" fontId="344" fillId="0" borderId="0" xfId="0" applyFont="1" applyBorder="1" applyAlignment="1">
      <alignment vertical="center" wrapText="1"/>
    </xf>
    <xf numFmtId="0" fontId="327" fillId="0" borderId="0" xfId="0" applyFont="1" applyFill="1" applyBorder="1" applyAlignment="1">
      <alignment horizontal="left" vertical="center"/>
    </xf>
    <xf numFmtId="0" fontId="345" fillId="0" borderId="0" xfId="0" applyFont="1" applyFill="1" applyBorder="1" applyAlignment="1">
      <alignment horizontal="center" vertical="center"/>
    </xf>
    <xf numFmtId="0" fontId="328" fillId="0" borderId="0" xfId="0" applyFont="1" applyFill="1">
      <alignment vertical="center"/>
    </xf>
    <xf numFmtId="0" fontId="327" fillId="0" borderId="0" xfId="0" applyFont="1" applyFill="1" applyBorder="1" applyAlignment="1">
      <alignment horizontal="center" vertical="center"/>
    </xf>
    <xf numFmtId="0" fontId="346" fillId="0" borderId="430" xfId="0" applyFont="1" applyBorder="1" applyAlignment="1">
      <alignment horizontal="center" vertical="center"/>
    </xf>
    <xf numFmtId="189" fontId="339" fillId="8" borderId="2" xfId="0" applyNumberFormat="1" applyFont="1" applyFill="1" applyBorder="1" applyAlignment="1" applyProtection="1">
      <alignment horizontal="right" vertical="center" shrinkToFit="1"/>
    </xf>
    <xf numFmtId="189" fontId="339" fillId="8" borderId="14" xfId="0" applyNumberFormat="1" applyFont="1" applyFill="1" applyBorder="1" applyAlignment="1" applyProtection="1">
      <alignment horizontal="right" vertical="center" shrinkToFit="1"/>
    </xf>
    <xf numFmtId="189" fontId="339" fillId="8" borderId="12" xfId="0" applyNumberFormat="1" applyFont="1" applyFill="1" applyBorder="1" applyAlignment="1" applyProtection="1">
      <alignment horizontal="right" vertical="center" shrinkToFit="1"/>
    </xf>
    <xf numFmtId="0" fontId="336" fillId="8" borderId="454" xfId="0" applyFont="1" applyFill="1" applyBorder="1" applyAlignment="1" applyProtection="1">
      <alignment vertical="center"/>
    </xf>
    <xf numFmtId="0" fontId="336" fillId="8" borderId="448" xfId="0" applyFont="1" applyFill="1" applyBorder="1" applyAlignment="1" applyProtection="1">
      <alignment vertical="center"/>
    </xf>
    <xf numFmtId="0" fontId="336" fillId="8" borderId="455" xfId="0" applyFont="1" applyFill="1" applyBorder="1" applyAlignment="1" applyProtection="1">
      <alignment vertical="center"/>
    </xf>
    <xf numFmtId="3" fontId="337" fillId="8" borderId="456" xfId="0" applyNumberFormat="1" applyFont="1" applyFill="1" applyBorder="1" applyAlignment="1" applyProtection="1">
      <alignment vertical="center"/>
    </xf>
    <xf numFmtId="196" fontId="338" fillId="8" borderId="449" xfId="0" applyNumberFormat="1" applyFont="1" applyFill="1" applyBorder="1" applyAlignment="1" applyProtection="1">
      <alignment horizontal="center" vertical="center"/>
    </xf>
    <xf numFmtId="3" fontId="336" fillId="8" borderId="448" xfId="0" applyNumberFormat="1" applyFont="1" applyFill="1" applyBorder="1" applyAlignment="1" applyProtection="1">
      <alignment vertical="center"/>
    </xf>
    <xf numFmtId="196" fontId="338" fillId="8" borderId="457" xfId="0" applyNumberFormat="1" applyFont="1" applyFill="1" applyBorder="1" applyAlignment="1" applyProtection="1">
      <alignment horizontal="center" vertical="center"/>
    </xf>
    <xf numFmtId="0" fontId="336" fillId="8" borderId="458" xfId="0" applyFont="1" applyFill="1" applyBorder="1" applyAlignment="1" applyProtection="1">
      <alignment vertical="center"/>
    </xf>
    <xf numFmtId="0" fontId="143" fillId="0" borderId="432" xfId="0" applyFont="1" applyBorder="1" applyAlignment="1">
      <alignment horizontal="center" vertical="center"/>
    </xf>
    <xf numFmtId="0" fontId="336" fillId="8" borderId="459" xfId="0" applyFont="1" applyFill="1" applyBorder="1" applyAlignment="1" applyProtection="1">
      <alignment vertical="center"/>
    </xf>
    <xf numFmtId="0" fontId="336" fillId="8" borderId="460" xfId="0" applyFont="1" applyFill="1" applyBorder="1" applyAlignment="1" applyProtection="1">
      <alignment horizontal="right" vertical="center"/>
    </xf>
    <xf numFmtId="0" fontId="337" fillId="64" borderId="459" xfId="1" applyFont="1" applyFill="1" applyBorder="1" applyAlignment="1" applyProtection="1">
      <alignment vertical="center" wrapText="1"/>
    </xf>
    <xf numFmtId="0" fontId="337" fillId="64" borderId="461" xfId="1" applyFont="1" applyFill="1" applyBorder="1" applyAlignment="1" applyProtection="1">
      <alignment vertical="center"/>
    </xf>
    <xf numFmtId="0" fontId="337" fillId="64" borderId="459" xfId="1" applyFont="1" applyFill="1" applyBorder="1" applyAlignment="1" applyProtection="1">
      <alignment horizontal="right" vertical="center" wrapText="1"/>
    </xf>
    <xf numFmtId="0" fontId="337" fillId="8" borderId="461" xfId="1" applyFont="1" applyFill="1" applyBorder="1" applyAlignment="1" applyProtection="1">
      <alignment vertical="center" wrapText="1"/>
    </xf>
    <xf numFmtId="0" fontId="337" fillId="8" borderId="461" xfId="1" applyFont="1" applyFill="1" applyBorder="1" applyAlignment="1" applyProtection="1">
      <alignment vertical="center"/>
    </xf>
    <xf numFmtId="0" fontId="337" fillId="8" borderId="461" xfId="1" applyFont="1" applyFill="1" applyBorder="1" applyAlignment="1" applyProtection="1">
      <alignment horizontal="right" vertical="center" wrapText="1"/>
    </xf>
    <xf numFmtId="0" fontId="337" fillId="64" borderId="461" xfId="1" applyFont="1" applyFill="1" applyBorder="1" applyAlignment="1" applyProtection="1">
      <alignment vertical="center" wrapText="1"/>
    </xf>
    <xf numFmtId="0" fontId="337" fillId="64" borderId="462" xfId="1" applyFont="1" applyFill="1" applyBorder="1" applyAlignment="1" applyProtection="1">
      <alignment vertical="center" wrapText="1"/>
    </xf>
    <xf numFmtId="0" fontId="347" fillId="0" borderId="463" xfId="0" applyFont="1" applyBorder="1" applyAlignment="1">
      <alignment horizontal="center" vertical="center"/>
    </xf>
    <xf numFmtId="0" fontId="2" fillId="0" borderId="435" xfId="0" applyFont="1" applyBorder="1">
      <alignment vertical="center"/>
    </xf>
    <xf numFmtId="0" fontId="142" fillId="0" borderId="163" xfId="0" applyFont="1" applyBorder="1" applyAlignment="1">
      <alignment horizontal="center" vertical="center" shrinkToFit="1"/>
    </xf>
    <xf numFmtId="0" fontId="142" fillId="0" borderId="162" xfId="0" applyFont="1" applyBorder="1" applyAlignment="1">
      <alignment horizontal="center" vertical="center" shrinkToFit="1"/>
    </xf>
    <xf numFmtId="0" fontId="142" fillId="0" borderId="427" xfId="0" applyFont="1" applyBorder="1" applyAlignment="1">
      <alignment horizontal="center" vertical="center" shrinkToFit="1"/>
    </xf>
    <xf numFmtId="0" fontId="142" fillId="0" borderId="446" xfId="0" applyFont="1" applyBorder="1" applyAlignment="1">
      <alignment horizontal="center" vertical="center" shrinkToFit="1"/>
    </xf>
    <xf numFmtId="0" fontId="142" fillId="0" borderId="436" xfId="0" applyFont="1" applyBorder="1" applyAlignment="1">
      <alignment horizontal="center" shrinkToFit="1"/>
    </xf>
    <xf numFmtId="0" fontId="142" fillId="0" borderId="437" xfId="0" applyFont="1" applyBorder="1" applyAlignment="1">
      <alignment horizontal="center" shrinkToFit="1"/>
    </xf>
    <xf numFmtId="0" fontId="142" fillId="0" borderId="434" xfId="0" applyFont="1" applyBorder="1" applyAlignment="1">
      <alignment horizontal="center" vertical="center" shrinkToFit="1"/>
    </xf>
    <xf numFmtId="0" fontId="142" fillId="17" borderId="163" xfId="0" applyFont="1" applyFill="1" applyBorder="1" applyAlignment="1" applyProtection="1">
      <alignment horizontal="center" vertical="center" shrinkToFit="1"/>
    </xf>
    <xf numFmtId="0" fontId="142" fillId="17" borderId="161" xfId="0" applyFont="1" applyFill="1" applyBorder="1" applyAlignment="1" applyProtection="1">
      <alignment horizontal="center" vertical="center" shrinkToFit="1"/>
    </xf>
    <xf numFmtId="0" fontId="142" fillId="0" borderId="161" xfId="0" applyFont="1" applyFill="1" applyBorder="1" applyAlignment="1" applyProtection="1">
      <alignment horizontal="center" vertical="center" shrinkToFit="1"/>
    </xf>
    <xf numFmtId="0" fontId="142" fillId="17" borderId="434" xfId="0" applyFont="1" applyFill="1" applyBorder="1" applyAlignment="1" applyProtection="1">
      <alignment horizontal="center" vertical="center" shrinkToFit="1"/>
    </xf>
    <xf numFmtId="0" fontId="14" fillId="60" borderId="424" xfId="0" applyFont="1" applyFill="1" applyBorder="1" applyAlignment="1">
      <alignment vertical="center" wrapText="1"/>
    </xf>
    <xf numFmtId="0" fontId="14" fillId="60" borderId="425" xfId="0" applyFont="1" applyFill="1" applyBorder="1" applyAlignment="1">
      <alignment vertical="center" wrapText="1"/>
    </xf>
    <xf numFmtId="0" fontId="14" fillId="57" borderId="0" xfId="0" applyFont="1" applyFill="1" applyBorder="1" applyAlignment="1">
      <alignment vertical="center" wrapText="1"/>
    </xf>
    <xf numFmtId="0" fontId="14" fillId="57" borderId="420" xfId="0" applyFont="1" applyFill="1" applyBorder="1" applyAlignment="1">
      <alignment vertical="center" wrapText="1"/>
    </xf>
    <xf numFmtId="197" fontId="90" fillId="0" borderId="285" xfId="21" applyNumberFormat="1" applyFont="1" applyBorder="1" applyAlignment="1">
      <alignment horizontal="center" vertical="top"/>
    </xf>
    <xf numFmtId="197" fontId="90" fillId="0" borderId="270" xfId="21" applyNumberFormat="1" applyFont="1" applyBorder="1" applyAlignment="1">
      <alignment horizontal="center" vertical="top"/>
    </xf>
    <xf numFmtId="0" fontId="350" fillId="0" borderId="0" xfId="0" applyFont="1" applyAlignment="1">
      <alignment vertical="center"/>
    </xf>
    <xf numFmtId="0" fontId="80" fillId="0" borderId="465" xfId="21" applyBorder="1">
      <alignment vertical="center"/>
    </xf>
    <xf numFmtId="0" fontId="261" fillId="0" borderId="435" xfId="0" applyFont="1" applyBorder="1" applyAlignment="1">
      <alignment horizontal="center" vertical="top" shrinkToFit="1"/>
    </xf>
    <xf numFmtId="0" fontId="315" fillId="0" borderId="0" xfId="1" applyFont="1" applyBorder="1" applyAlignment="1">
      <alignment vertical="center"/>
    </xf>
    <xf numFmtId="1" fontId="356" fillId="0" borderId="4" xfId="0" applyNumberFormat="1" applyFont="1" applyBorder="1" applyAlignment="1">
      <alignment horizontal="right" vertical="top"/>
    </xf>
    <xf numFmtId="0" fontId="320" fillId="0" borderId="4" xfId="0" applyFont="1" applyFill="1" applyBorder="1" applyAlignment="1">
      <alignment vertical="top" wrapText="1"/>
    </xf>
    <xf numFmtId="0" fontId="105" fillId="0" borderId="0" xfId="21" applyFont="1">
      <alignment vertical="center"/>
    </xf>
    <xf numFmtId="0" fontId="105" fillId="0" borderId="0" xfId="21" applyFont="1" applyBorder="1">
      <alignment vertical="center"/>
    </xf>
    <xf numFmtId="0" fontId="105" fillId="0" borderId="0" xfId="0" applyFont="1" applyAlignment="1">
      <alignment vertical="center" shrinkToFit="1"/>
    </xf>
    <xf numFmtId="0" fontId="105" fillId="0" borderId="0" xfId="0" applyFont="1" applyBorder="1" applyAlignment="1">
      <alignment vertical="center" shrinkToFit="1"/>
    </xf>
    <xf numFmtId="41" fontId="105" fillId="0" borderId="0" xfId="0" applyNumberFormat="1" applyFont="1" applyBorder="1" applyAlignment="1">
      <alignment horizontal="left" vertical="center" shrinkToFit="1"/>
    </xf>
    <xf numFmtId="0" fontId="105" fillId="0" borderId="0" xfId="0" applyFont="1" applyBorder="1" applyAlignment="1">
      <alignment horizontal="left" vertical="center" shrinkToFit="1"/>
    </xf>
    <xf numFmtId="0" fontId="105" fillId="0" borderId="0" xfId="0" applyFont="1" applyAlignment="1">
      <alignment horizontal="left" vertical="center" shrinkToFit="1"/>
    </xf>
    <xf numFmtId="41" fontId="105" fillId="0" borderId="0" xfId="0" applyNumberFormat="1" applyFont="1" applyAlignment="1">
      <alignment horizontal="left" vertical="center" shrinkToFit="1"/>
    </xf>
    <xf numFmtId="5" fontId="105" fillId="0" borderId="0" xfId="0" applyNumberFormat="1" applyFont="1" applyAlignment="1">
      <alignment horizontal="right" vertical="center" shrinkToFit="1"/>
    </xf>
    <xf numFmtId="42" fontId="354" fillId="0" borderId="189" xfId="0" applyNumberFormat="1" applyFont="1" applyFill="1" applyBorder="1" applyAlignment="1">
      <alignment vertical="center" shrinkToFit="1"/>
    </xf>
    <xf numFmtId="42" fontId="354" fillId="17" borderId="189" xfId="0" applyNumberFormat="1" applyFont="1" applyFill="1" applyBorder="1" applyAlignment="1">
      <alignment vertical="center" shrinkToFit="1"/>
    </xf>
    <xf numFmtId="42" fontId="354" fillId="0" borderId="13" xfId="0" applyNumberFormat="1" applyFont="1" applyFill="1" applyBorder="1" applyAlignment="1" applyProtection="1">
      <alignment vertical="center" shrinkToFit="1"/>
    </xf>
    <xf numFmtId="3" fontId="355" fillId="0" borderId="0" xfId="0" applyNumberFormat="1" applyFont="1" applyBorder="1" applyAlignment="1">
      <alignment vertical="center" shrinkToFit="1"/>
    </xf>
    <xf numFmtId="3" fontId="355" fillId="17" borderId="0" xfId="0" applyNumberFormat="1" applyFont="1" applyFill="1" applyBorder="1" applyAlignment="1">
      <alignment vertical="center" shrinkToFit="1"/>
    </xf>
    <xf numFmtId="3" fontId="355" fillId="0" borderId="0" xfId="0" applyNumberFormat="1" applyFont="1" applyFill="1" applyBorder="1" applyAlignment="1">
      <alignment vertical="center" shrinkToFit="1"/>
    </xf>
    <xf numFmtId="0" fontId="354" fillId="0" borderId="13" xfId="0" applyFont="1" applyFill="1" applyBorder="1" applyAlignment="1">
      <alignment vertical="center" shrinkToFit="1"/>
    </xf>
    <xf numFmtId="0" fontId="354" fillId="0" borderId="1" xfId="0" applyFont="1" applyFill="1" applyBorder="1" applyAlignment="1">
      <alignment vertical="center" shrinkToFit="1"/>
    </xf>
    <xf numFmtId="0" fontId="354" fillId="17" borderId="13" xfId="0" applyFont="1" applyFill="1" applyBorder="1" applyAlignment="1">
      <alignment vertical="center" shrinkToFit="1"/>
    </xf>
    <xf numFmtId="0" fontId="354" fillId="0" borderId="160" xfId="0" applyNumberFormat="1" applyFont="1" applyBorder="1" applyAlignment="1">
      <alignment vertical="center" shrinkToFit="1"/>
    </xf>
    <xf numFmtId="0" fontId="314" fillId="0" borderId="14" xfId="0" applyFont="1" applyBorder="1" applyAlignment="1">
      <alignment horizontal="center" wrapText="1"/>
    </xf>
    <xf numFmtId="0" fontId="314" fillId="0" borderId="9" xfId="0" applyFont="1" applyBorder="1" applyAlignment="1">
      <alignment horizontal="center" wrapText="1"/>
    </xf>
    <xf numFmtId="0" fontId="314" fillId="17" borderId="14" xfId="0" applyFont="1" applyFill="1" applyBorder="1" applyAlignment="1">
      <alignment horizontal="center" wrapText="1"/>
    </xf>
    <xf numFmtId="0" fontId="314" fillId="17" borderId="9" xfId="0" applyFont="1" applyFill="1" applyBorder="1" applyAlignment="1">
      <alignment horizontal="center" wrapText="1"/>
    </xf>
    <xf numFmtId="0" fontId="314" fillId="0" borderId="14" xfId="0" applyNumberFormat="1" applyFont="1" applyBorder="1" applyAlignment="1">
      <alignment vertical="center"/>
    </xf>
    <xf numFmtId="0" fontId="314" fillId="0" borderId="14" xfId="0" applyFont="1" applyFill="1" applyBorder="1" applyAlignment="1">
      <alignment horizontal="center" wrapText="1"/>
    </xf>
    <xf numFmtId="0" fontId="314" fillId="0" borderId="0" xfId="0" applyFont="1" applyAlignment="1">
      <alignment horizontal="center" wrapText="1"/>
    </xf>
    <xf numFmtId="0" fontId="314" fillId="17" borderId="0" xfId="0" applyFont="1" applyFill="1" applyAlignment="1">
      <alignment horizontal="center" wrapText="1"/>
    </xf>
    <xf numFmtId="0" fontId="123" fillId="0" borderId="0" xfId="1" applyFont="1" applyBorder="1" applyAlignment="1">
      <alignment vertical="center" wrapText="1"/>
    </xf>
    <xf numFmtId="0" fontId="314" fillId="0" borderId="0" xfId="0" applyFont="1" applyBorder="1" applyAlignment="1">
      <alignment horizontal="center" wrapText="1"/>
    </xf>
    <xf numFmtId="0" fontId="49" fillId="17" borderId="9" xfId="0" applyFont="1" applyFill="1" applyBorder="1" applyAlignment="1">
      <alignment vertical="top" textRotation="255"/>
    </xf>
    <xf numFmtId="42" fontId="354" fillId="0" borderId="159" xfId="0" applyNumberFormat="1" applyFont="1" applyFill="1" applyBorder="1" applyAlignment="1">
      <alignment horizontal="left" vertical="center" shrinkToFit="1"/>
    </xf>
    <xf numFmtId="0" fontId="354" fillId="0" borderId="13" xfId="0" applyFont="1" applyFill="1" applyBorder="1" applyAlignment="1" applyProtection="1">
      <alignment horizontal="right" vertical="center" shrinkToFit="1"/>
    </xf>
    <xf numFmtId="0" fontId="314" fillId="0" borderId="14" xfId="0" applyFont="1" applyBorder="1" applyAlignment="1">
      <alignment horizontal="center" shrinkToFit="1"/>
    </xf>
    <xf numFmtId="0" fontId="314" fillId="0" borderId="9" xfId="0" applyFont="1" applyBorder="1" applyAlignment="1">
      <alignment horizontal="center" shrinkToFit="1"/>
    </xf>
    <xf numFmtId="0" fontId="321" fillId="17" borderId="467" xfId="1" applyFont="1" applyFill="1" applyBorder="1" applyAlignment="1">
      <alignment horizontal="center" vertical="center" shrinkToFit="1"/>
    </xf>
    <xf numFmtId="0" fontId="321" fillId="17" borderId="173" xfId="1" applyFont="1" applyFill="1" applyBorder="1" applyAlignment="1">
      <alignment horizontal="center" vertical="center" shrinkToFit="1"/>
    </xf>
    <xf numFmtId="0" fontId="321" fillId="0" borderId="466" xfId="1" applyFont="1" applyBorder="1" applyAlignment="1">
      <alignment horizontal="center" vertical="center" shrinkToFit="1"/>
    </xf>
    <xf numFmtId="0" fontId="321" fillId="0" borderId="467" xfId="1" applyFont="1" applyBorder="1" applyAlignment="1">
      <alignment horizontal="center" vertical="center" shrinkToFit="1"/>
    </xf>
    <xf numFmtId="0" fontId="321" fillId="0" borderId="173" xfId="1" applyFont="1" applyBorder="1" applyAlignment="1">
      <alignment horizontal="center" vertical="center" shrinkToFit="1"/>
    </xf>
    <xf numFmtId="0" fontId="321" fillId="17" borderId="466" xfId="1" applyFont="1" applyFill="1" applyBorder="1" applyAlignment="1">
      <alignment horizontal="center" vertical="center" shrinkToFit="1"/>
    </xf>
    <xf numFmtId="42" fontId="358" fillId="17" borderId="159" xfId="1" applyNumberFormat="1" applyFont="1" applyFill="1" applyBorder="1" applyAlignment="1">
      <alignment horizontal="left" vertical="center" shrinkToFit="1"/>
    </xf>
    <xf numFmtId="42" fontId="354" fillId="0" borderId="159" xfId="21" applyNumberFormat="1" applyFont="1" applyBorder="1" applyAlignment="1">
      <alignment horizontal="left" vertical="center" shrinkToFit="1"/>
    </xf>
    <xf numFmtId="0" fontId="133" fillId="0" borderId="1" xfId="0" applyFont="1" applyBorder="1">
      <alignment vertical="center"/>
    </xf>
    <xf numFmtId="0" fontId="321" fillId="0" borderId="7" xfId="1" applyFont="1" applyBorder="1" applyAlignment="1">
      <alignment horizontal="center" wrapText="1"/>
    </xf>
    <xf numFmtId="0" fontId="321" fillId="0" borderId="5" xfId="1" applyFont="1" applyBorder="1" applyAlignment="1">
      <alignment horizontal="center" wrapText="1"/>
    </xf>
    <xf numFmtId="0" fontId="321" fillId="0" borderId="14" xfId="1" applyFont="1" applyBorder="1" applyAlignment="1">
      <alignment horizontal="center" wrapText="1"/>
    </xf>
    <xf numFmtId="0" fontId="322" fillId="0" borderId="0" xfId="0" applyFont="1" applyFill="1" applyAlignment="1">
      <alignment vertical="center"/>
    </xf>
    <xf numFmtId="0" fontId="322" fillId="0" borderId="0" xfId="0" applyFont="1" applyAlignment="1">
      <alignment vertical="center"/>
    </xf>
    <xf numFmtId="0" fontId="314" fillId="17" borderId="0" xfId="0" applyFont="1" applyFill="1" applyBorder="1" applyAlignment="1">
      <alignment horizontal="center" wrapText="1"/>
    </xf>
    <xf numFmtId="0" fontId="321" fillId="0" borderId="0" xfId="1" applyFont="1" applyBorder="1" applyAlignment="1">
      <alignment horizontal="center" wrapText="1"/>
    </xf>
    <xf numFmtId="0" fontId="321" fillId="17" borderId="0" xfId="1" applyFont="1" applyFill="1" applyBorder="1" applyAlignment="1">
      <alignment horizontal="center" wrapText="1"/>
    </xf>
    <xf numFmtId="0" fontId="49" fillId="0" borderId="0" xfId="0" applyFont="1" applyBorder="1" applyAlignment="1">
      <alignment horizontal="center" vertical="center" wrapText="1"/>
    </xf>
    <xf numFmtId="3" fontId="358" fillId="17" borderId="0" xfId="1" applyNumberFormat="1" applyFont="1" applyFill="1" applyBorder="1" applyAlignment="1">
      <alignment vertical="center" shrinkToFit="1"/>
    </xf>
    <xf numFmtId="3" fontId="358" fillId="0" borderId="0" xfId="1" applyNumberFormat="1" applyFont="1" applyBorder="1" applyAlignment="1">
      <alignment vertical="center" shrinkToFit="1"/>
    </xf>
    <xf numFmtId="0" fontId="358" fillId="17" borderId="160" xfId="1" applyFont="1" applyFill="1" applyBorder="1" applyAlignment="1">
      <alignment horizontal="right" vertical="center" shrinkToFit="1"/>
    </xf>
    <xf numFmtId="0" fontId="358" fillId="0" borderId="194" xfId="1" applyFont="1" applyBorder="1" applyAlignment="1">
      <alignment vertical="center" shrinkToFit="1"/>
    </xf>
    <xf numFmtId="0" fontId="358" fillId="17" borderId="194" xfId="1" applyFont="1" applyFill="1" applyBorder="1" applyAlignment="1">
      <alignment vertical="center" shrinkToFit="1"/>
    </xf>
    <xf numFmtId="0" fontId="358" fillId="17" borderId="160" xfId="1" applyFont="1" applyFill="1" applyBorder="1" applyAlignment="1">
      <alignment vertical="center" shrinkToFit="1"/>
    </xf>
    <xf numFmtId="3" fontId="358" fillId="17" borderId="245" xfId="1" applyNumberFormat="1" applyFont="1" applyFill="1" applyBorder="1" applyAlignment="1">
      <alignment vertical="center" shrinkToFit="1"/>
    </xf>
    <xf numFmtId="0" fontId="321" fillId="17" borderId="245" xfId="1" applyFont="1" applyFill="1" applyBorder="1" applyAlignment="1">
      <alignment horizontal="center" wrapText="1"/>
    </xf>
    <xf numFmtId="0" fontId="314" fillId="0" borderId="173" xfId="0" applyFont="1" applyBorder="1" applyAlignment="1">
      <alignment horizontal="center" vertical="center" shrinkToFit="1"/>
    </xf>
    <xf numFmtId="0" fontId="314" fillId="0" borderId="191" xfId="0" applyFont="1" applyBorder="1" applyAlignment="1">
      <alignment horizontal="center" vertical="center" shrinkToFit="1"/>
    </xf>
    <xf numFmtId="0" fontId="314" fillId="0" borderId="466" xfId="0" applyFont="1" applyBorder="1" applyAlignment="1">
      <alignment horizontal="center" vertical="center" shrinkToFit="1"/>
    </xf>
    <xf numFmtId="0" fontId="314" fillId="17" borderId="466" xfId="0" applyFont="1" applyFill="1" applyBorder="1" applyAlignment="1">
      <alignment horizontal="center" vertical="center" shrinkToFit="1"/>
    </xf>
    <xf numFmtId="0" fontId="314" fillId="17" borderId="173" xfId="0" applyFont="1" applyFill="1" applyBorder="1" applyAlignment="1">
      <alignment horizontal="center" vertical="center" shrinkToFit="1"/>
    </xf>
    <xf numFmtId="0" fontId="314" fillId="17" borderId="191" xfId="0" applyFont="1" applyFill="1" applyBorder="1" applyAlignment="1">
      <alignment horizontal="center" vertical="center" shrinkToFit="1"/>
    </xf>
    <xf numFmtId="0" fontId="359" fillId="17" borderId="7" xfId="0" applyFont="1" applyFill="1" applyBorder="1" applyAlignment="1">
      <alignment textRotation="255"/>
    </xf>
    <xf numFmtId="0" fontId="127" fillId="0" borderId="468" xfId="1" applyFont="1" applyBorder="1">
      <alignment vertical="center"/>
    </xf>
    <xf numFmtId="0" fontId="108" fillId="0" borderId="0" xfId="21" applyFont="1" applyBorder="1" applyAlignment="1">
      <alignment vertical="center" shrinkToFit="1"/>
    </xf>
    <xf numFmtId="176" fontId="183" fillId="0" borderId="0" xfId="0" applyNumberFormat="1" applyFont="1" applyBorder="1" applyAlignment="1">
      <alignment wrapText="1"/>
    </xf>
    <xf numFmtId="181" fontId="173" fillId="4" borderId="2" xfId="21" applyNumberFormat="1" applyFont="1" applyFill="1" applyBorder="1" applyAlignment="1">
      <alignment horizontal="center" vertical="center"/>
    </xf>
    <xf numFmtId="181" fontId="173" fillId="4" borderId="14" xfId="21" applyNumberFormat="1" applyFont="1" applyFill="1" applyBorder="1" applyAlignment="1">
      <alignment horizontal="center" vertical="center"/>
    </xf>
    <xf numFmtId="0" fontId="361" fillId="25" borderId="3" xfId="0" applyNumberFormat="1" applyFont="1" applyFill="1" applyBorder="1" applyAlignment="1">
      <alignment horizontal="center" vertical="center"/>
    </xf>
    <xf numFmtId="0" fontId="361" fillId="25" borderId="0" xfId="0" applyNumberFormat="1" applyFont="1" applyFill="1" applyBorder="1" applyAlignment="1">
      <alignment horizontal="center" vertical="center" wrapText="1"/>
    </xf>
    <xf numFmtId="0" fontId="361" fillId="25" borderId="6" xfId="0" applyNumberFormat="1" applyFont="1" applyFill="1" applyBorder="1" applyAlignment="1">
      <alignment horizontal="center" vertical="center" wrapText="1"/>
    </xf>
    <xf numFmtId="0" fontId="361" fillId="25" borderId="6" xfId="0" applyNumberFormat="1" applyFont="1" applyFill="1" applyBorder="1" applyAlignment="1">
      <alignment horizontal="center" vertical="center"/>
    </xf>
    <xf numFmtId="176" fontId="263" fillId="66" borderId="3" xfId="21" applyNumberFormat="1" applyFont="1" applyFill="1" applyBorder="1" applyAlignment="1">
      <alignment horizontal="center" vertical="center"/>
    </xf>
    <xf numFmtId="176" fontId="175" fillId="66" borderId="4" xfId="21" applyNumberFormat="1" applyFont="1" applyFill="1" applyBorder="1" applyAlignment="1">
      <alignment horizontal="center" vertical="center" shrinkToFit="1"/>
    </xf>
    <xf numFmtId="0" fontId="263" fillId="66" borderId="3" xfId="21" applyNumberFormat="1" applyFont="1" applyFill="1" applyBorder="1" applyAlignment="1">
      <alignment horizontal="center" vertical="center"/>
    </xf>
    <xf numFmtId="176" fontId="175" fillId="0" borderId="159" xfId="21" applyNumberFormat="1" applyFont="1" applyFill="1" applyBorder="1" applyAlignment="1">
      <alignment horizontal="left" vertical="center"/>
    </xf>
    <xf numFmtId="176" fontId="175" fillId="0" borderId="13" xfId="21" applyNumberFormat="1" applyFont="1" applyFill="1" applyBorder="1" applyAlignment="1">
      <alignment horizontal="left" vertical="center"/>
    </xf>
    <xf numFmtId="176" fontId="263" fillId="0" borderId="3" xfId="21" applyNumberFormat="1" applyFont="1" applyBorder="1" applyAlignment="1">
      <alignment horizontal="center" vertical="center"/>
    </xf>
    <xf numFmtId="176" fontId="175" fillId="0" borderId="4" xfId="21" applyNumberFormat="1" applyFont="1" applyBorder="1" applyAlignment="1">
      <alignment horizontal="center" vertical="center" shrinkToFit="1"/>
    </xf>
    <xf numFmtId="0" fontId="263" fillId="0" borderId="3" xfId="21" applyNumberFormat="1" applyFont="1" applyBorder="1" applyAlignment="1">
      <alignment horizontal="center" vertical="center"/>
    </xf>
    <xf numFmtId="176" fontId="175" fillId="0" borderId="159" xfId="21" applyNumberFormat="1" applyFont="1" applyFill="1" applyBorder="1" applyAlignment="1">
      <alignment horizontal="left" vertical="center" shrinkToFit="1"/>
    </xf>
    <xf numFmtId="176" fontId="175" fillId="0" borderId="13" xfId="21" applyNumberFormat="1" applyFont="1" applyFill="1" applyBorder="1" applyAlignment="1">
      <alignment horizontal="left" vertical="center" shrinkToFit="1"/>
    </xf>
    <xf numFmtId="176" fontId="175" fillId="0" borderId="13" xfId="21" applyNumberFormat="1" applyFont="1" applyBorder="1" applyAlignment="1">
      <alignment horizontal="left" vertical="center"/>
    </xf>
    <xf numFmtId="176" fontId="263" fillId="66" borderId="12" xfId="21" applyNumberFormat="1" applyFont="1" applyFill="1" applyBorder="1" applyAlignment="1">
      <alignment horizontal="center" vertical="center"/>
    </xf>
    <xf numFmtId="0" fontId="13" fillId="0" borderId="0" xfId="21" applyFont="1" applyFill="1" applyBorder="1" applyAlignment="1">
      <alignment horizontal="center" vertical="center" wrapText="1"/>
    </xf>
    <xf numFmtId="0" fontId="85" fillId="0" borderId="0" xfId="21" applyFont="1" applyFill="1" applyBorder="1" applyAlignment="1">
      <alignment vertical="center" shrinkToFit="1"/>
    </xf>
    <xf numFmtId="0" fontId="176" fillId="0" borderId="0" xfId="21" applyFont="1" applyFill="1" applyBorder="1" applyAlignment="1">
      <alignment horizontal="right" wrapText="1"/>
    </xf>
    <xf numFmtId="0" fontId="177" fillId="0" borderId="0" xfId="21" applyFont="1" applyFill="1" applyBorder="1" applyAlignment="1">
      <alignment horizontal="right" wrapText="1"/>
    </xf>
    <xf numFmtId="0" fontId="364" fillId="0" borderId="0" xfId="0" applyFont="1" applyBorder="1" applyAlignment="1">
      <alignment horizontal="right" vertical="center" wrapText="1"/>
    </xf>
    <xf numFmtId="176" fontId="366" fillId="0" borderId="0" xfId="0" applyNumberFormat="1" applyFont="1" applyBorder="1" applyAlignment="1">
      <alignment horizontal="center" vertical="center" wrapText="1"/>
    </xf>
    <xf numFmtId="176" fontId="35" fillId="0" borderId="0" xfId="0" applyNumberFormat="1" applyFont="1" applyBorder="1" applyAlignment="1">
      <alignment horizontal="left" vertical="center" wrapText="1"/>
    </xf>
    <xf numFmtId="176" fontId="365" fillId="0" borderId="0" xfId="0" applyNumberFormat="1" applyFont="1" applyBorder="1" applyAlignment="1">
      <alignment vertical="center" wrapText="1"/>
    </xf>
    <xf numFmtId="0" fontId="368" fillId="0" borderId="0" xfId="0" applyFont="1">
      <alignment vertical="center"/>
    </xf>
    <xf numFmtId="0" fontId="308" fillId="0" borderId="0" xfId="1" applyFont="1">
      <alignment vertical="center"/>
    </xf>
    <xf numFmtId="0" fontId="369" fillId="0" borderId="0" xfId="1" applyFont="1" applyBorder="1" applyAlignment="1">
      <alignment horizontal="left"/>
    </xf>
    <xf numFmtId="0" fontId="369" fillId="0" borderId="0" xfId="1" applyFont="1" applyFill="1" applyBorder="1" applyAlignment="1">
      <alignment horizontal="left"/>
    </xf>
    <xf numFmtId="0" fontId="369" fillId="0" borderId="0" xfId="1" applyFont="1" applyBorder="1" applyAlignment="1">
      <alignment vertical="center"/>
    </xf>
    <xf numFmtId="0" fontId="370" fillId="0" borderId="0" xfId="21" applyFont="1">
      <alignment vertical="center"/>
    </xf>
    <xf numFmtId="0" fontId="371" fillId="0" borderId="0" xfId="21" applyFont="1">
      <alignment vertical="center"/>
    </xf>
    <xf numFmtId="0" fontId="372" fillId="0" borderId="0" xfId="0" applyFont="1">
      <alignment vertical="center"/>
    </xf>
    <xf numFmtId="186" fontId="341" fillId="11" borderId="22" xfId="0" applyNumberFormat="1" applyFont="1" applyFill="1" applyBorder="1" applyAlignment="1">
      <alignment horizontal="center" vertical="center" shrinkToFit="1"/>
    </xf>
    <xf numFmtId="186" fontId="341" fillId="11" borderId="11" xfId="0" applyNumberFormat="1" applyFont="1" applyFill="1" applyBorder="1" applyAlignment="1">
      <alignment vertical="center" shrinkToFit="1"/>
    </xf>
    <xf numFmtId="186" fontId="341" fillId="11" borderId="0" xfId="0" applyNumberFormat="1" applyFont="1" applyFill="1" applyAlignment="1">
      <alignment horizontal="center" vertical="center" shrinkToFit="1"/>
    </xf>
    <xf numFmtId="0" fontId="299" fillId="0" borderId="0" xfId="0" applyFont="1" applyFill="1" applyBorder="1" applyAlignment="1">
      <alignment horizontal="center" vertical="center"/>
    </xf>
    <xf numFmtId="0" fontId="0" fillId="0" borderId="0" xfId="0" applyFill="1" applyProtection="1">
      <alignment vertical="center"/>
    </xf>
    <xf numFmtId="176" fontId="33" fillId="0" borderId="0" xfId="0" applyNumberFormat="1"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176" fontId="125" fillId="0" borderId="0" xfId="0" applyNumberFormat="1" applyFont="1" applyFill="1" applyBorder="1" applyAlignment="1" applyProtection="1">
      <alignment horizontal="left" vertical="top" wrapText="1"/>
    </xf>
    <xf numFmtId="0" fontId="117" fillId="0" borderId="0" xfId="0" applyFont="1" applyFill="1" applyProtection="1">
      <alignment vertical="center"/>
    </xf>
    <xf numFmtId="0" fontId="161" fillId="0" borderId="0" xfId="0" applyFont="1" applyFill="1" applyBorder="1" applyAlignment="1" applyProtection="1">
      <alignment horizontal="left" vertical="center" wrapText="1"/>
    </xf>
    <xf numFmtId="176" fontId="33" fillId="0" borderId="16" xfId="0" applyNumberFormat="1" applyFont="1" applyFill="1" applyBorder="1" applyAlignment="1" applyProtection="1">
      <alignment horizontal="left" vertical="center"/>
    </xf>
    <xf numFmtId="0" fontId="33" fillId="0" borderId="16"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19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190"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187" fillId="0" borderId="0" xfId="0" applyFont="1" applyFill="1" applyAlignment="1" applyProtection="1">
      <alignment horizontal="center" vertical="center"/>
    </xf>
    <xf numFmtId="49" fontId="38" fillId="0" borderId="0" xfId="0" applyNumberFormat="1" applyFont="1" applyFill="1" applyBorder="1" applyAlignment="1" applyProtection="1">
      <alignment horizontal="left" vertical="center" wrapText="1"/>
    </xf>
    <xf numFmtId="0" fontId="214" fillId="0" borderId="0" xfId="0" applyFont="1" applyFill="1" applyBorder="1" applyAlignment="1" applyProtection="1">
      <alignment horizontal="center" vertical="center"/>
    </xf>
    <xf numFmtId="0" fontId="212" fillId="0" borderId="230" xfId="1" applyNumberFormat="1" applyFont="1" applyFill="1" applyBorder="1" applyAlignment="1" applyProtection="1"/>
    <xf numFmtId="0" fontId="9" fillId="0" borderId="231" xfId="1" applyFont="1" applyFill="1" applyBorder="1" applyAlignment="1" applyProtection="1">
      <alignment horizontal="center"/>
    </xf>
    <xf numFmtId="0" fontId="212" fillId="0" borderId="103" xfId="1" applyNumberFormat="1" applyFont="1" applyFill="1" applyBorder="1" applyAlignment="1" applyProtection="1"/>
    <xf numFmtId="0" fontId="9" fillId="0" borderId="102" xfId="1" applyFont="1" applyFill="1" applyBorder="1" applyAlignment="1" applyProtection="1">
      <alignment horizontal="center"/>
    </xf>
    <xf numFmtId="0" fontId="9" fillId="0" borderId="178" xfId="1" applyFont="1" applyFill="1" applyBorder="1" applyAlignment="1" applyProtection="1">
      <alignment horizontal="center"/>
    </xf>
    <xf numFmtId="0" fontId="212" fillId="0" borderId="238" xfId="1" applyNumberFormat="1" applyFont="1" applyFill="1" applyBorder="1" applyAlignment="1" applyProtection="1"/>
    <xf numFmtId="0" fontId="9" fillId="0" borderId="130" xfId="1" applyFont="1" applyFill="1" applyBorder="1" applyAlignment="1" applyProtection="1">
      <alignment horizontal="center"/>
    </xf>
    <xf numFmtId="0" fontId="212" fillId="0" borderId="125" xfId="1" applyNumberFormat="1" applyFont="1" applyFill="1" applyBorder="1" applyAlignment="1" applyProtection="1">
      <alignment horizontal="center"/>
    </xf>
    <xf numFmtId="0" fontId="9" fillId="0" borderId="126" xfId="1" applyFont="1" applyFill="1" applyBorder="1" applyAlignment="1" applyProtection="1">
      <alignment horizontal="center"/>
    </xf>
    <xf numFmtId="0" fontId="212" fillId="0" borderId="177" xfId="1" applyNumberFormat="1" applyFont="1" applyFill="1" applyBorder="1" applyAlignment="1" applyProtection="1">
      <alignment horizontal="center"/>
    </xf>
    <xf numFmtId="0" fontId="212" fillId="0" borderId="1" xfId="1" applyNumberFormat="1" applyFont="1" applyFill="1" applyBorder="1" applyAlignment="1" applyProtection="1">
      <alignment horizontal="center"/>
    </xf>
    <xf numFmtId="0" fontId="9" fillId="0" borderId="29" xfId="1" applyFont="1" applyFill="1" applyBorder="1" applyAlignment="1" applyProtection="1">
      <alignment horizontal="center"/>
    </xf>
    <xf numFmtId="0" fontId="9" fillId="0" borderId="35" xfId="1" applyFont="1" applyFill="1" applyBorder="1" applyAlignment="1" applyProtection="1">
      <alignment horizontal="center"/>
    </xf>
    <xf numFmtId="0" fontId="0" fillId="0" borderId="11" xfId="0" applyBorder="1" applyProtection="1">
      <alignment vertical="center"/>
    </xf>
    <xf numFmtId="0" fontId="33" fillId="0" borderId="11" xfId="0" applyFont="1" applyBorder="1" applyAlignment="1" applyProtection="1">
      <alignment horizontal="center" vertical="center" wrapText="1"/>
    </xf>
    <xf numFmtId="0" fontId="239" fillId="0" borderId="0" xfId="21" applyFont="1" applyBorder="1" applyProtection="1">
      <alignment vertical="center"/>
    </xf>
    <xf numFmtId="0" fontId="38" fillId="0" borderId="0" xfId="21" applyFont="1" applyBorder="1" applyAlignment="1" applyProtection="1">
      <alignment vertical="center" wrapText="1"/>
    </xf>
    <xf numFmtId="0" fontId="5" fillId="0" borderId="0" xfId="21" applyFont="1" applyFill="1" applyBorder="1" applyAlignment="1" applyProtection="1">
      <alignment vertical="center" wrapText="1"/>
    </xf>
    <xf numFmtId="0" fontId="33" fillId="0" borderId="0" xfId="0" applyFont="1" applyBorder="1" applyAlignment="1" applyProtection="1">
      <alignment vertical="center" wrapText="1"/>
    </xf>
    <xf numFmtId="0" fontId="127" fillId="0" borderId="0" xfId="0" applyFont="1">
      <alignment vertical="center"/>
    </xf>
    <xf numFmtId="0" fontId="373" fillId="0" borderId="0" xfId="0" applyFont="1">
      <alignment vertical="center"/>
    </xf>
    <xf numFmtId="0" fontId="127" fillId="0" borderId="0" xfId="21" applyFont="1" applyBorder="1" applyAlignment="1">
      <alignment vertical="center" wrapText="1"/>
    </xf>
    <xf numFmtId="0" fontId="127" fillId="0" borderId="0" xfId="0" applyFont="1" applyFill="1" applyBorder="1" applyAlignment="1">
      <alignment horizontal="center" vertical="center"/>
    </xf>
    <xf numFmtId="0" fontId="374" fillId="0" borderId="0" xfId="21" applyFont="1" applyBorder="1">
      <alignment vertical="center"/>
    </xf>
    <xf numFmtId="0" fontId="127" fillId="0" borderId="0" xfId="21" applyFont="1" applyBorder="1" applyAlignment="1">
      <alignment horizontal="center" vertical="center" wrapText="1"/>
    </xf>
    <xf numFmtId="0" fontId="295" fillId="0" borderId="0" xfId="21" applyFont="1" applyAlignment="1"/>
    <xf numFmtId="0" fontId="295" fillId="0" borderId="0" xfId="21" applyFont="1" applyAlignment="1">
      <alignment vertical="center"/>
    </xf>
    <xf numFmtId="49" fontId="284" fillId="0" borderId="1" xfId="0" applyNumberFormat="1" applyFont="1" applyFill="1" applyBorder="1" applyAlignment="1" applyProtection="1">
      <alignment horizontal="left" vertical="center" wrapText="1"/>
    </xf>
    <xf numFmtId="0" fontId="141" fillId="0" borderId="1" xfId="0" applyNumberFormat="1" applyFont="1" applyFill="1" applyBorder="1" applyAlignment="1" applyProtection="1">
      <alignment horizontal="left" vertical="center" wrapText="1"/>
    </xf>
    <xf numFmtId="0" fontId="298" fillId="0" borderId="1" xfId="0" applyNumberFormat="1" applyFont="1" applyFill="1" applyBorder="1" applyAlignment="1" applyProtection="1">
      <alignment horizontal="left" vertical="center" wrapText="1"/>
    </xf>
    <xf numFmtId="0" fontId="298" fillId="0" borderId="0" xfId="0" applyNumberFormat="1" applyFont="1" applyFill="1" applyBorder="1" applyAlignment="1" applyProtection="1">
      <alignment horizontal="left" vertical="center" wrapText="1"/>
    </xf>
    <xf numFmtId="0" fontId="299" fillId="0" borderId="0" xfId="0" applyNumberFormat="1" applyFont="1" applyFill="1" applyBorder="1" applyAlignment="1" applyProtection="1">
      <alignment horizontal="center" vertical="center"/>
    </xf>
    <xf numFmtId="0" fontId="300" fillId="0" borderId="0" xfId="0" applyNumberFormat="1" applyFont="1" applyFill="1" applyAlignment="1" applyProtection="1">
      <alignment horizontal="left" vertical="center" wrapText="1"/>
    </xf>
    <xf numFmtId="0" fontId="150" fillId="0" borderId="0" xfId="0" applyFont="1" applyFill="1" applyAlignment="1" applyProtection="1">
      <alignment horizontal="left" vertical="center" wrapText="1"/>
    </xf>
    <xf numFmtId="0" fontId="129" fillId="0" borderId="0" xfId="0" applyFont="1" applyFill="1" applyBorder="1" applyAlignment="1" applyProtection="1">
      <alignment vertical="center" wrapText="1"/>
    </xf>
    <xf numFmtId="0" fontId="229" fillId="0" borderId="0" xfId="21" applyFont="1" applyBorder="1" applyAlignment="1" applyProtection="1">
      <alignment horizontal="center" vertical="center"/>
    </xf>
    <xf numFmtId="176" fontId="134" fillId="0" borderId="0" xfId="21" applyNumberFormat="1" applyFont="1" applyBorder="1" applyAlignment="1" applyProtection="1">
      <alignment horizontal="center" vertical="center"/>
    </xf>
    <xf numFmtId="176" fontId="134" fillId="0" borderId="0" xfId="21" applyNumberFormat="1" applyFont="1" applyFill="1" applyBorder="1" applyAlignment="1" applyProtection="1">
      <alignment horizontal="center" vertical="center"/>
    </xf>
    <xf numFmtId="176" fontId="231" fillId="0" borderId="0" xfId="21" applyNumberFormat="1" applyFont="1" applyFill="1" applyBorder="1" applyAlignment="1" applyProtection="1">
      <alignment horizontal="center" vertical="center"/>
    </xf>
    <xf numFmtId="176" fontId="232" fillId="11" borderId="0" xfId="21" applyNumberFormat="1" applyFont="1" applyFill="1" applyBorder="1" applyAlignment="1" applyProtection="1">
      <alignment horizontal="center" vertical="center" shrinkToFit="1"/>
    </xf>
    <xf numFmtId="176" fontId="231" fillId="0" borderId="0" xfId="21" applyNumberFormat="1" applyFont="1" applyBorder="1" applyAlignment="1" applyProtection="1">
      <alignment horizontal="center" vertical="center"/>
    </xf>
    <xf numFmtId="176" fontId="171" fillId="0" borderId="0" xfId="21" applyNumberFormat="1" applyFont="1" applyBorder="1" applyAlignment="1" applyProtection="1">
      <alignment horizontal="left" vertical="center" shrinkToFit="1"/>
    </xf>
    <xf numFmtId="176" fontId="233" fillId="0" borderId="0" xfId="21" applyNumberFormat="1" applyFont="1" applyFill="1" applyBorder="1" applyAlignment="1" applyProtection="1">
      <alignment horizontal="left" vertical="top" wrapText="1" shrinkToFit="1"/>
    </xf>
    <xf numFmtId="0" fontId="80" fillId="0" borderId="0" xfId="21" applyBorder="1" applyProtection="1">
      <alignment vertical="center"/>
    </xf>
    <xf numFmtId="0" fontId="0" fillId="0" borderId="241" xfId="0" applyBorder="1" applyProtection="1">
      <alignment vertical="center"/>
    </xf>
    <xf numFmtId="0" fontId="0" fillId="0" borderId="254" xfId="0" applyBorder="1" applyProtection="1">
      <alignment vertical="center"/>
    </xf>
    <xf numFmtId="0" fontId="0" fillId="0" borderId="253" xfId="0" applyBorder="1" applyProtection="1">
      <alignment vertical="center"/>
    </xf>
    <xf numFmtId="0" fontId="0" fillId="0" borderId="252" xfId="0" applyBorder="1" applyProtection="1">
      <alignment vertical="center"/>
    </xf>
    <xf numFmtId="0" fontId="222" fillId="0" borderId="247" xfId="0" applyFont="1" applyBorder="1" applyProtection="1">
      <alignment vertical="center"/>
    </xf>
    <xf numFmtId="0" fontId="222" fillId="0" borderId="243" xfId="0" applyFont="1" applyBorder="1" applyProtection="1">
      <alignment vertical="center"/>
    </xf>
    <xf numFmtId="0" fontId="222" fillId="0" borderId="0" xfId="0" applyFont="1" applyBorder="1" applyProtection="1">
      <alignment vertical="center"/>
    </xf>
    <xf numFmtId="0" fontId="222" fillId="0" borderId="255" xfId="0" applyFont="1" applyBorder="1" applyProtection="1">
      <alignment vertical="center"/>
    </xf>
    <xf numFmtId="0" fontId="222" fillId="0" borderId="0" xfId="0" applyFont="1" applyBorder="1" applyAlignment="1" applyProtection="1">
      <alignment horizontal="center" vertical="center"/>
    </xf>
    <xf numFmtId="0" fontId="222" fillId="0" borderId="254" xfId="0" applyFont="1" applyBorder="1" applyProtection="1">
      <alignment vertical="center"/>
    </xf>
    <xf numFmtId="0" fontId="222" fillId="0" borderId="253" xfId="0" applyFont="1" applyBorder="1" applyProtection="1">
      <alignment vertical="center"/>
    </xf>
    <xf numFmtId="0" fontId="222" fillId="0" borderId="252" xfId="0" applyFont="1" applyBorder="1" applyProtection="1">
      <alignment vertical="center"/>
    </xf>
    <xf numFmtId="0" fontId="222" fillId="0" borderId="242" xfId="0" applyFont="1" applyBorder="1" applyProtection="1">
      <alignment vertical="center"/>
    </xf>
    <xf numFmtId="0" fontId="222" fillId="0" borderId="241" xfId="0" applyFont="1" applyBorder="1" applyProtection="1">
      <alignment vertical="center"/>
    </xf>
    <xf numFmtId="0" fontId="222" fillId="0" borderId="240" xfId="0" applyFont="1" applyBorder="1" applyProtection="1">
      <alignment vertical="center"/>
    </xf>
    <xf numFmtId="176" fontId="112" fillId="0" borderId="0" xfId="21" applyNumberFormat="1" applyFont="1" applyBorder="1" applyAlignment="1" applyProtection="1">
      <alignment vertical="center" wrapText="1"/>
    </xf>
    <xf numFmtId="176" fontId="112" fillId="0" borderId="7" xfId="21" applyNumberFormat="1" applyFont="1" applyBorder="1" applyAlignment="1" applyProtection="1">
      <alignment vertical="center" wrapText="1"/>
    </xf>
    <xf numFmtId="176" fontId="112" fillId="0" borderId="0" xfId="21" applyNumberFormat="1" applyFont="1" applyBorder="1" applyAlignment="1">
      <alignment vertical="center" wrapText="1"/>
    </xf>
    <xf numFmtId="0" fontId="110" fillId="0" borderId="0" xfId="21" applyFont="1" applyAlignment="1">
      <alignment vertical="top"/>
    </xf>
    <xf numFmtId="176" fontId="112" fillId="0" borderId="7" xfId="21" applyNumberFormat="1" applyFont="1" applyBorder="1" applyAlignment="1">
      <alignment vertical="center" wrapText="1"/>
    </xf>
    <xf numFmtId="176" fontId="295" fillId="0" borderId="0" xfId="21" applyNumberFormat="1" applyFont="1" applyBorder="1" applyAlignment="1">
      <alignment horizontal="left" vertical="center"/>
    </xf>
    <xf numFmtId="0" fontId="80" fillId="0" borderId="0" xfId="21" applyProtection="1">
      <alignment vertical="center"/>
    </xf>
    <xf numFmtId="176" fontId="112" fillId="0" borderId="0" xfId="21" applyNumberFormat="1" applyFont="1" applyFill="1" applyBorder="1" applyAlignment="1" applyProtection="1">
      <alignment vertical="center" wrapText="1"/>
    </xf>
    <xf numFmtId="0" fontId="90" fillId="0" borderId="0" xfId="1" applyFont="1">
      <alignment vertical="center"/>
    </xf>
    <xf numFmtId="0" fontId="127" fillId="0" borderId="0" xfId="1" applyFont="1" applyBorder="1" applyAlignment="1">
      <alignment horizontal="left"/>
    </xf>
    <xf numFmtId="0" fontId="127" fillId="0" borderId="0" xfId="1" applyFont="1" applyFill="1" applyBorder="1" applyAlignment="1">
      <alignment horizontal="left"/>
    </xf>
    <xf numFmtId="0" fontId="343" fillId="0" borderId="0" xfId="1" applyFont="1" applyBorder="1">
      <alignment vertical="center"/>
    </xf>
    <xf numFmtId="0" fontId="376" fillId="0" borderId="0" xfId="0" applyFont="1" applyFill="1" applyBorder="1" applyAlignment="1">
      <alignment vertical="center"/>
    </xf>
    <xf numFmtId="0" fontId="376" fillId="0" borderId="0" xfId="0" applyFont="1" applyBorder="1" applyAlignment="1">
      <alignment vertical="center"/>
    </xf>
    <xf numFmtId="0" fontId="373" fillId="0" borderId="0" xfId="0" applyFont="1" applyAlignment="1">
      <alignment vertical="center"/>
    </xf>
    <xf numFmtId="0" fontId="154" fillId="0" borderId="103" xfId="1" applyNumberFormat="1" applyFont="1" applyFill="1" applyBorder="1" applyAlignment="1" applyProtection="1">
      <alignment horizontal="center"/>
      <protection locked="0"/>
    </xf>
    <xf numFmtId="0" fontId="154" fillId="0" borderId="103" xfId="1" applyNumberFormat="1" applyFont="1" applyFill="1" applyBorder="1" applyAlignment="1" applyProtection="1">
      <protection locked="0"/>
    </xf>
    <xf numFmtId="0" fontId="154" fillId="0" borderId="230" xfId="1" applyNumberFormat="1" applyFont="1" applyFill="1" applyBorder="1" applyAlignment="1" applyProtection="1">
      <alignment horizontal="center"/>
      <protection locked="0"/>
    </xf>
    <xf numFmtId="0" fontId="154" fillId="0" borderId="11" xfId="1" applyNumberFormat="1" applyFont="1" applyFill="1" applyBorder="1" applyAlignment="1" applyProtection="1">
      <alignment horizontal="center"/>
      <protection locked="0"/>
    </xf>
    <xf numFmtId="0" fontId="154" fillId="0" borderId="125" xfId="1" applyNumberFormat="1" applyFont="1" applyFill="1" applyBorder="1" applyAlignment="1" applyProtection="1">
      <alignment horizontal="center"/>
      <protection locked="0"/>
    </xf>
    <xf numFmtId="0" fontId="154" fillId="0" borderId="177" xfId="1" applyNumberFormat="1" applyFont="1" applyFill="1" applyBorder="1" applyAlignment="1" applyProtection="1">
      <alignment horizontal="center"/>
      <protection locked="0"/>
    </xf>
    <xf numFmtId="0" fontId="80" fillId="0" borderId="111" xfId="21" applyFill="1" applyBorder="1" applyProtection="1">
      <alignment vertical="center"/>
      <protection locked="0"/>
    </xf>
    <xf numFmtId="0" fontId="80" fillId="0" borderId="4" xfId="21" applyFill="1" applyBorder="1" applyProtection="1">
      <alignment vertical="center"/>
      <protection locked="0"/>
    </xf>
    <xf numFmtId="0" fontId="80" fillId="0" borderId="110" xfId="21" applyFill="1" applyBorder="1" applyProtection="1">
      <alignment vertical="center"/>
      <protection locked="0"/>
    </xf>
    <xf numFmtId="0" fontId="80" fillId="0" borderId="113" xfId="21" applyFill="1" applyBorder="1" applyProtection="1">
      <alignment vertical="center"/>
      <protection locked="0"/>
    </xf>
    <xf numFmtId="0" fontId="80" fillId="0" borderId="13" xfId="21" applyFill="1" applyBorder="1" applyProtection="1">
      <alignment vertical="center"/>
      <protection locked="0"/>
    </xf>
    <xf numFmtId="0" fontId="80" fillId="0" borderId="112" xfId="21" applyFill="1" applyBorder="1" applyProtection="1">
      <alignment vertical="center"/>
      <protection locked="0"/>
    </xf>
    <xf numFmtId="0" fontId="80" fillId="0" borderId="109" xfId="21" applyFill="1" applyBorder="1" applyProtection="1">
      <alignment vertical="center"/>
      <protection locked="0"/>
    </xf>
    <xf numFmtId="0" fontId="80" fillId="0" borderId="78" xfId="21" applyFill="1" applyBorder="1" applyProtection="1">
      <alignment vertical="center"/>
      <protection locked="0"/>
    </xf>
    <xf numFmtId="0" fontId="80" fillId="0" borderId="108" xfId="21" applyFill="1" applyBorder="1" applyProtection="1">
      <alignment vertical="center"/>
      <protection locked="0"/>
    </xf>
    <xf numFmtId="0" fontId="80" fillId="0" borderId="107" xfId="21" applyFill="1" applyBorder="1" applyProtection="1">
      <alignment vertical="center"/>
      <protection locked="0"/>
    </xf>
    <xf numFmtId="0" fontId="80" fillId="0" borderId="1" xfId="21" applyFill="1" applyBorder="1" applyProtection="1">
      <alignment vertical="center"/>
      <protection locked="0"/>
    </xf>
    <xf numFmtId="0" fontId="80" fillId="0" borderId="106" xfId="21" applyFill="1" applyBorder="1" applyProtection="1">
      <alignment vertical="center"/>
      <protection locked="0"/>
    </xf>
    <xf numFmtId="0" fontId="80" fillId="0" borderId="6" xfId="21" applyFill="1" applyBorder="1" applyProtection="1">
      <alignment vertical="center"/>
      <protection locked="0"/>
    </xf>
    <xf numFmtId="0" fontId="80" fillId="0" borderId="0" xfId="21" applyFill="1" applyBorder="1" applyProtection="1">
      <alignment vertical="center"/>
      <protection locked="0"/>
    </xf>
    <xf numFmtId="0" fontId="80" fillId="0" borderId="12" xfId="21" applyFill="1" applyBorder="1" applyProtection="1">
      <alignment vertical="center"/>
      <protection locked="0"/>
    </xf>
    <xf numFmtId="0" fontId="80" fillId="0" borderId="3" xfId="21" applyFill="1" applyBorder="1" applyProtection="1">
      <alignment vertical="center"/>
      <protection locked="0"/>
    </xf>
    <xf numFmtId="0" fontId="80" fillId="0" borderId="77" xfId="21" applyFill="1" applyBorder="1" applyProtection="1">
      <alignment vertical="center"/>
      <protection locked="0"/>
    </xf>
    <xf numFmtId="0" fontId="80" fillId="0" borderId="8" xfId="21" applyFill="1" applyBorder="1" applyProtection="1">
      <alignment vertical="center"/>
      <protection locked="0"/>
    </xf>
    <xf numFmtId="0" fontId="304" fillId="8" borderId="2" xfId="0" applyFont="1" applyFill="1" applyBorder="1" applyAlignment="1">
      <alignment horizontal="center" vertical="center"/>
    </xf>
    <xf numFmtId="0" fontId="207" fillId="0" borderId="1" xfId="0" applyFont="1" applyBorder="1" applyAlignment="1">
      <alignment horizontal="left" vertical="center"/>
    </xf>
    <xf numFmtId="0" fontId="207" fillId="0" borderId="1" xfId="0" applyFont="1" applyBorder="1" applyAlignment="1">
      <alignment horizontal="center" vertical="center" wrapText="1"/>
    </xf>
    <xf numFmtId="176" fontId="207" fillId="0" borderId="1" xfId="0" applyNumberFormat="1" applyFont="1" applyBorder="1" applyAlignment="1">
      <alignment horizontal="left" vertical="center" wrapText="1"/>
    </xf>
    <xf numFmtId="0" fontId="206" fillId="0" borderId="1" xfId="0" applyFont="1" applyBorder="1" applyAlignment="1">
      <alignment vertical="center"/>
    </xf>
    <xf numFmtId="0" fontId="60" fillId="0" borderId="225" xfId="1" applyFont="1" applyBorder="1" applyAlignment="1">
      <alignment vertical="center" shrinkToFit="1"/>
    </xf>
    <xf numFmtId="0" fontId="60" fillId="0" borderId="223" xfId="1" applyFont="1" applyBorder="1" applyAlignment="1">
      <alignment horizontal="right" vertical="center" wrapText="1"/>
    </xf>
    <xf numFmtId="0" fontId="60" fillId="0" borderId="223" xfId="1" applyFont="1" applyBorder="1" applyAlignment="1">
      <alignment horizontal="right" vertical="center"/>
    </xf>
    <xf numFmtId="0" fontId="60" fillId="0" borderId="225" xfId="1" applyFont="1" applyBorder="1" applyAlignment="1">
      <alignment vertical="center"/>
    </xf>
    <xf numFmtId="0" fontId="60" fillId="0" borderId="224" xfId="1" applyFont="1" applyBorder="1" applyAlignment="1">
      <alignment vertical="center" wrapText="1"/>
    </xf>
    <xf numFmtId="0" fontId="60" fillId="0" borderId="225" xfId="1" applyFont="1" applyBorder="1" applyAlignment="1">
      <alignment vertical="center" wrapText="1"/>
    </xf>
    <xf numFmtId="0" fontId="90" fillId="0" borderId="175" xfId="1" applyFont="1" applyBorder="1" applyAlignment="1">
      <alignment vertical="center" shrinkToFit="1"/>
    </xf>
    <xf numFmtId="0" fontId="80" fillId="0" borderId="0" xfId="21" applyAlignment="1">
      <alignment horizontal="right" vertical="center"/>
    </xf>
    <xf numFmtId="0" fontId="80" fillId="0" borderId="1" xfId="21" applyBorder="1" applyAlignment="1">
      <alignment horizontal="right" vertical="center"/>
    </xf>
    <xf numFmtId="0" fontId="96" fillId="0" borderId="0" xfId="21" applyFont="1" applyAlignment="1">
      <alignment horizontal="left" vertical="center"/>
    </xf>
    <xf numFmtId="176" fontId="80" fillId="0" borderId="258" xfId="21" applyNumberFormat="1" applyFont="1" applyBorder="1" applyAlignment="1">
      <alignment horizontal="right" shrinkToFit="1"/>
    </xf>
    <xf numFmtId="176" fontId="80" fillId="0" borderId="193" xfId="21" applyNumberFormat="1" applyFont="1" applyBorder="1" applyAlignment="1">
      <alignment horizontal="right" shrinkToFit="1"/>
    </xf>
    <xf numFmtId="0" fontId="80" fillId="0" borderId="185" xfId="21" applyFont="1" applyBorder="1" applyAlignment="1">
      <alignment horizontal="center"/>
    </xf>
    <xf numFmtId="0" fontId="80" fillId="0" borderId="187" xfId="21" applyFont="1" applyBorder="1" applyAlignment="1">
      <alignment horizontal="center"/>
    </xf>
    <xf numFmtId="176" fontId="80" fillId="0" borderId="259" xfId="21" applyNumberFormat="1" applyFont="1" applyBorder="1" applyAlignment="1">
      <alignment horizontal="right" shrinkToFit="1"/>
    </xf>
    <xf numFmtId="176" fontId="80" fillId="0" borderId="201" xfId="21" applyNumberFormat="1" applyFont="1" applyBorder="1" applyAlignment="1">
      <alignment horizontal="right" shrinkToFit="1"/>
    </xf>
    <xf numFmtId="176" fontId="80" fillId="7" borderId="185" xfId="21" applyNumberFormat="1" applyFont="1" applyFill="1" applyBorder="1" applyAlignment="1">
      <alignment horizontal="right" shrinkToFit="1"/>
    </xf>
    <xf numFmtId="176" fontId="80" fillId="7" borderId="216" xfId="21" applyNumberFormat="1" applyFont="1" applyFill="1" applyBorder="1" applyAlignment="1">
      <alignment horizontal="right" shrinkToFit="1"/>
    </xf>
    <xf numFmtId="176" fontId="80" fillId="0" borderId="187" xfId="21" applyNumberFormat="1" applyFont="1" applyBorder="1" applyAlignment="1">
      <alignment horizontal="right" shrinkToFit="1"/>
    </xf>
    <xf numFmtId="0" fontId="80" fillId="0" borderId="0" xfId="21" applyBorder="1" applyAlignment="1">
      <alignment horizontal="center"/>
    </xf>
    <xf numFmtId="0" fontId="80" fillId="0" borderId="7" xfId="21" applyBorder="1" applyAlignment="1">
      <alignment horizontal="center"/>
    </xf>
    <xf numFmtId="0" fontId="80" fillId="0" borderId="202" xfId="21" applyFont="1" applyBorder="1" applyAlignment="1">
      <alignment horizontal="center"/>
    </xf>
    <xf numFmtId="0" fontId="80" fillId="0" borderId="193" xfId="21" applyFont="1" applyBorder="1" applyAlignment="1">
      <alignment horizontal="center"/>
    </xf>
    <xf numFmtId="176" fontId="80" fillId="0" borderId="381" xfId="21" applyNumberFormat="1" applyFont="1" applyBorder="1" applyAlignment="1">
      <alignment horizontal="right" shrinkToFit="1"/>
    </xf>
    <xf numFmtId="176" fontId="80" fillId="0" borderId="192" xfId="21" applyNumberFormat="1" applyFont="1" applyBorder="1" applyAlignment="1">
      <alignment horizontal="right" shrinkToFit="1"/>
    </xf>
    <xf numFmtId="0" fontId="80" fillId="0" borderId="185" xfId="21" applyBorder="1" applyAlignment="1">
      <alignment horizontal="center"/>
    </xf>
    <xf numFmtId="0" fontId="80" fillId="0" borderId="187" xfId="21" applyBorder="1" applyAlignment="1">
      <alignment horizontal="center"/>
    </xf>
    <xf numFmtId="0" fontId="80" fillId="0" borderId="198" xfId="21" applyBorder="1" applyAlignment="1">
      <alignment horizontal="center"/>
    </xf>
    <xf numFmtId="0" fontId="80" fillId="0" borderId="199" xfId="21" applyBorder="1" applyAlignment="1">
      <alignment horizontal="center"/>
    </xf>
    <xf numFmtId="176" fontId="80" fillId="0" borderId="214" xfId="21" applyNumberFormat="1" applyFont="1" applyBorder="1" applyAlignment="1">
      <alignment horizontal="right" shrinkToFit="1"/>
    </xf>
    <xf numFmtId="176" fontId="80" fillId="0" borderId="215" xfId="21" applyNumberFormat="1" applyFont="1" applyBorder="1" applyAlignment="1">
      <alignment horizontal="right" shrinkToFit="1"/>
    </xf>
    <xf numFmtId="176" fontId="80" fillId="0" borderId="199" xfId="21" applyNumberFormat="1" applyFont="1" applyBorder="1" applyAlignment="1">
      <alignment horizontal="right" shrinkToFit="1"/>
    </xf>
    <xf numFmtId="0" fontId="80" fillId="0" borderId="202" xfId="21" applyBorder="1" applyAlignment="1">
      <alignment horizontal="center"/>
    </xf>
    <xf numFmtId="0" fontId="80" fillId="0" borderId="193" xfId="21" applyBorder="1" applyAlignment="1">
      <alignment horizontal="center"/>
    </xf>
    <xf numFmtId="187" fontId="80" fillId="0" borderId="13" xfId="21" applyNumberFormat="1" applyFont="1" applyBorder="1" applyAlignment="1">
      <alignment horizontal="center" shrinkToFit="1"/>
    </xf>
    <xf numFmtId="0" fontId="80" fillId="0" borderId="13" xfId="21" applyFont="1" applyBorder="1" applyAlignment="1">
      <alignment horizontal="center" shrinkToFit="1"/>
    </xf>
    <xf numFmtId="0" fontId="80" fillId="0" borderId="14" xfId="21" applyFont="1" applyBorder="1" applyAlignment="1">
      <alignment horizontal="center" shrinkToFit="1"/>
    </xf>
    <xf numFmtId="0" fontId="80" fillId="7" borderId="12" xfId="21" applyFont="1" applyFill="1" applyBorder="1" applyAlignment="1">
      <alignment horizontal="center" shrinkToFit="1"/>
    </xf>
    <xf numFmtId="0" fontId="80" fillId="7" borderId="212" xfId="21" applyFont="1" applyFill="1" applyBorder="1" applyAlignment="1">
      <alignment horizontal="center" shrinkToFit="1"/>
    </xf>
    <xf numFmtId="0" fontId="80" fillId="0" borderId="2" xfId="21" applyFont="1" applyBorder="1" applyAlignment="1">
      <alignment horizontal="center"/>
    </xf>
    <xf numFmtId="0" fontId="80" fillId="0" borderId="13" xfId="21" applyFont="1" applyBorder="1" applyAlignment="1">
      <alignment horizontal="right" shrinkToFit="1"/>
    </xf>
    <xf numFmtId="0" fontId="80" fillId="0" borderId="159" xfId="21" applyFont="1" applyBorder="1" applyAlignment="1">
      <alignment horizontal="right" shrinkToFit="1"/>
    </xf>
    <xf numFmtId="0" fontId="80" fillId="0" borderId="14" xfId="21" applyFont="1" applyBorder="1" applyAlignment="1">
      <alignment horizontal="right" shrinkToFit="1"/>
    </xf>
    <xf numFmtId="0" fontId="80" fillId="7" borderId="12" xfId="21" applyFont="1" applyFill="1" applyBorder="1" applyAlignment="1">
      <alignment horizontal="right" shrinkToFit="1"/>
    </xf>
    <xf numFmtId="0" fontId="80" fillId="7" borderId="212" xfId="21" applyFont="1" applyFill="1" applyBorder="1" applyAlignment="1">
      <alignment horizontal="right" shrinkToFit="1"/>
    </xf>
    <xf numFmtId="0" fontId="80" fillId="0" borderId="2" xfId="21" applyBorder="1" applyAlignment="1">
      <alignment horizontal="center"/>
    </xf>
    <xf numFmtId="41" fontId="80" fillId="0" borderId="0" xfId="21" applyNumberFormat="1" applyBorder="1" applyAlignment="1">
      <alignment vertical="center"/>
    </xf>
    <xf numFmtId="41" fontId="80" fillId="0" borderId="157" xfId="21" applyNumberFormat="1" applyBorder="1" applyAlignment="1">
      <alignment vertical="center"/>
    </xf>
    <xf numFmtId="41" fontId="80" fillId="0" borderId="7" xfId="21" applyNumberFormat="1" applyBorder="1" applyAlignment="1">
      <alignment vertical="center"/>
    </xf>
    <xf numFmtId="41" fontId="80" fillId="0" borderId="202" xfId="21" applyNumberFormat="1" applyBorder="1" applyAlignment="1">
      <alignment vertical="center"/>
    </xf>
    <xf numFmtId="41" fontId="80" fillId="0" borderId="192" xfId="21" applyNumberFormat="1" applyBorder="1" applyAlignment="1">
      <alignment vertical="center"/>
    </xf>
    <xf numFmtId="0" fontId="80" fillId="0" borderId="1" xfId="21" applyBorder="1" applyAlignment="1">
      <alignment horizontal="center"/>
    </xf>
    <xf numFmtId="0" fontId="80" fillId="0" borderId="9" xfId="21" applyBorder="1" applyAlignment="1">
      <alignment horizontal="center"/>
    </xf>
    <xf numFmtId="0" fontId="80" fillId="0" borderId="12" xfId="21" applyBorder="1" applyAlignment="1">
      <alignment horizontal="center"/>
    </xf>
    <xf numFmtId="0" fontId="80" fillId="0" borderId="13" xfId="21" applyBorder="1" applyAlignment="1">
      <alignment horizontal="center"/>
    </xf>
    <xf numFmtId="0" fontId="80" fillId="0" borderId="14" xfId="21" applyBorder="1" applyAlignment="1">
      <alignment horizontal="center"/>
    </xf>
    <xf numFmtId="41" fontId="80" fillId="0" borderId="177" xfId="21" applyNumberFormat="1" applyBorder="1" applyAlignment="1">
      <alignment vertical="center"/>
    </xf>
    <xf numFmtId="41" fontId="80" fillId="0" borderId="201" xfId="21" applyNumberFormat="1" applyBorder="1" applyAlignment="1">
      <alignment vertical="center"/>
    </xf>
    <xf numFmtId="41" fontId="80" fillId="0" borderId="260" xfId="21" applyNumberFormat="1" applyBorder="1" applyAlignment="1">
      <alignment vertical="center"/>
    </xf>
    <xf numFmtId="41" fontId="80" fillId="0" borderId="187" xfId="21" applyNumberFormat="1" applyBorder="1" applyAlignment="1">
      <alignment vertical="center"/>
    </xf>
    <xf numFmtId="41" fontId="80" fillId="0" borderId="104" xfId="21" applyNumberFormat="1" applyBorder="1" applyAlignment="1">
      <alignment vertical="center"/>
    </xf>
    <xf numFmtId="41" fontId="80" fillId="0" borderId="199" xfId="21" applyNumberFormat="1" applyBorder="1" applyAlignment="1">
      <alignment vertical="center"/>
    </xf>
    <xf numFmtId="41" fontId="80" fillId="0" borderId="376" xfId="21" applyNumberFormat="1" applyBorder="1" applyAlignment="1">
      <alignment vertical="center"/>
    </xf>
    <xf numFmtId="41" fontId="80" fillId="0" borderId="215" xfId="21" applyNumberFormat="1" applyBorder="1" applyAlignment="1">
      <alignment vertical="center"/>
    </xf>
    <xf numFmtId="0" fontId="80" fillId="0" borderId="4" xfId="21" applyBorder="1" applyAlignment="1">
      <alignment horizontal="center"/>
    </xf>
    <xf numFmtId="0" fontId="80" fillId="0" borderId="5" xfId="21" applyBorder="1" applyAlignment="1">
      <alignment horizontal="center"/>
    </xf>
    <xf numFmtId="176" fontId="80" fillId="40" borderId="2" xfId="21" applyNumberFormat="1" applyFill="1" applyBorder="1" applyAlignment="1">
      <alignment horizontal="center"/>
    </xf>
    <xf numFmtId="176" fontId="80" fillId="0" borderId="61" xfId="21" applyNumberFormat="1" applyBorder="1" applyAlignment="1">
      <alignment horizontal="right" vertical="center"/>
    </xf>
    <xf numFmtId="176" fontId="80" fillId="0" borderId="198" xfId="21" applyNumberFormat="1" applyBorder="1" applyAlignment="1">
      <alignment horizontal="right" vertical="center"/>
    </xf>
    <xf numFmtId="176" fontId="80" fillId="0" borderId="199" xfId="21" applyNumberFormat="1" applyBorder="1" applyAlignment="1">
      <alignment vertical="center"/>
    </xf>
    <xf numFmtId="0" fontId="80" fillId="0" borderId="12" xfId="21" applyFont="1" applyBorder="1" applyAlignment="1">
      <alignment horizontal="center"/>
    </xf>
    <xf numFmtId="0" fontId="80" fillId="0" borderId="13" xfId="21" applyFont="1" applyBorder="1" applyAlignment="1">
      <alignment horizontal="center"/>
    </xf>
    <xf numFmtId="0" fontId="80" fillId="0" borderId="14" xfId="21" applyFont="1" applyBorder="1" applyAlignment="1">
      <alignment horizontal="center"/>
    </xf>
    <xf numFmtId="0" fontId="80" fillId="4" borderId="61" xfId="21" applyFill="1" applyBorder="1" applyAlignment="1">
      <alignment horizontal="center"/>
    </xf>
    <xf numFmtId="0" fontId="80" fillId="0" borderId="61" xfId="21" applyBorder="1" applyAlignment="1">
      <alignment horizontal="right" vertical="center"/>
    </xf>
    <xf numFmtId="0" fontId="80" fillId="4" borderId="2" xfId="21" applyFill="1" applyBorder="1" applyAlignment="1">
      <alignment horizontal="center"/>
    </xf>
    <xf numFmtId="0" fontId="80" fillId="0" borderId="8" xfId="21" applyFont="1" applyBorder="1" applyAlignment="1">
      <alignment horizontal="center"/>
    </xf>
    <xf numFmtId="0" fontId="80" fillId="0" borderId="1" xfId="21" applyFont="1" applyBorder="1" applyAlignment="1">
      <alignment horizontal="center"/>
    </xf>
    <xf numFmtId="0" fontId="80" fillId="0" borderId="198" xfId="21" applyBorder="1" applyAlignment="1">
      <alignment horizontal="right" vertical="center"/>
    </xf>
    <xf numFmtId="0" fontId="80" fillId="0" borderId="199" xfId="21" applyBorder="1" applyAlignment="1">
      <alignment vertical="center"/>
    </xf>
    <xf numFmtId="0" fontId="80" fillId="0" borderId="196" xfId="21" applyBorder="1" applyAlignment="1">
      <alignment horizontal="center"/>
    </xf>
    <xf numFmtId="41" fontId="80" fillId="0" borderId="198" xfId="21" applyNumberFormat="1" applyBorder="1" applyAlignment="1">
      <alignment vertical="center"/>
    </xf>
    <xf numFmtId="41" fontId="80" fillId="0" borderId="4" xfId="21" applyNumberFormat="1" applyBorder="1" applyAlignment="1">
      <alignment vertical="center"/>
    </xf>
    <xf numFmtId="41" fontId="80" fillId="0" borderId="89" xfId="21" applyNumberFormat="1" applyBorder="1" applyAlignment="1">
      <alignment vertical="center"/>
    </xf>
    <xf numFmtId="0" fontId="315" fillId="0" borderId="0" xfId="1" applyFont="1" applyBorder="1" applyAlignment="1">
      <alignment horizontal="center" vertical="center" wrapText="1"/>
    </xf>
    <xf numFmtId="0" fontId="320" fillId="17" borderId="62" xfId="1" applyFont="1" applyFill="1" applyBorder="1" applyAlignment="1">
      <alignment horizontal="center" vertical="center" textRotation="255" wrapText="1"/>
    </xf>
    <xf numFmtId="0" fontId="320" fillId="17" borderId="10" xfId="1" applyFont="1" applyFill="1" applyBorder="1" applyAlignment="1">
      <alignment horizontal="center" vertical="center" textRotation="255" wrapText="1"/>
    </xf>
    <xf numFmtId="0" fontId="320" fillId="0" borderId="61" xfId="1" applyFont="1" applyBorder="1" applyAlignment="1">
      <alignment horizontal="center" vertical="center" textRotation="255" wrapText="1"/>
    </xf>
    <xf numFmtId="0" fontId="320" fillId="0" borderId="62" xfId="1" applyFont="1" applyBorder="1" applyAlignment="1">
      <alignment horizontal="center" vertical="center" textRotation="255" wrapText="1"/>
    </xf>
    <xf numFmtId="0" fontId="320" fillId="0" borderId="10" xfId="1" applyFont="1" applyBorder="1" applyAlignment="1">
      <alignment horizontal="center" vertical="center" textRotation="255" wrapText="1"/>
    </xf>
    <xf numFmtId="0" fontId="320" fillId="17" borderId="61" xfId="1" applyFont="1" applyFill="1" applyBorder="1" applyAlignment="1">
      <alignment horizontal="center" vertical="center" textRotation="255" wrapText="1"/>
    </xf>
    <xf numFmtId="0" fontId="49" fillId="0" borderId="249" xfId="0" applyFont="1" applyBorder="1" applyAlignment="1">
      <alignment horizontal="center" vertical="center" wrapText="1"/>
    </xf>
    <xf numFmtId="0" fontId="49" fillId="0" borderId="244" xfId="0" applyFont="1" applyBorder="1" applyAlignment="1">
      <alignment horizontal="center" vertical="center" wrapText="1"/>
    </xf>
    <xf numFmtId="3" fontId="357" fillId="0" borderId="171" xfId="1" applyNumberFormat="1" applyFont="1" applyBorder="1" applyAlignment="1">
      <alignment horizontal="right" vertical="center" shrinkToFit="1"/>
    </xf>
    <xf numFmtId="3" fontId="357" fillId="0" borderId="0" xfId="1" applyNumberFormat="1" applyFont="1" applyBorder="1" applyAlignment="1">
      <alignment horizontal="right" vertical="center" shrinkToFit="1"/>
    </xf>
    <xf numFmtId="3" fontId="357" fillId="0" borderId="246" xfId="1" applyNumberFormat="1" applyFont="1" applyBorder="1" applyAlignment="1">
      <alignment horizontal="right" vertical="center" shrinkToFit="1"/>
    </xf>
    <xf numFmtId="3" fontId="357" fillId="0" borderId="245" xfId="1" applyNumberFormat="1" applyFont="1" applyBorder="1" applyAlignment="1">
      <alignment horizontal="right" vertical="center" shrinkToFit="1"/>
    </xf>
    <xf numFmtId="0" fontId="49" fillId="0" borderId="12" xfId="0" applyFont="1" applyBorder="1" applyAlignment="1">
      <alignment horizontal="center" vertical="center"/>
    </xf>
    <xf numFmtId="0" fontId="49" fillId="0" borderId="159" xfId="0" applyFont="1" applyBorder="1" applyAlignment="1">
      <alignment horizontal="center" vertical="center"/>
    </xf>
    <xf numFmtId="0" fontId="356" fillId="0" borderId="4" xfId="0" applyFont="1" applyBorder="1" applyAlignment="1">
      <alignment horizontal="right" vertical="top"/>
    </xf>
    <xf numFmtId="0" fontId="49" fillId="0" borderId="3" xfId="0" applyFont="1" applyBorder="1" applyAlignment="1">
      <alignment horizontal="center" vertical="center" textRotation="255"/>
    </xf>
    <xf numFmtId="0" fontId="49" fillId="0" borderId="6" xfId="0" applyFont="1" applyBorder="1" applyAlignment="1">
      <alignment horizontal="center" vertical="center" textRotation="255"/>
    </xf>
    <xf numFmtId="0" fontId="49" fillId="0" borderId="8" xfId="0" applyFont="1" applyBorder="1" applyAlignment="1">
      <alignment horizontal="center" vertical="center" textRotation="255"/>
    </xf>
    <xf numFmtId="3" fontId="357" fillId="0" borderId="251" xfId="21" applyNumberFormat="1" applyFont="1" applyBorder="1" applyAlignment="1">
      <alignment horizontal="right" vertical="center" shrinkToFit="1"/>
    </xf>
    <xf numFmtId="3" fontId="357" fillId="0" borderId="250" xfId="21" applyNumberFormat="1" applyFont="1" applyBorder="1" applyAlignment="1">
      <alignment horizontal="right" vertical="center" shrinkToFit="1"/>
    </xf>
    <xf numFmtId="3" fontId="357" fillId="0" borderId="246" xfId="21" applyNumberFormat="1" applyFont="1" applyBorder="1" applyAlignment="1">
      <alignment horizontal="right" vertical="center" shrinkToFit="1"/>
    </xf>
    <xf numFmtId="3" fontId="357" fillId="0" borderId="245" xfId="21" applyNumberFormat="1" applyFont="1" applyBorder="1" applyAlignment="1">
      <alignment horizontal="right" vertical="center" shrinkToFit="1"/>
    </xf>
    <xf numFmtId="0" fontId="315" fillId="0" borderId="0" xfId="1" applyFont="1" applyBorder="1" applyAlignment="1">
      <alignment horizontal="right" vertical="center"/>
    </xf>
    <xf numFmtId="0" fontId="315" fillId="0" borderId="248" xfId="1" applyFont="1" applyBorder="1" applyAlignment="1">
      <alignment horizontal="right" vertical="center"/>
    </xf>
    <xf numFmtId="0" fontId="49" fillId="0" borderId="5" xfId="0" applyFont="1" applyBorder="1" applyAlignment="1">
      <alignment horizontal="center" vertical="center" textRotation="255"/>
    </xf>
    <xf numFmtId="0" fontId="49" fillId="0" borderId="7" xfId="0" applyFont="1" applyBorder="1" applyAlignment="1">
      <alignment horizontal="center" vertical="center" textRotation="255"/>
    </xf>
    <xf numFmtId="0" fontId="352" fillId="0" borderId="0" xfId="0" applyFont="1" applyAlignment="1">
      <alignment horizontal="left" vertical="center" wrapText="1"/>
    </xf>
    <xf numFmtId="0" fontId="14" fillId="63" borderId="12" xfId="0" applyFont="1" applyFill="1" applyBorder="1" applyAlignment="1">
      <alignment horizontal="center" vertical="center"/>
    </xf>
    <xf numFmtId="0" fontId="14" fillId="63" borderId="14" xfId="0" applyFont="1" applyFill="1" applyBorder="1" applyAlignment="1">
      <alignment horizontal="center" vertical="center"/>
    </xf>
    <xf numFmtId="0" fontId="323" fillId="0" borderId="0" xfId="0" applyFont="1" applyBorder="1" applyAlignment="1">
      <alignment horizontal="center" vertical="top"/>
    </xf>
    <xf numFmtId="0" fontId="49" fillId="17" borderId="5" xfId="0" applyFont="1" applyFill="1" applyBorder="1" applyAlignment="1">
      <alignment horizontal="center" vertical="center" textRotation="255"/>
    </xf>
    <xf numFmtId="0" fontId="49" fillId="17" borderId="7" xfId="0" applyFont="1" applyFill="1" applyBorder="1" applyAlignment="1">
      <alignment horizontal="center" vertical="center" textRotation="255"/>
    </xf>
    <xf numFmtId="0" fontId="267" fillId="0" borderId="439" xfId="21" applyFont="1" applyBorder="1" applyAlignment="1">
      <alignment horizontal="center" vertical="center"/>
    </xf>
    <xf numFmtId="0" fontId="349" fillId="0" borderId="441" xfId="21" applyFont="1" applyBorder="1" applyAlignment="1">
      <alignment horizontal="center" vertical="center"/>
    </xf>
    <xf numFmtId="0" fontId="152" fillId="0" borderId="0" xfId="21" applyFont="1" applyBorder="1" applyAlignment="1">
      <alignment horizontal="left" vertical="center"/>
    </xf>
    <xf numFmtId="0" fontId="80" fillId="0" borderId="11" xfId="21" applyFill="1" applyBorder="1" applyAlignment="1">
      <alignment horizontal="left"/>
    </xf>
    <xf numFmtId="0" fontId="227" fillId="0" borderId="11" xfId="21" applyFont="1" applyBorder="1" applyAlignment="1">
      <alignment horizontal="left" vertical="center"/>
    </xf>
    <xf numFmtId="0" fontId="14" fillId="61" borderId="424" xfId="0" applyFont="1" applyFill="1" applyBorder="1" applyAlignment="1">
      <alignment horizontal="right" vertical="center"/>
    </xf>
    <xf numFmtId="0" fontId="313" fillId="62" borderId="424" xfId="0" applyFont="1" applyFill="1" applyBorder="1" applyAlignment="1">
      <alignment horizontal="center" vertical="center"/>
    </xf>
    <xf numFmtId="0" fontId="14" fillId="60" borderId="424" xfId="0" applyFont="1" applyFill="1" applyBorder="1" applyAlignment="1">
      <alignment horizontal="right" vertical="center"/>
    </xf>
    <xf numFmtId="0" fontId="14" fillId="58" borderId="0" xfId="0" applyFont="1" applyFill="1" applyBorder="1" applyAlignment="1">
      <alignment horizontal="right" vertical="center"/>
    </xf>
    <xf numFmtId="0" fontId="313" fillId="59" borderId="0" xfId="0" applyFont="1" applyFill="1" applyBorder="1" applyAlignment="1">
      <alignment horizontal="center" vertical="center"/>
    </xf>
    <xf numFmtId="0" fontId="156" fillId="4" borderId="331" xfId="0" applyFont="1" applyFill="1" applyBorder="1" applyAlignment="1" applyProtection="1">
      <alignment horizontal="center" vertical="center"/>
      <protection locked="0"/>
    </xf>
    <xf numFmtId="0" fontId="156" fillId="4" borderId="332" xfId="0" applyFont="1" applyFill="1" applyBorder="1" applyAlignment="1" applyProtection="1">
      <alignment horizontal="center" vertical="center"/>
      <protection locked="0"/>
    </xf>
    <xf numFmtId="0" fontId="156" fillId="4" borderId="333" xfId="0" applyFont="1" applyFill="1" applyBorder="1" applyAlignment="1" applyProtection="1">
      <alignment horizontal="center" vertical="center"/>
      <protection locked="0"/>
    </xf>
    <xf numFmtId="0" fontId="156" fillId="4" borderId="334" xfId="0" applyFont="1" applyFill="1" applyBorder="1" applyAlignment="1" applyProtection="1">
      <alignment horizontal="center" vertical="center"/>
      <protection locked="0"/>
    </xf>
    <xf numFmtId="0" fontId="156" fillId="4" borderId="164" xfId="0" applyFont="1" applyFill="1" applyBorder="1" applyAlignment="1" applyProtection="1">
      <alignment horizontal="center" vertical="center"/>
      <protection locked="0"/>
    </xf>
    <xf numFmtId="0" fontId="156" fillId="4" borderId="335" xfId="0" applyFont="1" applyFill="1" applyBorder="1" applyAlignment="1" applyProtection="1">
      <alignment horizontal="center" vertical="center"/>
      <protection locked="0"/>
    </xf>
    <xf numFmtId="0" fontId="326" fillId="0" borderId="0" xfId="21" applyFont="1" applyAlignment="1">
      <alignment horizontal="left"/>
    </xf>
    <xf numFmtId="0" fontId="326" fillId="0" borderId="417" xfId="21" applyFont="1" applyBorder="1" applyAlignment="1">
      <alignment horizontal="left"/>
    </xf>
    <xf numFmtId="0" fontId="325" fillId="0" borderId="0" xfId="21" applyFont="1" applyBorder="1" applyAlignment="1">
      <alignment horizontal="left" vertical="top"/>
    </xf>
    <xf numFmtId="0" fontId="172" fillId="65" borderId="441" xfId="21" applyFont="1" applyFill="1" applyBorder="1" applyAlignment="1">
      <alignment horizontal="center" vertical="center" shrinkToFit="1"/>
    </xf>
    <xf numFmtId="0" fontId="172" fillId="65" borderId="440" xfId="21" applyFont="1" applyFill="1" applyBorder="1" applyAlignment="1">
      <alignment horizontal="center" vertical="center" shrinkToFit="1"/>
    </xf>
    <xf numFmtId="0" fontId="14" fillId="57" borderId="419" xfId="0" applyFont="1" applyFill="1" applyBorder="1" applyAlignment="1">
      <alignment horizontal="right" vertical="center"/>
    </xf>
    <xf numFmtId="0" fontId="313" fillId="59" borderId="464" xfId="0" applyFont="1" applyFill="1" applyBorder="1" applyAlignment="1">
      <alignment horizontal="center" vertical="center"/>
    </xf>
    <xf numFmtId="0" fontId="332" fillId="57" borderId="422" xfId="21" applyFont="1" applyFill="1" applyBorder="1" applyAlignment="1">
      <alignment horizontal="right" vertical="center"/>
    </xf>
    <xf numFmtId="0" fontId="312" fillId="57" borderId="418" xfId="21" applyFont="1" applyFill="1" applyBorder="1" applyAlignment="1">
      <alignment horizontal="center" vertical="center"/>
    </xf>
    <xf numFmtId="0" fontId="312" fillId="57" borderId="421" xfId="21" applyFont="1" applyFill="1" applyBorder="1" applyAlignment="1">
      <alignment horizontal="center" vertical="center"/>
    </xf>
    <xf numFmtId="0" fontId="49" fillId="57" borderId="422" xfId="0" applyFont="1" applyFill="1" applyBorder="1" applyAlignment="1">
      <alignment horizontal="left" vertical="center" wrapText="1"/>
    </xf>
    <xf numFmtId="0" fontId="49" fillId="57" borderId="423" xfId="0" applyFont="1" applyFill="1" applyBorder="1" applyAlignment="1">
      <alignment horizontal="left" vertical="center" wrapText="1"/>
    </xf>
    <xf numFmtId="176" fontId="90" fillId="67" borderId="47" xfId="0" applyNumberFormat="1" applyFont="1" applyFill="1" applyBorder="1" applyAlignment="1">
      <alignment horizontal="right"/>
    </xf>
    <xf numFmtId="176" fontId="90" fillId="67" borderId="14" xfId="0" applyNumberFormat="1" applyFont="1" applyFill="1" applyBorder="1" applyAlignment="1">
      <alignment horizontal="right"/>
    </xf>
    <xf numFmtId="176" fontId="90" fillId="67" borderId="12" xfId="0" applyNumberFormat="1" applyFont="1" applyFill="1" applyBorder="1" applyAlignment="1">
      <alignment horizontal="right"/>
    </xf>
    <xf numFmtId="176" fontId="90" fillId="67" borderId="44" xfId="0" applyNumberFormat="1" applyFont="1" applyFill="1" applyBorder="1" applyAlignment="1">
      <alignment horizontal="right"/>
    </xf>
    <xf numFmtId="188" fontId="90" fillId="0" borderId="290" xfId="21" applyNumberFormat="1" applyFont="1" applyBorder="1" applyAlignment="1">
      <alignment horizontal="center" vertical="center"/>
    </xf>
    <xf numFmtId="188" fontId="90" fillId="0" borderId="274" xfId="21" applyNumberFormat="1" applyFont="1" applyBorder="1" applyAlignment="1">
      <alignment horizontal="center" vertical="center"/>
    </xf>
    <xf numFmtId="188" fontId="90" fillId="0" borderId="276" xfId="21" applyNumberFormat="1" applyFont="1" applyBorder="1" applyAlignment="1">
      <alignment horizontal="center" vertical="center"/>
    </xf>
    <xf numFmtId="188" fontId="90" fillId="0" borderId="270" xfId="21" applyNumberFormat="1" applyFont="1" applyBorder="1" applyAlignment="1">
      <alignment horizontal="center" vertical="center"/>
    </xf>
    <xf numFmtId="188" fontId="90" fillId="0" borderId="263" xfId="21" applyNumberFormat="1" applyFont="1" applyBorder="1" applyAlignment="1">
      <alignment horizontal="center" vertical="center"/>
    </xf>
    <xf numFmtId="188" fontId="90" fillId="0" borderId="285" xfId="21" applyNumberFormat="1" applyFont="1" applyBorder="1" applyAlignment="1">
      <alignment horizontal="center" vertical="center"/>
    </xf>
    <xf numFmtId="176" fontId="90" fillId="67" borderId="41" xfId="0" applyNumberFormat="1" applyFont="1" applyFill="1" applyBorder="1" applyAlignment="1">
      <alignment horizontal="right"/>
    </xf>
    <xf numFmtId="176" fontId="90" fillId="67" borderId="36" xfId="0" applyNumberFormat="1" applyFont="1" applyFill="1" applyBorder="1" applyAlignment="1">
      <alignment horizontal="right"/>
    </xf>
    <xf numFmtId="176" fontId="90" fillId="67" borderId="37" xfId="0" applyNumberFormat="1" applyFont="1" applyFill="1" applyBorder="1" applyAlignment="1">
      <alignment horizontal="right"/>
    </xf>
    <xf numFmtId="176" fontId="90" fillId="67" borderId="40" xfId="0" applyNumberFormat="1" applyFont="1" applyFill="1" applyBorder="1" applyAlignment="1">
      <alignment horizontal="right"/>
    </xf>
    <xf numFmtId="176" fontId="90" fillId="67" borderId="70" xfId="0" applyNumberFormat="1" applyFont="1" applyFill="1" applyBorder="1" applyAlignment="1">
      <alignment horizontal="right"/>
    </xf>
    <xf numFmtId="176" fontId="90" fillId="67" borderId="71" xfId="0" applyNumberFormat="1" applyFont="1" applyFill="1" applyBorder="1" applyAlignment="1">
      <alignment horizontal="right"/>
    </xf>
    <xf numFmtId="0" fontId="90" fillId="0" borderId="0" xfId="21" applyFont="1" applyBorder="1" applyAlignment="1">
      <alignment horizontal="center" vertical="center" shrinkToFit="1"/>
    </xf>
    <xf numFmtId="0" fontId="80" fillId="0" borderId="58" xfId="21" applyFill="1" applyBorder="1" applyAlignment="1">
      <alignment horizontal="center" vertical="center" textRotation="255"/>
    </xf>
    <xf numFmtId="0" fontId="80" fillId="0" borderId="59" xfId="21" applyFill="1" applyBorder="1" applyAlignment="1">
      <alignment horizontal="center" vertical="center" textRotation="255"/>
    </xf>
    <xf numFmtId="0" fontId="90" fillId="0" borderId="268" xfId="21" applyFont="1" applyBorder="1" applyAlignment="1">
      <alignment horizontal="center" vertical="center" textRotation="255"/>
    </xf>
    <xf numFmtId="0" fontId="90" fillId="0" borderId="305" xfId="21" applyFont="1" applyBorder="1" applyAlignment="1">
      <alignment horizontal="center" vertical="center" wrapText="1"/>
    </xf>
    <xf numFmtId="0" fontId="90" fillId="0" borderId="292" xfId="21" applyFont="1" applyBorder="1" applyAlignment="1">
      <alignment horizontal="center" vertical="center" wrapText="1"/>
    </xf>
    <xf numFmtId="0" fontId="90" fillId="0" borderId="295" xfId="21" applyFont="1" applyBorder="1" applyAlignment="1">
      <alignment horizontal="center" vertical="center" wrapText="1"/>
    </xf>
    <xf numFmtId="0" fontId="90" fillId="0" borderId="48" xfId="21" applyFont="1" applyBorder="1" applyAlignment="1">
      <alignment horizontal="center" vertical="center" shrinkToFit="1"/>
    </xf>
    <xf numFmtId="0" fontId="90" fillId="0" borderId="16" xfId="21" applyFont="1" applyBorder="1" applyAlignment="1">
      <alignment horizontal="center" vertical="center" shrinkToFit="1"/>
    </xf>
    <xf numFmtId="0" fontId="90" fillId="0" borderId="43" xfId="21" applyFont="1" applyBorder="1" applyAlignment="1">
      <alignment horizontal="center" vertical="center" shrinkToFit="1"/>
    </xf>
    <xf numFmtId="0" fontId="80" fillId="0" borderId="62" xfId="21" applyBorder="1" applyAlignment="1">
      <alignment horizontal="center" vertical="center" textRotation="255"/>
    </xf>
    <xf numFmtId="0" fontId="90" fillId="0" borderId="271" xfId="21" applyFont="1" applyBorder="1" applyAlignment="1">
      <alignment horizontal="center" vertical="center" textRotation="255"/>
    </xf>
    <xf numFmtId="0" fontId="90" fillId="0" borderId="265" xfId="21" applyFont="1" applyBorder="1" applyAlignment="1">
      <alignment horizontal="center" vertical="center" textRotation="255"/>
    </xf>
    <xf numFmtId="0" fontId="90" fillId="0" borderId="291" xfId="21" applyFont="1" applyBorder="1" applyAlignment="1">
      <alignment horizontal="center" vertical="center"/>
    </xf>
    <xf numFmtId="0" fontId="90" fillId="0" borderId="16" xfId="21" applyFont="1" applyBorder="1" applyAlignment="1">
      <alignment horizontal="center" vertical="center"/>
    </xf>
    <xf numFmtId="0" fontId="90" fillId="0" borderId="43" xfId="21" applyFont="1" applyBorder="1" applyAlignment="1">
      <alignment horizontal="center" vertical="center"/>
    </xf>
    <xf numFmtId="0" fontId="80" fillId="0" borderId="169" xfId="21" applyBorder="1" applyAlignment="1">
      <alignment horizontal="center" vertical="center" textRotation="255"/>
    </xf>
    <xf numFmtId="0" fontId="80" fillId="0" borderId="170" xfId="21" applyBorder="1" applyAlignment="1">
      <alignment horizontal="center" vertical="center" textRotation="255"/>
    </xf>
    <xf numFmtId="0" fontId="90" fillId="0" borderId="271" xfId="21" applyFont="1" applyBorder="1" applyAlignment="1">
      <alignment horizontal="center" vertical="center" textRotation="255" shrinkToFit="1"/>
    </xf>
    <xf numFmtId="0" fontId="90" fillId="0" borderId="268" xfId="21" applyFont="1" applyBorder="1" applyAlignment="1">
      <alignment horizontal="center" vertical="center" textRotation="255" shrinkToFit="1"/>
    </xf>
    <xf numFmtId="0" fontId="90" fillId="0" borderId="265" xfId="21" applyFont="1" applyBorder="1" applyAlignment="1">
      <alignment horizontal="center" vertical="center" textRotation="255" shrinkToFit="1"/>
    </xf>
    <xf numFmtId="0" fontId="90" fillId="0" borderId="53" xfId="21" applyFont="1" applyBorder="1" applyAlignment="1">
      <alignment horizontal="center" vertical="center" shrinkToFit="1"/>
    </xf>
    <xf numFmtId="0" fontId="90" fillId="0" borderId="1" xfId="21" applyFont="1" applyBorder="1" applyAlignment="1">
      <alignment horizontal="center" vertical="center" shrinkToFit="1"/>
    </xf>
    <xf numFmtId="0" fontId="90" fillId="0" borderId="9" xfId="21" applyFont="1" applyBorder="1" applyAlignment="1">
      <alignment horizontal="center" vertical="center" shrinkToFit="1"/>
    </xf>
    <xf numFmtId="0" fontId="90" fillId="0" borderId="62" xfId="21" applyFont="1" applyBorder="1" applyAlignment="1">
      <alignment horizontal="center" vertical="center" textRotation="255" wrapText="1" shrinkToFit="1"/>
    </xf>
    <xf numFmtId="0" fontId="90" fillId="0" borderId="62" xfId="21" applyFont="1" applyBorder="1" applyAlignment="1">
      <alignment horizontal="center" vertical="center" textRotation="255" shrinkToFit="1"/>
    </xf>
    <xf numFmtId="0" fontId="80" fillId="0" borderId="170" xfId="21" applyBorder="1" applyAlignment="1">
      <alignment shrinkToFit="1"/>
    </xf>
    <xf numFmtId="0" fontId="90" fillId="0" borderId="292" xfId="21" applyFont="1" applyBorder="1" applyAlignment="1">
      <alignment horizontal="center" vertical="center" wrapText="1" shrinkToFit="1"/>
    </xf>
    <xf numFmtId="0" fontId="90" fillId="0" borderId="54" xfId="21" applyFont="1" applyBorder="1" applyAlignment="1">
      <alignment horizontal="center" vertical="center"/>
    </xf>
    <xf numFmtId="0" fontId="90" fillId="0" borderId="4" xfId="21" applyFont="1" applyBorder="1" applyAlignment="1">
      <alignment horizontal="center" vertical="center"/>
    </xf>
    <xf numFmtId="0" fontId="90" fillId="0" borderId="5" xfId="21" applyFont="1" applyBorder="1" applyAlignment="1">
      <alignment horizontal="center" vertical="center"/>
    </xf>
    <xf numFmtId="0" fontId="90" fillId="0" borderId="53" xfId="21" applyFont="1" applyBorder="1" applyAlignment="1">
      <alignment horizontal="center" vertical="center"/>
    </xf>
    <xf numFmtId="0" fontId="90" fillId="0" borderId="1" xfId="21" applyFont="1" applyBorder="1" applyAlignment="1">
      <alignment horizontal="center" vertical="center"/>
    </xf>
    <xf numFmtId="0" fontId="90" fillId="0" borderId="9" xfId="21" applyFont="1" applyBorder="1" applyAlignment="1">
      <alignment horizontal="center" vertical="center"/>
    </xf>
    <xf numFmtId="0" fontId="90" fillId="0" borderId="264" xfId="21" applyFont="1" applyBorder="1" applyAlignment="1">
      <alignment horizontal="center" vertical="center" shrinkToFit="1"/>
    </xf>
    <xf numFmtId="0" fontId="90" fillId="0" borderId="33" xfId="21" applyFont="1" applyBorder="1" applyAlignment="1">
      <alignment horizontal="center" vertical="center" shrinkToFit="1"/>
    </xf>
    <xf numFmtId="0" fontId="90" fillId="0" borderId="46" xfId="21" applyFont="1" applyBorder="1" applyAlignment="1">
      <alignment horizontal="center" vertical="center" shrinkToFit="1"/>
    </xf>
    <xf numFmtId="0" fontId="90" fillId="0" borderId="297" xfId="21" applyFont="1" applyBorder="1" applyAlignment="1">
      <alignment horizontal="center" vertical="center" wrapText="1"/>
    </xf>
    <xf numFmtId="0" fontId="90" fillId="0" borderId="3" xfId="21" applyFont="1" applyBorder="1" applyAlignment="1">
      <alignment horizontal="center" vertical="center" wrapText="1"/>
    </xf>
    <xf numFmtId="0" fontId="90" fillId="0" borderId="8" xfId="21" applyFont="1" applyBorder="1" applyAlignment="1">
      <alignment horizontal="center" vertical="center"/>
    </xf>
    <xf numFmtId="0" fontId="90" fillId="0" borderId="38" xfId="21" applyFont="1" applyBorder="1" applyAlignment="1">
      <alignment horizontal="center" vertical="center" shrinkToFit="1"/>
    </xf>
    <xf numFmtId="0" fontId="90" fillId="0" borderId="23" xfId="21" applyFont="1" applyBorder="1" applyAlignment="1">
      <alignment horizontal="center" vertical="center" shrinkToFit="1"/>
    </xf>
    <xf numFmtId="0" fontId="90" fillId="0" borderId="22" xfId="21" applyFont="1" applyBorder="1" applyAlignment="1">
      <alignment horizontal="center" vertical="center" shrinkToFit="1"/>
    </xf>
    <xf numFmtId="0" fontId="90" fillId="0" borderId="42" xfId="21" applyFont="1" applyBorder="1" applyAlignment="1">
      <alignment horizontal="center" vertical="center" shrinkToFit="1"/>
    </xf>
    <xf numFmtId="0" fontId="90" fillId="0" borderId="52" xfId="21" applyFont="1" applyBorder="1" applyAlignment="1">
      <alignment horizontal="center" vertical="center"/>
    </xf>
    <xf numFmtId="0" fontId="90" fillId="0" borderId="0" xfId="21" applyFont="1" applyBorder="1" applyAlignment="1">
      <alignment horizontal="center" vertical="center"/>
    </xf>
    <xf numFmtId="0" fontId="90" fillId="0" borderId="55" xfId="21" applyFont="1" applyBorder="1" applyAlignment="1">
      <alignment horizontal="center" vertical="center"/>
    </xf>
    <xf numFmtId="0" fontId="90" fillId="0" borderId="11" xfId="21" applyFont="1" applyBorder="1" applyAlignment="1">
      <alignment horizontal="center" vertical="center"/>
    </xf>
    <xf numFmtId="0" fontId="80" fillId="0" borderId="57" xfId="21" applyBorder="1" applyAlignment="1">
      <alignment horizontal="center" vertical="center" textRotation="255"/>
    </xf>
    <xf numFmtId="0" fontId="80" fillId="0" borderId="58" xfId="21" applyBorder="1" applyAlignment="1">
      <alignment horizontal="center" vertical="center" textRotation="255"/>
    </xf>
    <xf numFmtId="0" fontId="80" fillId="0" borderId="59" xfId="21" applyBorder="1" applyAlignment="1">
      <alignment horizontal="center" vertical="center" textRotation="255"/>
    </xf>
    <xf numFmtId="0" fontId="90" fillId="0" borderId="74" xfId="21" applyFont="1" applyBorder="1" applyAlignment="1">
      <alignment horizontal="center" vertical="center" shrinkToFit="1"/>
    </xf>
    <xf numFmtId="0" fontId="90" fillId="0" borderId="13" xfId="21" applyFont="1" applyBorder="1" applyAlignment="1">
      <alignment horizontal="center" vertical="center" shrinkToFit="1"/>
    </xf>
    <xf numFmtId="0" fontId="90" fillId="0" borderId="14" xfId="21" applyFont="1" applyBorder="1" applyAlignment="1">
      <alignment horizontal="center" vertical="center" shrinkToFit="1"/>
    </xf>
    <xf numFmtId="0" fontId="90" fillId="0" borderId="6" xfId="21" applyFont="1" applyBorder="1" applyAlignment="1">
      <alignment horizontal="center" vertical="center" wrapText="1"/>
    </xf>
    <xf numFmtId="0" fontId="90" fillId="0" borderId="7" xfId="21" applyFont="1" applyBorder="1" applyAlignment="1">
      <alignment horizontal="center" vertical="center"/>
    </xf>
    <xf numFmtId="0" fontId="90" fillId="0" borderId="15" xfId="21" applyFont="1" applyBorder="1" applyAlignment="1">
      <alignment horizontal="center" vertical="center"/>
    </xf>
    <xf numFmtId="0" fontId="90" fillId="0" borderId="18" xfId="21" applyFont="1" applyBorder="1" applyAlignment="1">
      <alignment horizontal="center" vertical="center"/>
    </xf>
    <xf numFmtId="0" fontId="90" fillId="0" borderId="20" xfId="21" applyFont="1" applyBorder="1" applyAlignment="1">
      <alignment horizontal="center" vertical="center"/>
    </xf>
    <xf numFmtId="0" fontId="90" fillId="0" borderId="26" xfId="21" applyFont="1" applyBorder="1" applyAlignment="1">
      <alignment horizontal="center" vertical="center"/>
    </xf>
    <xf numFmtId="0" fontId="90" fillId="0" borderId="169" xfId="21" applyFont="1" applyBorder="1" applyAlignment="1">
      <alignment horizontal="center" vertical="center" textRotation="255"/>
    </xf>
    <xf numFmtId="0" fontId="90" fillId="0" borderId="290" xfId="21" applyNumberFormat="1" applyFont="1" applyBorder="1" applyAlignment="1">
      <alignment horizontal="center" vertical="center" wrapText="1"/>
    </xf>
    <xf numFmtId="0" fontId="90" fillId="0" borderId="274" xfId="21" applyNumberFormat="1" applyFont="1" applyBorder="1" applyAlignment="1">
      <alignment horizontal="center" vertical="center"/>
    </xf>
    <xf numFmtId="0" fontId="90" fillId="0" borderId="263" xfId="21" applyNumberFormat="1" applyFont="1" applyBorder="1" applyAlignment="1">
      <alignment horizontal="center" vertical="center"/>
    </xf>
    <xf numFmtId="0" fontId="90" fillId="0" borderId="37" xfId="21" applyFont="1" applyBorder="1" applyAlignment="1">
      <alignment horizontal="center" vertical="center"/>
    </xf>
    <xf numFmtId="0" fontId="90" fillId="0" borderId="40" xfId="21" applyFont="1" applyBorder="1" applyAlignment="1">
      <alignment horizontal="center" vertical="center"/>
    </xf>
    <xf numFmtId="0" fontId="90" fillId="0" borderId="41" xfId="21" applyFont="1" applyBorder="1" applyAlignment="1">
      <alignment horizontal="center" vertical="center"/>
    </xf>
    <xf numFmtId="188" fontId="90" fillId="0" borderId="308" xfId="21" applyNumberFormat="1" applyFont="1" applyBorder="1" applyAlignment="1">
      <alignment horizontal="center" vertical="center"/>
    </xf>
    <xf numFmtId="0" fontId="90" fillId="0" borderId="34" xfId="21" applyFont="1" applyBorder="1" applyAlignment="1">
      <alignment horizontal="center" vertical="center"/>
    </xf>
    <xf numFmtId="193" fontId="90" fillId="0" borderId="47" xfId="21" applyNumberFormat="1" applyFont="1" applyBorder="1" applyAlignment="1">
      <alignment horizontal="center" vertical="center"/>
    </xf>
    <xf numFmtId="193" fontId="90" fillId="0" borderId="14" xfId="21" applyNumberFormat="1" applyFont="1" applyBorder="1" applyAlignment="1">
      <alignment horizontal="center" vertical="center"/>
    </xf>
    <xf numFmtId="193" fontId="90" fillId="0" borderId="12" xfId="21" applyNumberFormat="1" applyFont="1" applyBorder="1" applyAlignment="1">
      <alignment horizontal="center" vertical="center"/>
    </xf>
    <xf numFmtId="193" fontId="90" fillId="0" borderId="13" xfId="21" applyNumberFormat="1" applyFont="1" applyBorder="1" applyAlignment="1">
      <alignment horizontal="center" vertical="center"/>
    </xf>
    <xf numFmtId="176" fontId="90" fillId="0" borderId="22" xfId="0" applyNumberFormat="1" applyFont="1" applyBorder="1" applyAlignment="1">
      <alignment horizontal="right"/>
    </xf>
    <xf numFmtId="176" fontId="90" fillId="0" borderId="42" xfId="0" applyNumberFormat="1" applyFont="1" applyBorder="1" applyAlignment="1">
      <alignment horizontal="right"/>
    </xf>
    <xf numFmtId="176" fontId="90" fillId="0" borderId="38" xfId="0" applyNumberFormat="1" applyFont="1" applyBorder="1" applyAlignment="1">
      <alignment horizontal="right"/>
    </xf>
    <xf numFmtId="176" fontId="90" fillId="0" borderId="24" xfId="0" applyNumberFormat="1" applyFont="1" applyBorder="1" applyAlignment="1">
      <alignment horizontal="right"/>
    </xf>
    <xf numFmtId="176" fontId="90" fillId="0" borderId="23" xfId="0" applyNumberFormat="1" applyFont="1" applyBorder="1" applyAlignment="1">
      <alignment horizontal="right"/>
    </xf>
    <xf numFmtId="176" fontId="90" fillId="67" borderId="39" xfId="0" applyNumberFormat="1" applyFont="1" applyFill="1" applyBorder="1" applyAlignment="1">
      <alignment horizontal="right"/>
    </xf>
    <xf numFmtId="176" fontId="90" fillId="67" borderId="46" xfId="0" applyNumberFormat="1" applyFont="1" applyFill="1" applyBorder="1" applyAlignment="1">
      <alignment horizontal="right"/>
    </xf>
    <xf numFmtId="176" fontId="90" fillId="67" borderId="45" xfId="0" applyNumberFormat="1" applyFont="1" applyFill="1" applyBorder="1" applyAlignment="1">
      <alignment horizontal="right"/>
    </xf>
    <xf numFmtId="176" fontId="90" fillId="67" borderId="35" xfId="0" applyNumberFormat="1" applyFont="1" applyFill="1" applyBorder="1" applyAlignment="1">
      <alignment horizontal="right"/>
    </xf>
    <xf numFmtId="176" fontId="90" fillId="67" borderId="72" xfId="0" applyNumberFormat="1" applyFont="1" applyFill="1" applyBorder="1" applyAlignment="1">
      <alignment horizontal="right"/>
    </xf>
    <xf numFmtId="176" fontId="90" fillId="67" borderId="68" xfId="0" applyNumberFormat="1" applyFont="1" applyFill="1" applyBorder="1" applyAlignment="1">
      <alignment horizontal="right"/>
    </xf>
    <xf numFmtId="1" fontId="186" fillId="0" borderId="0" xfId="0" applyNumberFormat="1" applyFont="1" applyBorder="1" applyAlignment="1">
      <alignment horizontal="center" vertical="center" wrapText="1"/>
    </xf>
    <xf numFmtId="0" fontId="362" fillId="20" borderId="2" xfId="21" applyFont="1" applyFill="1" applyBorder="1" applyAlignment="1">
      <alignment horizontal="center" vertical="center"/>
    </xf>
    <xf numFmtId="0" fontId="363" fillId="24" borderId="2" xfId="21" applyFont="1" applyFill="1" applyBorder="1" applyAlignment="1">
      <alignment horizontal="center" vertical="center"/>
    </xf>
    <xf numFmtId="0" fontId="181" fillId="0" borderId="0" xfId="21" applyFont="1" applyBorder="1" applyAlignment="1">
      <alignment horizontal="center" vertical="center" shrinkToFit="1"/>
    </xf>
    <xf numFmtId="0" fontId="178" fillId="4" borderId="2" xfId="21" applyFont="1" applyFill="1" applyBorder="1" applyAlignment="1">
      <alignment horizontal="right" vertical="center"/>
    </xf>
    <xf numFmtId="0" fontId="179" fillId="0" borderId="0" xfId="21" applyFont="1" applyBorder="1" applyAlignment="1">
      <alignment horizontal="left" shrinkToFit="1"/>
    </xf>
    <xf numFmtId="0" fontId="46" fillId="0" borderId="0" xfId="21" applyFont="1" applyBorder="1" applyAlignment="1">
      <alignment horizontal="left" vertical="center"/>
    </xf>
    <xf numFmtId="176" fontId="5" fillId="0" borderId="0" xfId="21" applyNumberFormat="1" applyFont="1" applyBorder="1" applyAlignment="1">
      <alignment horizontal="left" vertical="center" shrinkToFit="1"/>
    </xf>
    <xf numFmtId="191" fontId="366" fillId="0" borderId="0" xfId="0" applyNumberFormat="1" applyFont="1" applyBorder="1" applyAlignment="1">
      <alignment horizontal="center" vertical="center" wrapText="1"/>
    </xf>
    <xf numFmtId="191" fontId="367" fillId="0" borderId="0" xfId="0" applyNumberFormat="1" applyFont="1" applyBorder="1" applyAlignment="1">
      <alignment horizontal="left" vertical="center" wrapText="1"/>
    </xf>
    <xf numFmtId="176" fontId="365" fillId="0" borderId="174" xfId="0" applyNumberFormat="1" applyFont="1" applyBorder="1" applyAlignment="1">
      <alignment horizontal="left" vertical="center" wrapText="1"/>
    </xf>
    <xf numFmtId="0" fontId="13" fillId="0" borderId="6" xfId="0" applyFont="1" applyBorder="1" applyAlignment="1">
      <alignment horizontal="left" vertical="center"/>
    </xf>
    <xf numFmtId="0" fontId="13" fillId="0" borderId="0" xfId="0" applyFont="1" applyAlignment="1">
      <alignment horizontal="left" vertical="center"/>
    </xf>
    <xf numFmtId="49" fontId="5" fillId="0" borderId="0" xfId="0" applyNumberFormat="1" applyFont="1" applyAlignment="1" applyProtection="1">
      <alignment horizontal="left" vertical="center" wrapText="1"/>
    </xf>
    <xf numFmtId="0" fontId="0" fillId="0" borderId="0" xfId="0" applyFont="1" applyAlignment="1">
      <alignment horizontal="center" vertical="center"/>
    </xf>
    <xf numFmtId="0" fontId="80" fillId="0" borderId="0" xfId="0" applyFont="1" applyAlignment="1">
      <alignment horizontal="center" vertical="center"/>
    </xf>
    <xf numFmtId="0" fontId="3" fillId="0" borderId="431" xfId="0" applyFont="1" applyBorder="1" applyAlignment="1">
      <alignment horizontal="center" vertical="center"/>
    </xf>
    <xf numFmtId="0" fontId="3" fillId="0" borderId="432" xfId="0" applyFont="1" applyBorder="1" applyAlignment="1">
      <alignment horizontal="center" vertical="center"/>
    </xf>
    <xf numFmtId="0" fontId="127" fillId="0" borderId="0" xfId="0" applyFont="1" applyBorder="1" applyAlignment="1">
      <alignment horizontal="left" vertical="center"/>
    </xf>
    <xf numFmtId="0" fontId="141" fillId="0" borderId="165" xfId="0" applyFont="1" applyBorder="1" applyAlignment="1">
      <alignment horizontal="center" vertical="center"/>
    </xf>
    <xf numFmtId="0" fontId="141" fillId="0" borderId="429" xfId="0" applyFont="1" applyBorder="1" applyAlignment="1">
      <alignment horizontal="center" vertical="center"/>
    </xf>
    <xf numFmtId="0" fontId="141" fillId="0" borderId="166" xfId="0" applyFont="1" applyBorder="1" applyAlignment="1">
      <alignment horizontal="center" vertical="center"/>
    </xf>
    <xf numFmtId="49" fontId="39" fillId="0" borderId="0" xfId="0" applyNumberFormat="1" applyFont="1" applyAlignment="1" applyProtection="1">
      <alignment horizontal="left" vertical="center" wrapText="1"/>
    </xf>
    <xf numFmtId="0" fontId="141" fillId="0" borderId="442" xfId="0" applyFont="1" applyBorder="1" applyAlignment="1">
      <alignment horizontal="center" vertical="center"/>
    </xf>
    <xf numFmtId="0" fontId="141" fillId="0" borderId="443" xfId="0" applyFont="1" applyBorder="1" applyAlignment="1">
      <alignment horizontal="center" vertical="center"/>
    </xf>
    <xf numFmtId="0" fontId="141" fillId="0" borderId="447" xfId="0" applyFont="1" applyBorder="1" applyAlignment="1">
      <alignment horizontal="center" vertical="center"/>
    </xf>
    <xf numFmtId="0" fontId="317" fillId="0" borderId="431" xfId="0" applyFont="1" applyBorder="1" applyAlignment="1">
      <alignment horizontal="center" vertical="center"/>
    </xf>
    <xf numFmtId="0" fontId="317" fillId="0" borderId="432" xfId="0" applyFont="1" applyBorder="1" applyAlignment="1">
      <alignment horizontal="center" vertical="center"/>
    </xf>
    <xf numFmtId="49" fontId="39" fillId="0" borderId="0" xfId="0" applyNumberFormat="1" applyFont="1" applyBorder="1" applyAlignment="1" applyProtection="1">
      <alignment horizontal="left" wrapText="1"/>
    </xf>
    <xf numFmtId="49" fontId="5" fillId="0" borderId="0" xfId="0" applyNumberFormat="1" applyFont="1" applyBorder="1" applyAlignment="1" applyProtection="1">
      <alignment horizontal="left" wrapText="1"/>
    </xf>
    <xf numFmtId="0" fontId="14" fillId="0" borderId="0" xfId="0" applyFont="1" applyAlignment="1">
      <alignment horizontal="right"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140" fillId="37" borderId="0" xfId="0" applyFont="1" applyFill="1" applyBorder="1" applyAlignment="1">
      <alignment horizontal="left" vertical="center" wrapText="1"/>
    </xf>
    <xf numFmtId="0" fontId="3" fillId="0" borderId="426" xfId="0" applyFont="1" applyBorder="1" applyAlignment="1">
      <alignment horizontal="center" vertical="center"/>
    </xf>
    <xf numFmtId="0" fontId="3" fillId="0" borderId="450" xfId="0" applyFont="1" applyBorder="1" applyAlignment="1">
      <alignment horizontal="center" vertical="center"/>
    </xf>
    <xf numFmtId="0" fontId="348" fillId="8" borderId="424" xfId="0" applyFont="1" applyFill="1" applyBorder="1" applyAlignment="1" applyProtection="1">
      <alignment horizontal="center" vertical="center"/>
      <protection locked="0"/>
    </xf>
    <xf numFmtId="0" fontId="348" fillId="8" borderId="425" xfId="0" applyFont="1" applyFill="1" applyBorder="1" applyAlignment="1" applyProtection="1">
      <alignment horizontal="center" vertical="center"/>
      <protection locked="0"/>
    </xf>
    <xf numFmtId="0" fontId="185" fillId="36" borderId="0" xfId="0" applyFont="1" applyFill="1" applyBorder="1" applyAlignment="1">
      <alignment horizontal="left" vertical="center" wrapText="1"/>
    </xf>
    <xf numFmtId="0" fontId="244" fillId="0" borderId="18" xfId="0" applyFont="1" applyBorder="1" applyAlignment="1">
      <alignment horizontal="left" vertical="center"/>
    </xf>
    <xf numFmtId="0" fontId="244" fillId="0" borderId="0" xfId="0" applyFont="1" applyAlignment="1">
      <alignment horizontal="left" vertical="center"/>
    </xf>
    <xf numFmtId="0" fontId="185" fillId="50" borderId="352" xfId="0" applyFont="1" applyFill="1" applyBorder="1" applyAlignment="1">
      <alignment horizontal="center" vertical="center" wrapText="1" shrinkToFit="1"/>
    </xf>
    <xf numFmtId="0" fontId="185" fillId="50" borderId="360" xfId="0" applyFont="1" applyFill="1" applyBorder="1" applyAlignment="1">
      <alignment horizontal="center" vertical="center" wrapText="1" shrinkToFit="1"/>
    </xf>
    <xf numFmtId="0" fontId="185" fillId="50" borderId="354" xfId="0" applyFont="1" applyFill="1" applyBorder="1" applyAlignment="1">
      <alignment horizontal="center" vertical="center" wrapText="1" shrinkToFit="1"/>
    </xf>
    <xf numFmtId="0" fontId="185" fillId="50" borderId="361" xfId="0" applyFont="1" applyFill="1" applyBorder="1" applyAlignment="1">
      <alignment horizontal="center" vertical="center" wrapText="1" shrinkToFit="1"/>
    </xf>
    <xf numFmtId="0" fontId="244" fillId="0" borderId="0" xfId="0" applyFont="1" applyBorder="1" applyAlignment="1">
      <alignment horizontal="left" vertical="top"/>
    </xf>
    <xf numFmtId="0" fontId="36" fillId="29" borderId="38" xfId="0" applyFont="1" applyFill="1" applyBorder="1" applyAlignment="1">
      <alignment horizontal="center" vertical="center"/>
    </xf>
    <xf numFmtId="0" fontId="36" fillId="29" borderId="22" xfId="0" applyFont="1" applyFill="1" applyBorder="1" applyAlignment="1">
      <alignment horizontal="center" vertical="center"/>
    </xf>
    <xf numFmtId="0" fontId="36" fillId="29" borderId="42" xfId="0" applyFont="1" applyFill="1" applyBorder="1" applyAlignment="1">
      <alignment horizontal="center" vertical="center"/>
    </xf>
    <xf numFmtId="49" fontId="198" fillId="8" borderId="38" xfId="0" applyNumberFormat="1" applyFont="1" applyFill="1" applyBorder="1" applyAlignment="1">
      <alignment horizontal="left" vertical="center" wrapText="1"/>
    </xf>
    <xf numFmtId="49" fontId="198" fillId="8" borderId="22" xfId="0" applyNumberFormat="1" applyFont="1" applyFill="1" applyBorder="1" applyAlignment="1">
      <alignment horizontal="left" vertical="center" wrapText="1"/>
    </xf>
    <xf numFmtId="49" fontId="198" fillId="8" borderId="42" xfId="0" applyNumberFormat="1" applyFont="1" applyFill="1" applyBorder="1" applyAlignment="1">
      <alignment horizontal="left" vertical="center" wrapText="1"/>
    </xf>
    <xf numFmtId="0" fontId="214" fillId="2" borderId="22" xfId="0" applyFont="1" applyFill="1" applyBorder="1" applyAlignment="1" applyProtection="1">
      <alignment horizontal="center" vertical="center"/>
      <protection locked="0"/>
    </xf>
    <xf numFmtId="0" fontId="214" fillId="2" borderId="23" xfId="0" applyFont="1" applyFill="1" applyBorder="1" applyAlignment="1" applyProtection="1">
      <alignment horizontal="center" vertical="center"/>
      <protection locked="0"/>
    </xf>
    <xf numFmtId="0" fontId="131" fillId="2" borderId="22" xfId="0" applyFont="1" applyFill="1" applyBorder="1" applyAlignment="1" applyProtection="1">
      <alignment horizontal="center" vertical="center"/>
      <protection locked="0"/>
    </xf>
    <xf numFmtId="0" fontId="131" fillId="2" borderId="23" xfId="0" applyFont="1" applyFill="1" applyBorder="1" applyAlignment="1" applyProtection="1">
      <alignment horizontal="center" vertical="center"/>
      <protection locked="0"/>
    </xf>
    <xf numFmtId="0" fontId="131" fillId="2" borderId="34" xfId="0" applyFont="1" applyFill="1" applyBorder="1" applyAlignment="1" applyProtection="1">
      <alignment horizontal="center" vertical="center"/>
      <protection locked="0"/>
    </xf>
    <xf numFmtId="0" fontId="212" fillId="0" borderId="220" xfId="1" applyNumberFormat="1" applyFont="1" applyFill="1" applyBorder="1" applyAlignment="1" applyProtection="1">
      <alignment horizontal="center"/>
      <protection locked="0"/>
    </xf>
    <xf numFmtId="0" fontId="212" fillId="0" borderId="229" xfId="1" applyNumberFormat="1" applyFont="1" applyFill="1" applyBorder="1" applyAlignment="1" applyProtection="1">
      <alignment horizontal="center"/>
      <protection locked="0"/>
    </xf>
    <xf numFmtId="182" fontId="168" fillId="35" borderId="34" xfId="0" applyNumberFormat="1" applyFont="1" applyFill="1" applyBorder="1" applyAlignment="1">
      <alignment horizontal="center" vertical="center"/>
    </xf>
    <xf numFmtId="0" fontId="122" fillId="0" borderId="141" xfId="21" applyFont="1" applyBorder="1" applyAlignment="1">
      <alignment horizontal="right" wrapText="1"/>
    </xf>
    <xf numFmtId="0" fontId="122" fillId="0" borderId="142" xfId="21" applyFont="1" applyBorder="1" applyAlignment="1">
      <alignment horizontal="right" wrapText="1"/>
    </xf>
    <xf numFmtId="0" fontId="166" fillId="0" borderId="0" xfId="0" applyFont="1" applyFill="1" applyBorder="1" applyAlignment="1">
      <alignment horizontal="left" vertical="top"/>
    </xf>
    <xf numFmtId="0" fontId="212" fillId="0" borderId="219" xfId="1" applyNumberFormat="1" applyFont="1" applyFill="1" applyBorder="1" applyAlignment="1" applyProtection="1">
      <alignment horizontal="center"/>
      <protection locked="0"/>
    </xf>
    <xf numFmtId="0" fontId="212" fillId="0" borderId="201" xfId="1" applyNumberFormat="1" applyFont="1" applyFill="1" applyBorder="1" applyAlignment="1" applyProtection="1">
      <alignment horizontal="center"/>
      <protection locked="0"/>
    </xf>
    <xf numFmtId="0" fontId="212" fillId="0" borderId="221" xfId="1" applyNumberFormat="1" applyFont="1" applyFill="1" applyBorder="1" applyAlignment="1" applyProtection="1">
      <alignment horizontal="center"/>
      <protection locked="0"/>
    </xf>
    <xf numFmtId="0" fontId="212" fillId="0" borderId="228" xfId="1" applyNumberFormat="1" applyFont="1" applyFill="1" applyBorder="1" applyAlignment="1" applyProtection="1">
      <alignment horizontal="center"/>
      <protection locked="0"/>
    </xf>
    <xf numFmtId="0" fontId="240" fillId="46" borderId="19" xfId="0" applyFont="1" applyFill="1" applyBorder="1" applyAlignment="1">
      <alignment horizontal="center" vertical="center"/>
    </xf>
    <xf numFmtId="177" fontId="32" fillId="0" borderId="41" xfId="0" applyNumberFormat="1" applyFont="1" applyFill="1" applyBorder="1" applyAlignment="1">
      <alignment horizontal="right" vertical="center" wrapText="1"/>
    </xf>
    <xf numFmtId="177" fontId="32" fillId="0" borderId="34" xfId="0" applyNumberFormat="1" applyFont="1" applyFill="1" applyBorder="1" applyAlignment="1">
      <alignment horizontal="right" vertical="center" wrapText="1"/>
    </xf>
    <xf numFmtId="177" fontId="32" fillId="0" borderId="36" xfId="0" applyNumberFormat="1" applyFont="1" applyFill="1" applyBorder="1" applyAlignment="1">
      <alignment horizontal="right" vertical="center" wrapText="1"/>
    </xf>
    <xf numFmtId="177" fontId="32" fillId="0" borderId="12" xfId="0" applyNumberFormat="1" applyFont="1" applyFill="1" applyBorder="1" applyAlignment="1">
      <alignment horizontal="right" vertical="center" wrapText="1"/>
    </xf>
    <xf numFmtId="177" fontId="32" fillId="0" borderId="13" xfId="0" applyNumberFormat="1" applyFont="1" applyFill="1" applyBorder="1" applyAlignment="1">
      <alignment horizontal="right" vertical="center" wrapText="1"/>
    </xf>
    <xf numFmtId="177" fontId="32" fillId="0" borderId="44" xfId="0" applyNumberFormat="1" applyFont="1" applyFill="1" applyBorder="1" applyAlignment="1">
      <alignment horizontal="right" vertical="center" wrapText="1"/>
    </xf>
    <xf numFmtId="177" fontId="32" fillId="0" borderId="45" xfId="0" applyNumberFormat="1" applyFont="1" applyFill="1" applyBorder="1" applyAlignment="1">
      <alignment horizontal="right" vertical="center" wrapText="1"/>
    </xf>
    <xf numFmtId="177" fontId="32" fillId="0" borderId="33" xfId="0" applyNumberFormat="1" applyFont="1" applyFill="1" applyBorder="1" applyAlignment="1">
      <alignment horizontal="right" vertical="center" wrapText="1"/>
    </xf>
    <xf numFmtId="177" fontId="32" fillId="0" borderId="35" xfId="0" applyNumberFormat="1" applyFont="1" applyFill="1" applyBorder="1" applyAlignment="1">
      <alignment horizontal="right" vertical="center" wrapText="1"/>
    </xf>
    <xf numFmtId="0" fontId="3" fillId="2" borderId="37" xfId="0" applyFont="1" applyFill="1" applyBorder="1" applyAlignment="1" applyProtection="1">
      <alignment horizontal="left" vertical="center" shrinkToFit="1"/>
      <protection locked="0"/>
    </xf>
    <xf numFmtId="0" fontId="3" fillId="2" borderId="34" xfId="0" applyFont="1" applyFill="1" applyBorder="1" applyAlignment="1" applyProtection="1">
      <alignment horizontal="left" vertical="center" shrinkToFit="1"/>
      <protection locked="0"/>
    </xf>
    <xf numFmtId="0" fontId="3" fillId="2" borderId="40" xfId="0" applyFont="1" applyFill="1" applyBorder="1" applyAlignment="1" applyProtection="1">
      <alignment horizontal="left" vertical="center" shrinkToFit="1"/>
      <protection locked="0"/>
    </xf>
    <xf numFmtId="0" fontId="32" fillId="2" borderId="12" xfId="0" applyFont="1" applyFill="1" applyBorder="1" applyAlignment="1" applyProtection="1">
      <alignment horizontal="right" vertical="center"/>
      <protection locked="0"/>
    </xf>
    <xf numFmtId="0" fontId="32" fillId="2" borderId="14" xfId="0" applyFont="1" applyFill="1" applyBorder="1" applyAlignment="1" applyProtection="1">
      <alignment horizontal="right" vertical="center"/>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49" fontId="3" fillId="2" borderId="0" xfId="0" applyNumberFormat="1" applyFont="1" applyFill="1" applyBorder="1" applyAlignment="1" applyProtection="1">
      <alignment horizontal="center" vertical="center" shrinkToFit="1"/>
      <protection locked="0"/>
    </xf>
    <xf numFmtId="49" fontId="3" fillId="2" borderId="11" xfId="0" applyNumberFormat="1" applyFont="1" applyFill="1" applyBorder="1" applyAlignment="1" applyProtection="1">
      <alignment horizontal="center" vertical="center" shrinkToFit="1"/>
      <protection locked="0"/>
    </xf>
    <xf numFmtId="0" fontId="3" fillId="0" borderId="19" xfId="0" applyFont="1" applyBorder="1" applyAlignment="1">
      <alignment horizontal="center" vertical="center"/>
    </xf>
    <xf numFmtId="0" fontId="3" fillId="0" borderId="21" xfId="0" applyFont="1" applyBorder="1" applyAlignment="1">
      <alignment horizontal="center" vertical="center"/>
    </xf>
    <xf numFmtId="177" fontId="32" fillId="2" borderId="12" xfId="0" applyNumberFormat="1" applyFont="1" applyFill="1" applyBorder="1" applyAlignment="1" applyProtection="1">
      <alignment horizontal="right" vertical="center"/>
      <protection locked="0"/>
    </xf>
    <xf numFmtId="177" fontId="32" fillId="2" borderId="14" xfId="0" applyNumberFormat="1" applyFont="1" applyFill="1" applyBorder="1" applyAlignment="1" applyProtection="1">
      <alignment horizontal="right" vertical="center"/>
      <protection locked="0"/>
    </xf>
    <xf numFmtId="0" fontId="32" fillId="2" borderId="45" xfId="0" applyFont="1" applyFill="1" applyBorder="1" applyAlignment="1" applyProtection="1">
      <alignment horizontal="right" vertical="center"/>
      <protection locked="0"/>
    </xf>
    <xf numFmtId="0" fontId="32" fillId="2" borderId="46" xfId="0" applyFont="1" applyFill="1" applyBorder="1" applyAlignment="1" applyProtection="1">
      <alignment horizontal="right" vertical="center"/>
      <protection locked="0"/>
    </xf>
    <xf numFmtId="177" fontId="32" fillId="2" borderId="45" xfId="0" applyNumberFormat="1" applyFont="1" applyFill="1" applyBorder="1" applyAlignment="1" applyProtection="1">
      <alignment horizontal="right" vertical="center"/>
      <protection locked="0"/>
    </xf>
    <xf numFmtId="177" fontId="32" fillId="2" borderId="46" xfId="0" applyNumberFormat="1" applyFont="1" applyFill="1" applyBorder="1" applyAlignment="1" applyProtection="1">
      <alignment horizontal="right" vertical="center"/>
      <protection locked="0"/>
    </xf>
    <xf numFmtId="0" fontId="3" fillId="2" borderId="47"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196" fillId="28" borderId="57" xfId="0" applyFont="1" applyFill="1" applyBorder="1" applyAlignment="1">
      <alignment horizontal="center" vertical="center"/>
    </xf>
    <xf numFmtId="0" fontId="196" fillId="28" borderId="58" xfId="0" applyFont="1" applyFill="1" applyBorder="1" applyAlignment="1">
      <alignment horizontal="center" vertical="center"/>
    </xf>
    <xf numFmtId="0" fontId="196" fillId="28" borderId="59" xfId="0" applyFont="1" applyFill="1" applyBorder="1" applyAlignment="1">
      <alignment horizontal="center" vertical="center"/>
    </xf>
    <xf numFmtId="0" fontId="3" fillId="2" borderId="0"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xf numFmtId="192" fontId="5" fillId="2" borderId="18" xfId="0" applyNumberFormat="1" applyFont="1" applyFill="1" applyBorder="1" applyAlignment="1" applyProtection="1">
      <alignment horizontal="center" vertical="center" shrinkToFit="1"/>
      <protection locked="0"/>
    </xf>
    <xf numFmtId="192" fontId="5" fillId="2" borderId="0" xfId="0" applyNumberFormat="1" applyFont="1" applyFill="1" applyBorder="1" applyAlignment="1" applyProtection="1">
      <alignment horizontal="center" vertical="center" shrinkToFit="1"/>
      <protection locked="0"/>
    </xf>
    <xf numFmtId="192" fontId="5" fillId="2" borderId="19" xfId="0" applyNumberFormat="1" applyFont="1" applyFill="1" applyBorder="1" applyAlignment="1" applyProtection="1">
      <alignment horizontal="center" vertical="center" shrinkToFit="1"/>
      <protection locked="0"/>
    </xf>
    <xf numFmtId="192" fontId="5" fillId="2" borderId="226" xfId="0" applyNumberFormat="1" applyFont="1" applyFill="1" applyBorder="1" applyAlignment="1" applyProtection="1">
      <alignment horizontal="center" vertical="center" shrinkToFit="1"/>
      <protection locked="0"/>
    </xf>
    <xf numFmtId="192" fontId="5" fillId="2" borderId="103" xfId="0" applyNumberFormat="1" applyFont="1" applyFill="1" applyBorder="1" applyAlignment="1" applyProtection="1">
      <alignment horizontal="center" vertical="center" shrinkToFit="1"/>
      <protection locked="0"/>
    </xf>
    <xf numFmtId="192" fontId="5" fillId="2" borderId="102" xfId="0" applyNumberFormat="1"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7" fillId="38" borderId="38" xfId="0" applyFont="1" applyFill="1" applyBorder="1" applyAlignment="1">
      <alignment horizontal="center" vertical="center" wrapText="1"/>
    </xf>
    <xf numFmtId="0" fontId="37" fillId="38" borderId="22" xfId="0" applyFont="1" applyFill="1" applyBorder="1" applyAlignment="1">
      <alignment horizontal="center" vertical="center" wrapText="1"/>
    </xf>
    <xf numFmtId="0" fontId="37" fillId="38" borderId="42" xfId="0" applyFont="1" applyFill="1" applyBorder="1" applyAlignment="1">
      <alignment horizontal="center" vertical="center" wrapText="1"/>
    </xf>
    <xf numFmtId="0" fontId="37" fillId="38" borderId="24" xfId="0" applyFont="1" applyFill="1" applyBorder="1" applyAlignment="1">
      <alignment horizontal="center" vertical="center" wrapText="1"/>
    </xf>
    <xf numFmtId="0" fontId="37" fillId="38" borderId="23" xfId="0" applyFont="1" applyFill="1" applyBorder="1" applyAlignment="1">
      <alignment horizontal="center" vertical="center" wrapText="1"/>
    </xf>
    <xf numFmtId="0" fontId="177" fillId="0" borderId="8" xfId="1" applyFont="1" applyBorder="1" applyAlignment="1">
      <alignment horizontal="center" vertical="center" wrapText="1"/>
    </xf>
    <xf numFmtId="0" fontId="177" fillId="0" borderId="9" xfId="1" applyFont="1" applyBorder="1" applyAlignment="1">
      <alignment horizontal="center" vertical="center" wrapText="1"/>
    </xf>
    <xf numFmtId="0" fontId="32" fillId="2" borderId="8" xfId="0" applyFont="1" applyFill="1" applyBorder="1" applyAlignment="1" applyProtection="1">
      <alignment horizontal="right" vertical="center"/>
      <protection locked="0"/>
    </xf>
    <xf numFmtId="0" fontId="32" fillId="2" borderId="9" xfId="0" applyFont="1" applyFill="1" applyBorder="1" applyAlignment="1" applyProtection="1">
      <alignment horizontal="right" vertical="center"/>
      <protection locked="0"/>
    </xf>
    <xf numFmtId="0" fontId="240" fillId="26" borderId="19" xfId="0" applyFont="1" applyFill="1" applyBorder="1" applyAlignment="1">
      <alignment horizontal="center" vertical="center"/>
    </xf>
    <xf numFmtId="0" fontId="33" fillId="2" borderId="12" xfId="0" applyFont="1" applyFill="1" applyBorder="1" applyAlignment="1" applyProtection="1">
      <alignment horizontal="center" vertical="center"/>
      <protection locked="0"/>
    </xf>
    <xf numFmtId="0" fontId="33" fillId="2" borderId="13" xfId="0" applyFont="1" applyFill="1" applyBorder="1" applyAlignment="1" applyProtection="1">
      <alignment horizontal="center" vertical="center"/>
      <protection locked="0"/>
    </xf>
    <xf numFmtId="0" fontId="33" fillId="2" borderId="44" xfId="0" applyFont="1" applyFill="1" applyBorder="1" applyAlignment="1" applyProtection="1">
      <alignment horizontal="center" vertical="center"/>
      <protection locked="0"/>
    </xf>
    <xf numFmtId="0" fontId="33" fillId="2" borderId="45"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3" fillId="2" borderId="35" xfId="0" applyFont="1" applyFill="1" applyBorder="1" applyAlignment="1" applyProtection="1">
      <alignment horizontal="center" vertical="center"/>
      <protection locked="0"/>
    </xf>
    <xf numFmtId="0" fontId="290" fillId="0" borderId="0" xfId="0" applyFont="1" applyBorder="1" applyAlignment="1">
      <alignment horizontal="left" wrapText="1"/>
    </xf>
    <xf numFmtId="49" fontId="33" fillId="2" borderId="12" xfId="0" applyNumberFormat="1" applyFont="1" applyFill="1" applyBorder="1" applyAlignment="1" applyProtection="1">
      <alignment horizontal="left" vertical="center" wrapText="1"/>
      <protection locked="0"/>
    </xf>
    <xf numFmtId="49" fontId="33" fillId="2" borderId="13" xfId="0" applyNumberFormat="1" applyFont="1" applyFill="1" applyBorder="1" applyAlignment="1" applyProtection="1">
      <alignment horizontal="left" vertical="center" wrapText="1"/>
      <protection locked="0"/>
    </xf>
    <xf numFmtId="49" fontId="33" fillId="2" borderId="14" xfId="0" applyNumberFormat="1" applyFont="1" applyFill="1" applyBorder="1" applyAlignment="1" applyProtection="1">
      <alignment horizontal="left" vertical="center" wrapText="1"/>
      <protection locked="0"/>
    </xf>
    <xf numFmtId="176" fontId="33" fillId="2" borderId="45" xfId="0" applyNumberFormat="1" applyFont="1" applyFill="1" applyBorder="1" applyAlignment="1" applyProtection="1">
      <alignment horizontal="left" vertical="center" wrapText="1"/>
      <protection locked="0"/>
    </xf>
    <xf numFmtId="176" fontId="33" fillId="2" borderId="33" xfId="0" applyNumberFormat="1" applyFont="1" applyFill="1" applyBorder="1" applyAlignment="1" applyProtection="1">
      <alignment horizontal="left" vertical="center" wrapText="1"/>
      <protection locked="0"/>
    </xf>
    <xf numFmtId="176" fontId="33" fillId="2" borderId="46" xfId="0" applyNumberFormat="1" applyFont="1" applyFill="1" applyBorder="1" applyAlignment="1" applyProtection="1">
      <alignment horizontal="left" vertical="center" wrapText="1"/>
      <protection locked="0"/>
    </xf>
    <xf numFmtId="0" fontId="37" fillId="39" borderId="38" xfId="0" applyFont="1" applyFill="1" applyBorder="1" applyAlignment="1">
      <alignment horizontal="center" vertical="center" wrapText="1"/>
    </xf>
    <xf numFmtId="0" fontId="37" fillId="39" borderId="22" xfId="0" applyFont="1" applyFill="1" applyBorder="1" applyAlignment="1">
      <alignment horizontal="center" vertical="center" wrapText="1"/>
    </xf>
    <xf numFmtId="0" fontId="37" fillId="39" borderId="23" xfId="0" applyFont="1" applyFill="1" applyBorder="1" applyAlignment="1">
      <alignment horizontal="center" vertical="center" wrapText="1"/>
    </xf>
    <xf numFmtId="177" fontId="32" fillId="2" borderId="8" xfId="0" applyNumberFormat="1" applyFont="1" applyFill="1" applyBorder="1" applyAlignment="1" applyProtection="1">
      <alignment horizontal="right" vertical="center"/>
      <protection locked="0"/>
    </xf>
    <xf numFmtId="177" fontId="32" fillId="2" borderId="9" xfId="0" applyNumberFormat="1" applyFont="1" applyFill="1" applyBorder="1" applyAlignment="1" applyProtection="1">
      <alignment horizontal="right" vertical="center"/>
      <protection locked="0"/>
    </xf>
    <xf numFmtId="0" fontId="8" fillId="38" borderId="38" xfId="21" applyFont="1" applyFill="1" applyBorder="1" applyAlignment="1">
      <alignment horizontal="center" vertical="center" wrapText="1"/>
    </xf>
    <xf numFmtId="0" fontId="8" fillId="38" borderId="22" xfId="21" applyFont="1" applyFill="1" applyBorder="1" applyAlignment="1">
      <alignment horizontal="center" vertical="center" wrapText="1"/>
    </xf>
    <xf numFmtId="0" fontId="8" fillId="38" borderId="42" xfId="21" applyFont="1" applyFill="1" applyBorder="1" applyAlignment="1">
      <alignment horizontal="center" vertical="center" wrapText="1"/>
    </xf>
    <xf numFmtId="0" fontId="212" fillId="0" borderId="188" xfId="1" applyNumberFormat="1" applyFont="1" applyFill="1" applyBorder="1" applyAlignment="1" applyProtection="1">
      <alignment horizontal="center"/>
      <protection locked="0"/>
    </xf>
    <xf numFmtId="0" fontId="212" fillId="0" borderId="192" xfId="1" applyNumberFormat="1" applyFont="1" applyFill="1" applyBorder="1" applyAlignment="1" applyProtection="1">
      <alignment horizontal="center"/>
      <protection locked="0"/>
    </xf>
    <xf numFmtId="0" fontId="211" fillId="68" borderId="39" xfId="1" applyNumberFormat="1" applyFont="1" applyFill="1" applyBorder="1" applyAlignment="1" applyProtection="1">
      <alignment horizontal="center"/>
      <protection locked="0"/>
    </xf>
    <xf numFmtId="0" fontId="211" fillId="68" borderId="33" xfId="1" applyNumberFormat="1" applyFont="1" applyFill="1" applyBorder="1" applyAlignment="1" applyProtection="1">
      <alignment horizontal="center"/>
      <protection locked="0"/>
    </xf>
    <xf numFmtId="182" fontId="168" fillId="35" borderId="1" xfId="0" applyNumberFormat="1" applyFont="1" applyFill="1" applyBorder="1" applyAlignment="1">
      <alignment horizontal="center" vertical="center"/>
    </xf>
    <xf numFmtId="0" fontId="210" fillId="30" borderId="175" xfId="0" applyFont="1" applyFill="1" applyBorder="1" applyAlignment="1">
      <alignment horizontal="center" vertical="center" shrinkToFit="1"/>
    </xf>
    <xf numFmtId="0" fontId="210" fillId="30" borderId="145" xfId="0" applyFont="1" applyFill="1" applyBorder="1" applyAlignment="1">
      <alignment horizontal="center" vertical="center" shrinkToFit="1"/>
    </xf>
    <xf numFmtId="0" fontId="33" fillId="2" borderId="14" xfId="0" applyFont="1" applyFill="1" applyBorder="1" applyAlignment="1" applyProtection="1">
      <alignment horizontal="center" vertical="center"/>
      <protection locked="0"/>
    </xf>
    <xf numFmtId="176" fontId="125" fillId="2" borderId="27" xfId="0" applyNumberFormat="1" applyFont="1" applyFill="1" applyBorder="1" applyAlignment="1" applyProtection="1">
      <alignment horizontal="left" vertical="top" wrapText="1"/>
      <protection locked="0"/>
    </xf>
    <xf numFmtId="176" fontId="125" fillId="2" borderId="11" xfId="0" applyNumberFormat="1" applyFont="1" applyFill="1" applyBorder="1" applyAlignment="1" applyProtection="1">
      <alignment horizontal="left" vertical="top" wrapText="1"/>
      <protection locked="0"/>
    </xf>
    <xf numFmtId="176" fontId="125" fillId="2" borderId="21" xfId="0" applyNumberFormat="1" applyFont="1" applyFill="1" applyBorder="1" applyAlignment="1" applyProtection="1">
      <alignment horizontal="left" vertical="top" wrapText="1"/>
      <protection locked="0"/>
    </xf>
    <xf numFmtId="0" fontId="182" fillId="30" borderId="22" xfId="0" applyFont="1" applyFill="1" applyBorder="1" applyAlignment="1">
      <alignment horizontal="center" vertical="center" wrapText="1"/>
    </xf>
    <xf numFmtId="0" fontId="35" fillId="30" borderId="24" xfId="0" applyFont="1" applyFill="1" applyBorder="1" applyAlignment="1">
      <alignment horizontal="center" vertical="center" wrapText="1"/>
    </xf>
    <xf numFmtId="0" fontId="35" fillId="30" borderId="22" xfId="0" applyFont="1" applyFill="1" applyBorder="1" applyAlignment="1">
      <alignment horizontal="center" vertical="center" wrapText="1"/>
    </xf>
    <xf numFmtId="0" fontId="35" fillId="30" borderId="23" xfId="0" applyFont="1" applyFill="1" applyBorder="1" applyAlignment="1">
      <alignment horizontal="center" vertical="center" wrapText="1"/>
    </xf>
    <xf numFmtId="0" fontId="33" fillId="2" borderId="41" xfId="0" applyFont="1" applyFill="1" applyBorder="1" applyAlignment="1" applyProtection="1">
      <alignment horizontal="center" vertical="center"/>
      <protection locked="0"/>
    </xf>
    <xf numFmtId="0" fontId="33" fillId="2" borderId="34" xfId="0" applyFont="1" applyFill="1" applyBorder="1" applyAlignment="1" applyProtection="1">
      <alignment horizontal="center" vertical="center"/>
      <protection locked="0"/>
    </xf>
    <xf numFmtId="0" fontId="33" fillId="2" borderId="40" xfId="0" applyFont="1" applyFill="1" applyBorder="1" applyAlignment="1" applyProtection="1">
      <alignment horizontal="center" vertical="center"/>
      <protection locked="0"/>
    </xf>
    <xf numFmtId="195" fontId="172" fillId="0" borderId="422" xfId="0" applyNumberFormat="1" applyFont="1" applyBorder="1" applyAlignment="1">
      <alignment horizontal="center" vertical="center"/>
    </xf>
    <xf numFmtId="195" fontId="172" fillId="0" borderId="423" xfId="0" applyNumberFormat="1" applyFont="1" applyBorder="1" applyAlignment="1">
      <alignment horizontal="center" vertical="center"/>
    </xf>
    <xf numFmtId="0" fontId="329" fillId="57" borderId="452" xfId="0" applyFont="1" applyFill="1" applyBorder="1" applyAlignment="1">
      <alignment horizontal="center" vertical="center" wrapText="1"/>
    </xf>
    <xf numFmtId="0" fontId="329" fillId="57" borderId="453" xfId="0" applyFont="1" applyFill="1" applyBorder="1" applyAlignment="1">
      <alignment horizontal="center" vertical="center" wrapText="1"/>
    </xf>
    <xf numFmtId="0" fontId="195" fillId="0" borderId="0" xfId="0" applyFont="1" applyFill="1" applyBorder="1" applyAlignment="1">
      <alignment horizontal="left" vertical="center" wrapText="1"/>
    </xf>
    <xf numFmtId="0" fontId="191" fillId="30" borderId="72" xfId="0" applyFont="1" applyFill="1" applyBorder="1" applyAlignment="1">
      <alignment horizontal="center" vertical="center"/>
    </xf>
    <xf numFmtId="0" fontId="191" fillId="30" borderId="237" xfId="0" applyFont="1" applyFill="1" applyBorder="1" applyAlignment="1">
      <alignment horizontal="center" vertical="center"/>
    </xf>
    <xf numFmtId="176" fontId="125" fillId="2" borderId="6" xfId="0" applyNumberFormat="1" applyFont="1" applyFill="1" applyBorder="1" applyAlignment="1" applyProtection="1">
      <alignment horizontal="left" vertical="top" wrapText="1"/>
      <protection locked="0"/>
    </xf>
    <xf numFmtId="176" fontId="125" fillId="2" borderId="0" xfId="0" applyNumberFormat="1" applyFont="1" applyFill="1" applyBorder="1" applyAlignment="1" applyProtection="1">
      <alignment horizontal="left" vertical="top" wrapText="1"/>
      <protection locked="0"/>
    </xf>
    <xf numFmtId="176" fontId="125" fillId="2" borderId="19" xfId="0" applyNumberFormat="1" applyFont="1" applyFill="1" applyBorder="1" applyAlignment="1" applyProtection="1">
      <alignment horizontal="left" vertical="top" wrapText="1"/>
      <protection locked="0"/>
    </xf>
    <xf numFmtId="0" fontId="191" fillId="30" borderId="176" xfId="0" applyFont="1" applyFill="1" applyBorder="1" applyAlignment="1">
      <alignment horizontal="center" vertical="center"/>
    </xf>
    <xf numFmtId="0" fontId="191" fillId="30" borderId="227" xfId="0" applyFont="1" applyFill="1" applyBorder="1" applyAlignment="1">
      <alignment horizontal="center" vertical="center"/>
    </xf>
    <xf numFmtId="0" fontId="45" fillId="2" borderId="16" xfId="0" applyFont="1" applyFill="1" applyBorder="1" applyAlignment="1" applyProtection="1">
      <alignment horizontal="center" vertical="center"/>
      <protection locked="0"/>
    </xf>
    <xf numFmtId="0" fontId="45" fillId="2" borderId="11" xfId="0" applyFont="1" applyFill="1" applyBorder="1" applyAlignment="1" applyProtection="1">
      <alignment horizontal="center" vertical="center"/>
      <protection locked="0"/>
    </xf>
    <xf numFmtId="0" fontId="244" fillId="0" borderId="18" xfId="0" applyFont="1" applyBorder="1" applyAlignment="1">
      <alignment horizontal="left" vertical="top" wrapText="1"/>
    </xf>
    <xf numFmtId="0" fontId="244" fillId="0" borderId="0" xfId="0" applyFont="1" applyBorder="1" applyAlignment="1">
      <alignment horizontal="left" vertical="top" wrapText="1"/>
    </xf>
    <xf numFmtId="0" fontId="121" fillId="16" borderId="70" xfId="21" applyFont="1" applyFill="1" applyBorder="1" applyAlignment="1" applyProtection="1">
      <alignment horizontal="right" wrapText="1"/>
      <protection locked="0"/>
    </xf>
    <xf numFmtId="0" fontId="121" fillId="16" borderId="68" xfId="21" applyFont="1" applyFill="1" applyBorder="1" applyAlignment="1" applyProtection="1">
      <alignment horizontal="right" wrapText="1"/>
      <protection locked="0"/>
    </xf>
    <xf numFmtId="194" fontId="172" fillId="0" borderId="422" xfId="0" applyNumberFormat="1" applyFont="1" applyBorder="1" applyAlignment="1">
      <alignment horizontal="center" vertical="center"/>
    </xf>
    <xf numFmtId="194" fontId="172" fillId="0" borderId="423" xfId="0" applyNumberFormat="1" applyFont="1" applyBorder="1" applyAlignment="1">
      <alignment horizontal="center" vertical="center"/>
    </xf>
    <xf numFmtId="0" fontId="248" fillId="14" borderId="0" xfId="0" applyFont="1" applyFill="1" applyBorder="1" applyAlignment="1">
      <alignment horizontal="left" vertical="center" wrapText="1"/>
    </xf>
    <xf numFmtId="176" fontId="35" fillId="47" borderId="22" xfId="0" applyNumberFormat="1" applyFont="1" applyFill="1" applyBorder="1" applyAlignment="1" applyProtection="1">
      <alignment horizontal="left" vertical="center" wrapText="1"/>
    </xf>
    <xf numFmtId="0" fontId="198" fillId="8" borderId="39" xfId="21" applyFont="1" applyFill="1" applyBorder="1" applyAlignment="1">
      <alignment horizontal="center" vertical="center" wrapText="1"/>
    </xf>
    <xf numFmtId="0" fontId="198" fillId="8" borderId="46" xfId="21" applyFont="1" applyFill="1" applyBorder="1" applyAlignment="1">
      <alignment horizontal="center" vertical="center" wrapText="1"/>
    </xf>
    <xf numFmtId="0" fontId="198" fillId="31" borderId="45" xfId="21" applyFont="1" applyFill="1" applyBorder="1" applyAlignment="1">
      <alignment horizontal="center" vertical="center" wrapText="1"/>
    </xf>
    <xf numFmtId="0" fontId="198" fillId="31" borderId="35" xfId="21" applyFont="1" applyFill="1" applyBorder="1" applyAlignment="1">
      <alignment horizontal="center" vertical="center" wrapText="1"/>
    </xf>
    <xf numFmtId="0" fontId="121" fillId="2" borderId="37" xfId="21" applyFont="1" applyFill="1" applyBorder="1" applyAlignment="1" applyProtection="1">
      <alignment horizontal="right" wrapText="1"/>
      <protection locked="0"/>
    </xf>
    <xf numFmtId="0" fontId="121" fillId="2" borderId="40" xfId="21" applyFont="1" applyFill="1" applyBorder="1" applyAlignment="1" applyProtection="1">
      <alignment horizontal="right" wrapText="1"/>
      <protection locked="0"/>
    </xf>
    <xf numFmtId="0" fontId="198" fillId="30" borderId="15" xfId="21" applyFont="1" applyFill="1" applyBorder="1" applyAlignment="1">
      <alignment horizontal="center" vertical="center" wrapText="1"/>
    </xf>
    <xf numFmtId="0" fontId="198" fillId="30" borderId="17" xfId="21" applyFont="1" applyFill="1" applyBorder="1" applyAlignment="1">
      <alignment horizontal="center" vertical="center" wrapText="1"/>
    </xf>
    <xf numFmtId="0" fontId="198" fillId="30" borderId="20" xfId="21" applyFont="1" applyFill="1" applyBorder="1" applyAlignment="1">
      <alignment horizontal="center" vertical="center" wrapText="1"/>
    </xf>
    <xf numFmtId="0" fontId="198" fillId="30" borderId="21" xfId="21" applyFont="1" applyFill="1" applyBorder="1" applyAlignment="1">
      <alignment horizontal="center" vertical="center" wrapText="1"/>
    </xf>
    <xf numFmtId="0" fontId="198" fillId="30" borderId="37" xfId="21" applyNumberFormat="1" applyFont="1" applyFill="1" applyBorder="1" applyAlignment="1">
      <alignment horizontal="center" vertical="center" shrinkToFit="1"/>
    </xf>
    <xf numFmtId="0" fontId="198" fillId="30" borderId="34" xfId="21" applyNumberFormat="1" applyFont="1" applyFill="1" applyBorder="1" applyAlignment="1">
      <alignment horizontal="center" vertical="center" shrinkToFit="1"/>
    </xf>
    <xf numFmtId="0" fontId="198" fillId="30" borderId="36" xfId="21" applyNumberFormat="1" applyFont="1" applyFill="1" applyBorder="1" applyAlignment="1">
      <alignment horizontal="center" vertical="center" shrinkToFit="1"/>
    </xf>
    <xf numFmtId="0" fontId="198" fillId="30" borderId="37" xfId="21" applyNumberFormat="1" applyFont="1" applyFill="1" applyBorder="1" applyAlignment="1">
      <alignment horizontal="center" vertical="center" wrapText="1" shrinkToFit="1"/>
    </xf>
    <xf numFmtId="0" fontId="198" fillId="30" borderId="34" xfId="21" applyNumberFormat="1" applyFont="1" applyFill="1" applyBorder="1" applyAlignment="1">
      <alignment horizontal="center" vertical="center" wrapText="1" shrinkToFit="1"/>
    </xf>
    <xf numFmtId="0" fontId="198" fillId="30" borderId="36" xfId="21" applyNumberFormat="1" applyFont="1" applyFill="1" applyBorder="1" applyAlignment="1">
      <alignment horizontal="center" vertical="center" wrapText="1" shrinkToFit="1"/>
    </xf>
    <xf numFmtId="0" fontId="121" fillId="16" borderId="41" xfId="21" applyFont="1" applyFill="1" applyBorder="1" applyAlignment="1" applyProtection="1">
      <alignment horizontal="right" wrapText="1"/>
      <protection locked="0"/>
    </xf>
    <xf numFmtId="0" fontId="121" fillId="16" borderId="36" xfId="21" applyFont="1" applyFill="1" applyBorder="1" applyAlignment="1" applyProtection="1">
      <alignment horizontal="right" wrapText="1"/>
      <protection locked="0"/>
    </xf>
    <xf numFmtId="0" fontId="36" fillId="29" borderId="20" xfId="0" applyFont="1" applyFill="1" applyBorder="1" applyAlignment="1">
      <alignment horizontal="center" vertical="center"/>
    </xf>
    <xf numFmtId="0" fontId="36" fillId="29" borderId="11" xfId="0" applyFont="1" applyFill="1" applyBorder="1" applyAlignment="1">
      <alignment horizontal="center" vertical="center"/>
    </xf>
    <xf numFmtId="0" fontId="36" fillId="29" borderId="26" xfId="0" applyFont="1" applyFill="1" applyBorder="1" applyAlignment="1">
      <alignment horizontal="center" vertical="center"/>
    </xf>
    <xf numFmtId="0" fontId="38" fillId="29" borderId="38" xfId="21" applyFont="1" applyFill="1" applyBorder="1" applyAlignment="1">
      <alignment horizontal="center" vertical="center" wrapText="1"/>
    </xf>
    <xf numFmtId="0" fontId="38" fillId="29" borderId="22" xfId="21" applyFont="1" applyFill="1" applyBorder="1" applyAlignment="1">
      <alignment horizontal="center" vertical="center" wrapText="1"/>
    </xf>
    <xf numFmtId="0" fontId="38" fillId="29" borderId="42" xfId="21" applyFont="1" applyFill="1" applyBorder="1" applyAlignment="1">
      <alignment horizontal="center" vertical="center" wrapText="1"/>
    </xf>
    <xf numFmtId="0" fontId="45" fillId="2" borderId="22" xfId="0" applyFont="1" applyFill="1" applyBorder="1" applyAlignment="1" applyProtection="1">
      <alignment horizontal="center" vertical="center"/>
      <protection locked="0"/>
    </xf>
    <xf numFmtId="0" fontId="45" fillId="2" borderId="23" xfId="0" applyFont="1" applyFill="1" applyBorder="1" applyAlignment="1" applyProtection="1">
      <alignment horizontal="center" vertical="center"/>
      <protection locked="0"/>
    </xf>
    <xf numFmtId="0" fontId="39" fillId="0" borderId="15" xfId="21" applyFont="1" applyBorder="1" applyAlignment="1">
      <alignment horizontal="center" vertical="center" wrapText="1"/>
    </xf>
    <xf numFmtId="0" fontId="39" fillId="0" borderId="16" xfId="21" applyFont="1" applyBorder="1" applyAlignment="1">
      <alignment horizontal="center" vertical="center" wrapText="1"/>
    </xf>
    <xf numFmtId="0" fontId="38" fillId="29" borderId="38" xfId="21" applyFont="1" applyFill="1" applyBorder="1" applyAlignment="1">
      <alignment horizontal="center" vertical="center" shrinkToFit="1"/>
    </xf>
    <xf numFmtId="0" fontId="38" fillId="29" borderId="22" xfId="21" applyFont="1" applyFill="1" applyBorder="1" applyAlignment="1">
      <alignment horizontal="center" vertical="center" shrinkToFit="1"/>
    </xf>
    <xf numFmtId="0" fontId="5" fillId="2" borderId="24" xfId="21" applyFont="1" applyFill="1" applyBorder="1" applyAlignment="1" applyProtection="1">
      <alignment horizontal="left" vertical="center" shrinkToFit="1"/>
      <protection locked="0"/>
    </xf>
    <xf numFmtId="0" fontId="5" fillId="2" borderId="22" xfId="21" applyFont="1" applyFill="1" applyBorder="1" applyAlignment="1" applyProtection="1">
      <alignment horizontal="left" vertical="center" shrinkToFit="1"/>
      <protection locked="0"/>
    </xf>
    <xf numFmtId="0" fontId="5" fillId="2" borderId="23" xfId="21" applyFont="1" applyFill="1" applyBorder="1" applyAlignment="1" applyProtection="1">
      <alignment horizontal="left" vertical="center" shrinkToFit="1"/>
      <protection locked="0"/>
    </xf>
    <xf numFmtId="0" fontId="38" fillId="29" borderId="20" xfId="21" applyFont="1" applyFill="1" applyBorder="1" applyAlignment="1">
      <alignment horizontal="center" vertical="center" shrinkToFit="1"/>
    </xf>
    <xf numFmtId="0" fontId="38" fillId="29" borderId="11" xfId="21" applyFont="1" applyFill="1" applyBorder="1" applyAlignment="1">
      <alignment horizontal="center" vertical="center" shrinkToFit="1"/>
    </xf>
    <xf numFmtId="0" fontId="5" fillId="2" borderId="24" xfId="21" applyFont="1" applyFill="1" applyBorder="1" applyAlignment="1" applyProtection="1">
      <alignment horizontal="center" vertical="center" shrinkToFit="1"/>
      <protection locked="0"/>
    </xf>
    <xf numFmtId="0" fontId="5" fillId="2" borderId="22" xfId="21" applyFont="1" applyFill="1" applyBorder="1" applyAlignment="1" applyProtection="1">
      <alignment horizontal="center" vertical="center" shrinkToFit="1"/>
      <protection locked="0"/>
    </xf>
    <xf numFmtId="0" fontId="5" fillId="2" borderId="23" xfId="21" applyFont="1" applyFill="1" applyBorder="1" applyAlignment="1" applyProtection="1">
      <alignment horizontal="center" vertical="center" shrinkToFit="1"/>
      <protection locked="0"/>
    </xf>
    <xf numFmtId="0" fontId="10" fillId="2" borderId="22" xfId="0" applyNumberFormat="1" applyFont="1" applyFill="1" applyBorder="1" applyAlignment="1" applyProtection="1">
      <alignment horizontal="center" vertical="center"/>
      <protection locked="0"/>
    </xf>
    <xf numFmtId="0" fontId="116" fillId="2" borderId="22" xfId="0" applyNumberFormat="1" applyFont="1" applyFill="1" applyBorder="1" applyAlignment="1" applyProtection="1">
      <alignment horizontal="center" vertical="center"/>
      <protection locked="0"/>
    </xf>
    <xf numFmtId="0" fontId="157" fillId="0" borderId="20" xfId="0" applyFont="1" applyBorder="1" applyAlignment="1">
      <alignment horizontal="left" vertical="top" wrapText="1"/>
    </xf>
    <xf numFmtId="0" fontId="157" fillId="0" borderId="11" xfId="0" applyFont="1" applyBorder="1" applyAlignment="1">
      <alignment horizontal="left" vertical="top" wrapText="1"/>
    </xf>
    <xf numFmtId="0" fontId="116" fillId="0" borderId="20" xfId="0" applyFont="1" applyFill="1" applyBorder="1" applyAlignment="1">
      <alignment horizontal="right" vertical="center" wrapText="1"/>
    </xf>
    <xf numFmtId="0" fontId="116" fillId="0" borderId="11" xfId="0" applyFont="1" applyFill="1" applyBorder="1" applyAlignment="1">
      <alignment horizontal="right" vertical="center" wrapText="1"/>
    </xf>
    <xf numFmtId="0" fontId="53" fillId="0" borderId="0" xfId="0" applyFont="1" applyFill="1" applyBorder="1" applyAlignment="1">
      <alignment horizontal="left" vertical="center" wrapText="1"/>
    </xf>
    <xf numFmtId="0" fontId="212" fillId="0" borderId="226" xfId="1" applyNumberFormat="1" applyFont="1" applyFill="1" applyBorder="1" applyAlignment="1" applyProtection="1">
      <alignment horizontal="center"/>
      <protection locked="0"/>
    </xf>
    <xf numFmtId="0" fontId="212" fillId="0" borderId="217" xfId="1" applyNumberFormat="1" applyFont="1" applyFill="1" applyBorder="1" applyAlignment="1" applyProtection="1">
      <alignment horizontal="center"/>
      <protection locked="0"/>
    </xf>
    <xf numFmtId="0" fontId="197" fillId="32" borderId="158" xfId="1" applyFont="1" applyFill="1" applyBorder="1" applyAlignment="1">
      <alignment horizontal="center" vertical="center" wrapText="1"/>
    </xf>
    <xf numFmtId="0" fontId="197" fillId="32" borderId="32" xfId="1" applyFont="1" applyFill="1" applyBorder="1" applyAlignment="1">
      <alignment horizontal="center" vertical="center" wrapText="1"/>
    </xf>
    <xf numFmtId="188" fontId="201" fillId="0" borderId="53" xfId="1" applyNumberFormat="1" applyFont="1" applyBorder="1" applyAlignment="1">
      <alignment horizontal="center" vertical="center" wrapText="1"/>
    </xf>
    <xf numFmtId="188" fontId="201" fillId="0" borderId="29" xfId="1" applyNumberFormat="1" applyFont="1" applyBorder="1" applyAlignment="1">
      <alignment horizontal="center" vertical="center" wrapText="1"/>
    </xf>
    <xf numFmtId="188" fontId="201" fillId="0" borderId="179" xfId="1" applyNumberFormat="1" applyFont="1" applyBorder="1" applyAlignment="1">
      <alignment horizontal="center" vertical="center" wrapText="1"/>
    </xf>
    <xf numFmtId="188" fontId="201" fillId="0" borderId="178" xfId="1" applyNumberFormat="1" applyFont="1" applyBorder="1" applyAlignment="1">
      <alignment horizontal="center" vertical="center" wrapText="1"/>
    </xf>
    <xf numFmtId="188" fontId="201" fillId="0" borderId="182" xfId="1" applyNumberFormat="1" applyFont="1" applyBorder="1" applyAlignment="1">
      <alignment horizontal="center" vertical="center"/>
    </xf>
    <xf numFmtId="188" fontId="201" fillId="0" borderId="102" xfId="1" applyNumberFormat="1" applyFont="1" applyBorder="1" applyAlignment="1">
      <alignment horizontal="center" vertical="center"/>
    </xf>
    <xf numFmtId="0" fontId="199" fillId="27" borderId="6" xfId="1" applyFont="1" applyFill="1" applyBorder="1" applyAlignment="1">
      <alignment horizontal="center" vertical="center" wrapText="1"/>
    </xf>
    <xf numFmtId="0" fontId="199" fillId="27" borderId="0" xfId="1" applyFont="1" applyFill="1" applyBorder="1" applyAlignment="1">
      <alignment horizontal="center" vertical="center" wrapText="1"/>
    </xf>
    <xf numFmtId="0" fontId="199" fillId="27" borderId="19" xfId="1" applyFont="1" applyFill="1" applyBorder="1" applyAlignment="1">
      <alignment horizontal="center" vertical="center" wrapText="1"/>
    </xf>
    <xf numFmtId="0" fontId="177" fillId="0" borderId="185" xfId="1" applyFont="1" applyBorder="1" applyAlignment="1">
      <alignment horizontal="center" vertical="center"/>
    </xf>
    <xf numFmtId="0" fontId="177" fillId="0" borderId="180" xfId="1" applyFont="1" applyBorder="1" applyAlignment="1">
      <alignment horizontal="center" vertical="center"/>
    </xf>
    <xf numFmtId="0" fontId="177" fillId="0" borderId="51" xfId="1" applyFont="1" applyBorder="1" applyAlignment="1">
      <alignment horizontal="center" vertical="center" wrapText="1"/>
    </xf>
    <xf numFmtId="0" fontId="177" fillId="0" borderId="127" xfId="1" applyFont="1" applyBorder="1" applyAlignment="1">
      <alignment horizontal="center" vertical="center" wrapText="1"/>
    </xf>
    <xf numFmtId="0" fontId="177" fillId="0" borderId="183" xfId="1" applyFont="1" applyBorder="1" applyAlignment="1">
      <alignment horizontal="center" vertical="center" wrapText="1"/>
    </xf>
    <xf numFmtId="0" fontId="201" fillId="0" borderId="184" xfId="1" applyFont="1" applyBorder="1" applyAlignment="1">
      <alignment horizontal="center" vertical="center" wrapText="1"/>
    </xf>
    <xf numFmtId="0" fontId="201" fillId="0" borderId="126" xfId="1" applyFont="1" applyBorder="1" applyAlignment="1">
      <alignment horizontal="center" vertical="center" wrapText="1"/>
    </xf>
    <xf numFmtId="0" fontId="267" fillId="50" borderId="358" xfId="0" applyFont="1" applyFill="1" applyBorder="1" applyAlignment="1">
      <alignment horizontal="center" vertical="center"/>
    </xf>
    <xf numFmtId="0" fontId="267" fillId="50" borderId="359" xfId="0" applyFont="1" applyFill="1" applyBorder="1" applyAlignment="1">
      <alignment horizontal="center" vertical="center"/>
    </xf>
    <xf numFmtId="176" fontId="35" fillId="47" borderId="22" xfId="0" applyNumberFormat="1" applyFont="1" applyFill="1" applyBorder="1" applyAlignment="1" applyProtection="1">
      <alignment horizontal="right" vertical="center" wrapText="1"/>
    </xf>
    <xf numFmtId="0" fontId="177" fillId="0" borderId="230" xfId="1" applyFont="1" applyBorder="1" applyAlignment="1">
      <alignment horizontal="center" vertical="center" wrapText="1"/>
    </xf>
    <xf numFmtId="0" fontId="177" fillId="0" borderId="234" xfId="1" applyFont="1" applyBorder="1" applyAlignment="1">
      <alignment horizontal="center" vertical="center" wrapText="1"/>
    </xf>
    <xf numFmtId="0" fontId="212" fillId="0" borderId="232" xfId="1" applyNumberFormat="1" applyFont="1" applyFill="1" applyBorder="1" applyAlignment="1" applyProtection="1">
      <alignment horizontal="center"/>
    </xf>
    <xf numFmtId="0" fontId="212" fillId="0" borderId="233" xfId="1" applyNumberFormat="1" applyFont="1" applyFill="1" applyBorder="1" applyAlignment="1" applyProtection="1">
      <alignment horizontal="center"/>
    </xf>
    <xf numFmtId="0" fontId="197" fillId="32" borderId="236" xfId="1" applyFont="1" applyFill="1" applyBorder="1" applyAlignment="1">
      <alignment horizontal="center" vertical="center" wrapText="1"/>
    </xf>
    <xf numFmtId="0" fontId="201" fillId="0" borderId="235" xfId="1" applyFont="1" applyBorder="1" applyAlignment="1">
      <alignment horizontal="center" vertical="center" wrapText="1"/>
    </xf>
    <xf numFmtId="0" fontId="201" fillId="0" borderId="231" xfId="1" applyFont="1" applyBorder="1" applyAlignment="1">
      <alignment horizontal="center" vertical="center" wrapText="1"/>
    </xf>
    <xf numFmtId="0" fontId="177" fillId="0" borderId="103" xfId="1" applyFont="1" applyBorder="1" applyAlignment="1">
      <alignment horizontal="center" vertical="center" wrapText="1"/>
    </xf>
    <xf numFmtId="0" fontId="177" fillId="0" borderId="181" xfId="1" applyFont="1" applyBorder="1" applyAlignment="1">
      <alignment horizontal="center" vertical="center" wrapText="1"/>
    </xf>
    <xf numFmtId="188" fontId="201" fillId="0" borderId="182" xfId="1" applyNumberFormat="1" applyFont="1" applyBorder="1" applyAlignment="1">
      <alignment horizontal="center" vertical="center" wrapText="1"/>
    </xf>
    <xf numFmtId="188" fontId="201" fillId="0" borderId="102" xfId="1" applyNumberFormat="1" applyFont="1" applyBorder="1" applyAlignment="1">
      <alignment horizontal="center" vertical="center" wrapText="1"/>
    </xf>
    <xf numFmtId="0" fontId="177" fillId="0" borderId="27" xfId="1" applyFont="1" applyBorder="1" applyAlignment="1">
      <alignment horizontal="center" vertical="center" wrapText="1"/>
    </xf>
    <xf numFmtId="0" fontId="177" fillId="0" borderId="49" xfId="1" applyFont="1" applyBorder="1" applyAlignment="1">
      <alignment horizontal="center" vertical="center" wrapText="1"/>
    </xf>
    <xf numFmtId="188" fontId="201" fillId="0" borderId="55" xfId="1" applyNumberFormat="1" applyFont="1" applyBorder="1" applyAlignment="1">
      <alignment horizontal="center" vertical="center"/>
    </xf>
    <xf numFmtId="188" fontId="201" fillId="0" borderId="21" xfId="1" applyNumberFormat="1" applyFont="1" applyBorder="1" applyAlignment="1">
      <alignment horizontal="center" vertical="center"/>
    </xf>
    <xf numFmtId="0" fontId="122" fillId="15" borderId="144" xfId="21" applyFont="1" applyFill="1" applyBorder="1" applyAlignment="1">
      <alignment horizontal="right" wrapText="1"/>
    </xf>
    <xf numFmtId="0" fontId="122" fillId="15" borderId="143" xfId="21" applyFont="1" applyFill="1" applyBorder="1" applyAlignment="1">
      <alignment horizontal="right" wrapText="1"/>
    </xf>
    <xf numFmtId="0" fontId="212" fillId="0" borderId="226" xfId="1" applyNumberFormat="1" applyFont="1" applyFill="1" applyBorder="1" applyAlignment="1" applyProtection="1">
      <alignment horizontal="center"/>
    </xf>
    <xf numFmtId="0" fontId="212" fillId="0" borderId="217" xfId="1" applyNumberFormat="1" applyFont="1" applyFill="1" applyBorder="1" applyAlignment="1" applyProtection="1">
      <alignment horizontal="center"/>
    </xf>
    <xf numFmtId="0" fontId="212" fillId="0" borderId="219" xfId="1" applyNumberFormat="1" applyFont="1" applyFill="1" applyBorder="1" applyAlignment="1" applyProtection="1">
      <alignment horizontal="center"/>
    </xf>
    <xf numFmtId="0" fontId="212" fillId="0" borderId="201" xfId="1" applyNumberFormat="1" applyFont="1" applyFill="1" applyBorder="1" applyAlignment="1" applyProtection="1">
      <alignment horizontal="center"/>
    </xf>
    <xf numFmtId="0" fontId="198" fillId="29" borderId="141" xfId="21" applyFont="1" applyFill="1" applyBorder="1" applyAlignment="1">
      <alignment horizontal="center" vertical="center" wrapText="1"/>
    </xf>
    <xf numFmtId="0" fontId="198" fillId="29" borderId="143" xfId="21" applyFont="1" applyFill="1" applyBorder="1" applyAlignment="1">
      <alignment horizontal="center" vertical="center" wrapText="1"/>
    </xf>
    <xf numFmtId="0" fontId="121" fillId="2" borderId="72" xfId="21" applyFont="1" applyFill="1" applyBorder="1" applyAlignment="1" applyProtection="1">
      <alignment horizontal="right" wrapText="1"/>
      <protection locked="0"/>
    </xf>
    <xf numFmtId="0" fontId="121" fillId="2" borderId="71" xfId="21" applyFont="1" applyFill="1" applyBorder="1" applyAlignment="1" applyProtection="1">
      <alignment horizontal="right" wrapText="1"/>
      <protection locked="0"/>
    </xf>
    <xf numFmtId="0" fontId="177" fillId="0" borderId="103" xfId="1" applyFont="1" applyBorder="1" applyAlignment="1">
      <alignment horizontal="center" vertical="center"/>
    </xf>
    <xf numFmtId="0" fontId="177" fillId="0" borderId="181" xfId="1" applyFont="1" applyBorder="1" applyAlignment="1">
      <alignment horizontal="center" vertical="center"/>
    </xf>
    <xf numFmtId="176" fontId="125" fillId="2" borderId="48" xfId="0" applyNumberFormat="1" applyFont="1" applyFill="1" applyBorder="1" applyAlignment="1" applyProtection="1">
      <alignment horizontal="left" vertical="top" wrapText="1"/>
      <protection locked="0"/>
    </xf>
    <xf numFmtId="176" fontId="125" fillId="2" borderId="16" xfId="0" applyNumberFormat="1" applyFont="1" applyFill="1" applyBorder="1" applyAlignment="1" applyProtection="1">
      <alignment horizontal="left" vertical="top" wrapText="1"/>
      <protection locked="0"/>
    </xf>
    <xf numFmtId="176" fontId="125" fillId="2" borderId="17" xfId="0" applyNumberFormat="1" applyFont="1" applyFill="1" applyBorder="1" applyAlignment="1" applyProtection="1">
      <alignment horizontal="left" vertical="top" wrapText="1"/>
      <protection locked="0"/>
    </xf>
    <xf numFmtId="0" fontId="9" fillId="0" borderId="18" xfId="1" applyFont="1" applyBorder="1" applyAlignment="1">
      <alignment horizontal="center"/>
    </xf>
    <xf numFmtId="0" fontId="9" fillId="0" borderId="0" xfId="1" applyFont="1" applyBorder="1" applyAlignment="1">
      <alignment horizontal="center"/>
    </xf>
    <xf numFmtId="0" fontId="35" fillId="30" borderId="42" xfId="0" applyFont="1" applyFill="1" applyBorder="1" applyAlignment="1">
      <alignment horizontal="center" vertical="center" wrapText="1"/>
    </xf>
    <xf numFmtId="176" fontId="33" fillId="2" borderId="12" xfId="0" applyNumberFormat="1" applyFont="1" applyFill="1" applyBorder="1" applyAlignment="1" applyProtection="1">
      <alignment horizontal="left" vertical="center" wrapText="1"/>
      <protection locked="0"/>
    </xf>
    <xf numFmtId="176" fontId="33" fillId="2" borderId="13" xfId="0" applyNumberFormat="1" applyFont="1" applyFill="1" applyBorder="1" applyAlignment="1" applyProtection="1">
      <alignment horizontal="left" vertical="center" wrapText="1"/>
      <protection locked="0"/>
    </xf>
    <xf numFmtId="176" fontId="33" fillId="2" borderId="14" xfId="0" applyNumberFormat="1" applyFont="1" applyFill="1" applyBorder="1" applyAlignment="1" applyProtection="1">
      <alignment horizontal="left" vertical="center" wrapText="1"/>
      <protection locked="0"/>
    </xf>
    <xf numFmtId="0" fontId="212" fillId="0" borderId="232" xfId="1" applyNumberFormat="1" applyFont="1" applyFill="1" applyBorder="1" applyAlignment="1" applyProtection="1">
      <alignment horizontal="center"/>
      <protection locked="0"/>
    </xf>
    <xf numFmtId="0" fontId="212" fillId="0" borderId="233" xfId="1" applyNumberFormat="1" applyFont="1" applyFill="1" applyBorder="1" applyAlignment="1" applyProtection="1">
      <alignment horizontal="center"/>
      <protection locked="0"/>
    </xf>
    <xf numFmtId="0" fontId="149" fillId="15" borderId="144" xfId="21" applyFont="1" applyFill="1" applyBorder="1" applyAlignment="1">
      <alignment horizontal="right" wrapText="1"/>
    </xf>
    <xf numFmtId="0" fontId="149" fillId="15" borderId="143" xfId="21" applyFont="1" applyFill="1" applyBorder="1" applyAlignment="1">
      <alignment horizontal="right" wrapText="1"/>
    </xf>
    <xf numFmtId="0" fontId="122" fillId="0" borderId="37" xfId="21" applyFont="1" applyBorder="1" applyAlignment="1">
      <alignment horizontal="right" wrapText="1"/>
    </xf>
    <xf numFmtId="0" fontId="122" fillId="0" borderId="40" xfId="21" applyFont="1" applyBorder="1" applyAlignment="1">
      <alignment horizontal="right" wrapText="1"/>
    </xf>
    <xf numFmtId="0" fontId="122" fillId="15" borderId="41" xfId="21" applyFont="1" applyFill="1" applyBorder="1" applyAlignment="1">
      <alignment horizontal="right" wrapText="1"/>
    </xf>
    <xf numFmtId="0" fontId="122" fillId="15" borderId="36" xfId="21" applyFont="1" applyFill="1" applyBorder="1" applyAlignment="1">
      <alignment horizontal="right" wrapText="1"/>
    </xf>
    <xf numFmtId="0" fontId="122" fillId="0" borderId="72" xfId="21" applyFont="1" applyFill="1" applyBorder="1" applyAlignment="1">
      <alignment horizontal="right" wrapText="1"/>
    </xf>
    <xf numFmtId="0" fontId="122" fillId="0" borderId="71" xfId="21" applyFont="1" applyFill="1" applyBorder="1" applyAlignment="1">
      <alignment horizontal="right" wrapText="1"/>
    </xf>
    <xf numFmtId="0" fontId="122" fillId="15" borderId="70" xfId="21" applyFont="1" applyFill="1" applyBorder="1" applyAlignment="1">
      <alignment horizontal="right" wrapText="1"/>
    </xf>
    <xf numFmtId="0" fontId="122" fillId="15" borderId="68" xfId="21" applyFont="1" applyFill="1" applyBorder="1" applyAlignment="1">
      <alignment horizontal="right" wrapText="1"/>
    </xf>
    <xf numFmtId="0" fontId="149" fillId="0" borderId="141" xfId="21" applyFont="1" applyBorder="1" applyAlignment="1">
      <alignment horizontal="right" wrapText="1"/>
    </xf>
    <xf numFmtId="0" fontId="149" fillId="0" borderId="142" xfId="21" applyFont="1" applyBorder="1" applyAlignment="1">
      <alignment horizontal="right" wrapText="1"/>
    </xf>
    <xf numFmtId="0" fontId="198" fillId="30" borderId="37" xfId="21" applyFont="1" applyFill="1" applyBorder="1" applyAlignment="1">
      <alignment horizontal="center" vertical="center" wrapText="1"/>
    </xf>
    <xf numFmtId="0" fontId="198" fillId="30" borderId="34" xfId="21" applyFont="1" applyFill="1" applyBorder="1" applyAlignment="1">
      <alignment horizontal="center" vertical="center" wrapText="1"/>
    </xf>
    <xf numFmtId="0" fontId="198" fillId="30" borderId="36" xfId="21" applyFont="1" applyFill="1" applyBorder="1" applyAlignment="1">
      <alignment horizontal="center" vertical="center" wrapText="1"/>
    </xf>
    <xf numFmtId="0" fontId="36" fillId="29" borderId="38" xfId="0" applyFont="1" applyFill="1" applyBorder="1" applyAlignment="1">
      <alignment horizontal="center" vertical="center" wrapText="1"/>
    </xf>
    <xf numFmtId="0" fontId="36" fillId="29" borderId="22" xfId="0" applyFont="1" applyFill="1" applyBorder="1" applyAlignment="1">
      <alignment horizontal="center" vertical="center" wrapText="1"/>
    </xf>
    <xf numFmtId="0" fontId="36" fillId="29" borderId="42" xfId="0" applyFont="1" applyFill="1" applyBorder="1" applyAlignment="1">
      <alignment horizontal="center" vertical="center" wrapText="1"/>
    </xf>
    <xf numFmtId="0" fontId="10" fillId="2" borderId="24" xfId="0" applyFont="1" applyFill="1" applyBorder="1" applyAlignment="1" applyProtection="1">
      <alignment horizontal="left" vertical="center" shrinkToFit="1"/>
      <protection locked="0"/>
    </xf>
    <xf numFmtId="0" fontId="10" fillId="2" borderId="22" xfId="0" applyFont="1" applyFill="1" applyBorder="1" applyAlignment="1" applyProtection="1">
      <alignment horizontal="left" vertical="center" shrinkToFit="1"/>
      <protection locked="0"/>
    </xf>
    <xf numFmtId="0" fontId="10" fillId="2" borderId="23" xfId="0" applyFont="1" applyFill="1" applyBorder="1" applyAlignment="1" applyProtection="1">
      <alignment horizontal="left" vertical="center" shrinkToFit="1"/>
      <protection locked="0"/>
    </xf>
    <xf numFmtId="14" fontId="340" fillId="0" borderId="16" xfId="0" applyNumberFormat="1" applyFont="1" applyBorder="1" applyAlignment="1">
      <alignment horizontal="center" vertical="center"/>
    </xf>
    <xf numFmtId="0" fontId="36" fillId="29" borderId="15" xfId="0" applyFont="1" applyFill="1" applyBorder="1" applyAlignment="1">
      <alignment horizontal="center" vertical="center" wrapText="1"/>
    </xf>
    <xf numFmtId="0" fontId="36" fillId="29" borderId="16" xfId="0" applyFont="1" applyFill="1" applyBorder="1" applyAlignment="1">
      <alignment horizontal="center" vertical="center" wrapText="1"/>
    </xf>
    <xf numFmtId="0" fontId="36" fillId="29" borderId="43" xfId="0" applyFont="1" applyFill="1" applyBorder="1" applyAlignment="1">
      <alignment horizontal="center" vertical="center" wrapText="1"/>
    </xf>
    <xf numFmtId="0" fontId="36" fillId="29" borderId="20" xfId="0" applyFont="1" applyFill="1" applyBorder="1" applyAlignment="1">
      <alignment horizontal="center" vertical="center" wrapText="1"/>
    </xf>
    <xf numFmtId="0" fontId="36" fillId="29" borderId="11" xfId="0" applyFont="1" applyFill="1" applyBorder="1" applyAlignment="1">
      <alignment horizontal="center" vertical="center" wrapText="1"/>
    </xf>
    <xf numFmtId="0" fontId="36" fillId="29" borderId="26" xfId="0" applyFont="1" applyFill="1" applyBorder="1" applyAlignment="1">
      <alignment horizontal="center" vertical="center" wrapText="1"/>
    </xf>
    <xf numFmtId="0" fontId="3" fillId="0" borderId="127" xfId="0" applyFont="1" applyFill="1" applyBorder="1" applyAlignment="1" applyProtection="1">
      <alignment horizontal="left" vertical="center" shrinkToFit="1"/>
      <protection locked="0"/>
    </xf>
    <xf numFmtId="0" fontId="3" fillId="0" borderId="125" xfId="0" applyFont="1" applyFill="1" applyBorder="1" applyAlignment="1" applyProtection="1">
      <alignment horizontal="left" vertical="center" shrinkToFit="1"/>
      <protection locked="0"/>
    </xf>
    <xf numFmtId="0" fontId="3" fillId="0" borderId="126" xfId="0" applyFont="1" applyFill="1" applyBorder="1" applyAlignment="1" applyProtection="1">
      <alignment horizontal="left" vertical="center" shrinkToFit="1"/>
      <protection locked="0"/>
    </xf>
    <xf numFmtId="0" fontId="10" fillId="2" borderId="22" xfId="0" applyFont="1" applyFill="1" applyBorder="1" applyAlignment="1" applyProtection="1">
      <alignment horizontal="center" vertical="center" wrapText="1"/>
      <protection locked="0"/>
    </xf>
    <xf numFmtId="0" fontId="10" fillId="0" borderId="127" xfId="0" applyFont="1" applyFill="1" applyBorder="1" applyAlignment="1" applyProtection="1">
      <alignment horizontal="left" vertical="center" shrinkToFit="1"/>
      <protection locked="0"/>
    </xf>
    <xf numFmtId="0" fontId="10" fillId="0" borderId="125" xfId="0" applyFont="1" applyFill="1" applyBorder="1" applyAlignment="1" applyProtection="1">
      <alignment horizontal="left" vertical="center" shrinkToFit="1"/>
      <protection locked="0"/>
    </xf>
    <xf numFmtId="0" fontId="10" fillId="0" borderId="126" xfId="0" applyFont="1" applyFill="1" applyBorder="1" applyAlignment="1" applyProtection="1">
      <alignment horizontal="left" vertical="center" shrinkToFit="1"/>
      <protection locked="0"/>
    </xf>
    <xf numFmtId="0" fontId="10" fillId="2" borderId="27" xfId="0" applyFont="1" applyFill="1" applyBorder="1" applyAlignment="1" applyProtection="1">
      <alignment horizontal="left" vertical="center" shrinkToFit="1"/>
      <protection locked="0"/>
    </xf>
    <xf numFmtId="0" fontId="10" fillId="2" borderId="11" xfId="0" applyFont="1" applyFill="1" applyBorder="1" applyAlignment="1" applyProtection="1">
      <alignment horizontal="left" vertical="center" shrinkToFit="1"/>
      <protection locked="0"/>
    </xf>
    <xf numFmtId="0" fontId="10" fillId="2" borderId="21" xfId="0" applyFont="1" applyFill="1" applyBorder="1" applyAlignment="1" applyProtection="1">
      <alignment horizontal="left" vertical="center" shrinkToFit="1"/>
      <protection locked="0"/>
    </xf>
    <xf numFmtId="0" fontId="10" fillId="2" borderId="128" xfId="0" applyFont="1" applyFill="1" applyBorder="1" applyAlignment="1" applyProtection="1">
      <alignment horizontal="left" vertical="center" shrinkToFit="1"/>
      <protection locked="0"/>
    </xf>
    <xf numFmtId="0" fontId="10" fillId="2" borderId="129" xfId="0" applyFont="1" applyFill="1" applyBorder="1" applyAlignment="1" applyProtection="1">
      <alignment horizontal="left" vertical="center" shrinkToFit="1"/>
      <protection locked="0"/>
    </xf>
    <xf numFmtId="0" fontId="10" fillId="2" borderId="130" xfId="0" applyFont="1" applyFill="1" applyBorder="1" applyAlignment="1" applyProtection="1">
      <alignment horizontal="left" vertical="center" shrinkToFit="1"/>
      <protection locked="0"/>
    </xf>
    <xf numFmtId="0" fontId="123" fillId="29" borderId="22" xfId="0" applyFont="1" applyFill="1" applyBorder="1" applyAlignment="1">
      <alignment horizontal="center" vertical="center" wrapText="1"/>
    </xf>
    <xf numFmtId="0" fontId="123" fillId="29" borderId="42" xfId="0" applyFont="1" applyFill="1" applyBorder="1" applyAlignment="1">
      <alignment horizontal="center" vertical="center" wrapText="1"/>
    </xf>
    <xf numFmtId="49" fontId="9" fillId="2" borderId="22" xfId="0" applyNumberFormat="1" applyFont="1" applyFill="1" applyBorder="1" applyAlignment="1" applyProtection="1">
      <alignment horizontal="center" vertical="center"/>
      <protection locked="0"/>
    </xf>
    <xf numFmtId="0" fontId="202" fillId="0" borderId="0" xfId="0" applyFont="1" applyBorder="1" applyAlignment="1">
      <alignment horizontal="left" wrapText="1"/>
    </xf>
    <xf numFmtId="0" fontId="202" fillId="0" borderId="22" xfId="0" applyFont="1" applyBorder="1" applyAlignment="1">
      <alignment horizontal="left" wrapText="1"/>
    </xf>
    <xf numFmtId="49" fontId="10" fillId="2" borderId="146" xfId="0" applyNumberFormat="1" applyFont="1" applyFill="1" applyBorder="1" applyAlignment="1" applyProtection="1">
      <alignment horizontal="center" vertical="center"/>
      <protection locked="0"/>
    </xf>
    <xf numFmtId="49" fontId="10" fillId="2" borderId="22" xfId="0" applyNumberFormat="1" applyFont="1" applyFill="1" applyBorder="1" applyAlignment="1" applyProtection="1">
      <alignment horizontal="center" vertical="center"/>
      <protection locked="0"/>
    </xf>
    <xf numFmtId="49" fontId="10" fillId="2" borderId="33" xfId="0" applyNumberFormat="1" applyFont="1" applyFill="1" applyBorder="1" applyAlignment="1" applyProtection="1">
      <alignment horizontal="center" vertical="center"/>
      <protection locked="0"/>
    </xf>
    <xf numFmtId="49" fontId="10" fillId="2" borderId="35" xfId="0" applyNumberFormat="1" applyFont="1" applyFill="1" applyBorder="1" applyAlignment="1" applyProtection="1">
      <alignment horizontal="center" vertical="center"/>
      <protection locked="0"/>
    </xf>
    <xf numFmtId="177" fontId="32" fillId="0" borderId="38" xfId="0" applyNumberFormat="1" applyFont="1" applyBorder="1" applyAlignment="1">
      <alignment horizontal="right" vertical="center" wrapText="1"/>
    </xf>
    <xf numFmtId="177" fontId="32" fillId="0" borderId="22" xfId="0" applyNumberFormat="1" applyFont="1" applyBorder="1" applyAlignment="1">
      <alignment horizontal="right" vertical="center" wrapText="1"/>
    </xf>
    <xf numFmtId="0" fontId="3" fillId="2" borderId="39" xfId="0" applyFont="1" applyFill="1" applyBorder="1" applyAlignment="1" applyProtection="1">
      <alignment horizontal="left" vertical="center" shrinkToFit="1"/>
      <protection locked="0"/>
    </xf>
    <xf numFmtId="0" fontId="3" fillId="2" borderId="33" xfId="0" applyFont="1" applyFill="1" applyBorder="1" applyAlignment="1" applyProtection="1">
      <alignment horizontal="left" vertical="center" shrinkToFit="1"/>
      <protection locked="0"/>
    </xf>
    <xf numFmtId="0" fontId="3" fillId="2" borderId="46" xfId="0" applyFont="1" applyFill="1" applyBorder="1" applyAlignment="1" applyProtection="1">
      <alignment horizontal="left" vertical="center" shrinkToFit="1"/>
      <protection locked="0"/>
    </xf>
    <xf numFmtId="176" fontId="33" fillId="0" borderId="34" xfId="0" applyNumberFormat="1" applyFont="1" applyBorder="1" applyAlignment="1">
      <alignment horizontal="right" vertical="center"/>
    </xf>
    <xf numFmtId="0" fontId="211" fillId="0" borderId="39" xfId="1" applyNumberFormat="1" applyFont="1" applyFill="1" applyBorder="1" applyAlignment="1" applyProtection="1">
      <alignment horizontal="center"/>
    </xf>
    <xf numFmtId="0" fontId="211" fillId="0" borderId="33" xfId="1" applyNumberFormat="1" applyFont="1" applyFill="1" applyBorder="1" applyAlignment="1" applyProtection="1">
      <alignment horizontal="center"/>
    </xf>
    <xf numFmtId="0" fontId="212" fillId="0" borderId="188" xfId="1" applyNumberFormat="1" applyFont="1" applyFill="1" applyBorder="1" applyAlignment="1" applyProtection="1">
      <alignment horizontal="center"/>
    </xf>
    <xf numFmtId="0" fontId="212" fillId="0" borderId="192" xfId="1" applyNumberFormat="1" applyFont="1" applyFill="1" applyBorder="1" applyAlignment="1" applyProtection="1">
      <alignment horizontal="center"/>
    </xf>
    <xf numFmtId="188" fontId="201" fillId="0" borderId="179" xfId="1" applyNumberFormat="1" applyFont="1" applyBorder="1" applyAlignment="1">
      <alignment horizontal="center" vertical="center"/>
    </xf>
    <xf numFmtId="188" fontId="201" fillId="0" borderId="178" xfId="1" applyNumberFormat="1" applyFont="1" applyBorder="1" applyAlignment="1">
      <alignment horizontal="center" vertical="center"/>
    </xf>
    <xf numFmtId="0" fontId="198" fillId="29" borderId="37" xfId="21" applyFont="1" applyFill="1" applyBorder="1" applyAlignment="1">
      <alignment horizontal="center" vertical="center" wrapText="1"/>
    </xf>
    <xf numFmtId="0" fontId="198" fillId="29" borderId="36" xfId="21" applyFont="1" applyFill="1" applyBorder="1" applyAlignment="1">
      <alignment horizontal="center" vertical="center" wrapText="1"/>
    </xf>
    <xf numFmtId="14" fontId="340" fillId="0" borderId="0" xfId="0" applyNumberFormat="1" applyFont="1" applyBorder="1" applyAlignment="1">
      <alignment horizontal="center" vertical="center"/>
    </xf>
    <xf numFmtId="0" fontId="244" fillId="0" borderId="0" xfId="0" applyFont="1" applyBorder="1" applyAlignment="1">
      <alignment horizontal="left" vertical="center"/>
    </xf>
    <xf numFmtId="49" fontId="10" fillId="2" borderId="42" xfId="0" applyNumberFormat="1" applyFont="1" applyFill="1" applyBorder="1" applyAlignment="1" applyProtection="1">
      <alignment horizontal="center" vertical="center"/>
      <protection locked="0"/>
    </xf>
    <xf numFmtId="0" fontId="123" fillId="14" borderId="11" xfId="0" applyFont="1" applyFill="1" applyBorder="1" applyAlignment="1">
      <alignment horizontal="center" vertical="center" wrapText="1"/>
    </xf>
    <xf numFmtId="0" fontId="123" fillId="14" borderId="83" xfId="0" applyFont="1" applyFill="1" applyBorder="1" applyAlignment="1">
      <alignment horizontal="center" vertical="center" wrapText="1"/>
    </xf>
    <xf numFmtId="49" fontId="10" fillId="2" borderId="11" xfId="0" applyNumberFormat="1" applyFont="1" applyFill="1" applyBorder="1" applyAlignment="1" applyProtection="1">
      <alignment horizontal="center" vertical="center"/>
      <protection locked="0"/>
    </xf>
    <xf numFmtId="14" fontId="340" fillId="0" borderId="0" xfId="0" applyNumberFormat="1" applyFont="1" applyAlignment="1">
      <alignment horizontal="center" vertical="center"/>
    </xf>
    <xf numFmtId="191" fontId="8" fillId="3" borderId="0" xfId="0" applyNumberFormat="1" applyFont="1" applyFill="1" applyBorder="1" applyAlignment="1">
      <alignment horizontal="center" vertical="center"/>
    </xf>
    <xf numFmtId="0" fontId="198" fillId="29" borderId="72" xfId="21" applyFont="1" applyFill="1" applyBorder="1" applyAlignment="1">
      <alignment horizontal="center" vertical="center" wrapText="1"/>
    </xf>
    <xf numFmtId="0" fontId="198" fillId="29" borderId="68" xfId="21" applyFont="1" applyFill="1" applyBorder="1" applyAlignment="1">
      <alignment horizontal="center" vertical="center" wrapText="1"/>
    </xf>
    <xf numFmtId="0" fontId="8" fillId="29" borderId="15" xfId="21" applyFont="1" applyFill="1" applyBorder="1" applyAlignment="1">
      <alignment horizontal="center" vertical="center" wrapText="1"/>
    </xf>
    <xf numFmtId="0" fontId="8" fillId="29" borderId="16" xfId="21" applyFont="1" applyFill="1" applyBorder="1" applyAlignment="1">
      <alignment horizontal="center" vertical="center" wrapText="1"/>
    </xf>
    <xf numFmtId="0" fontId="8" fillId="29" borderId="43" xfId="21" applyFont="1" applyFill="1" applyBorder="1" applyAlignment="1">
      <alignment horizontal="center" vertical="center" wrapText="1"/>
    </xf>
    <xf numFmtId="0" fontId="8" fillId="29" borderId="20" xfId="21" applyFont="1" applyFill="1" applyBorder="1" applyAlignment="1">
      <alignment horizontal="center" vertical="center" wrapText="1"/>
    </xf>
    <xf numFmtId="0" fontId="8" fillId="29" borderId="11" xfId="21" applyFont="1" applyFill="1" applyBorder="1" applyAlignment="1">
      <alignment horizontal="center" vertical="center" wrapText="1"/>
    </xf>
    <xf numFmtId="0" fontId="8" fillId="29" borderId="26" xfId="21" applyFont="1" applyFill="1" applyBorder="1" applyAlignment="1">
      <alignment horizontal="center" vertical="center" wrapText="1"/>
    </xf>
    <xf numFmtId="0" fontId="45" fillId="2" borderId="17" xfId="0" applyFont="1" applyFill="1" applyBorder="1" applyAlignment="1" applyProtection="1">
      <alignment horizontal="center" vertical="center"/>
      <protection locked="0"/>
    </xf>
    <xf numFmtId="0" fontId="45" fillId="2" borderId="21" xfId="0" applyFont="1" applyFill="1" applyBorder="1" applyAlignment="1" applyProtection="1">
      <alignment horizontal="center" vertical="center"/>
      <protection locked="0"/>
    </xf>
    <xf numFmtId="0" fontId="244" fillId="0" borderId="18" xfId="0" applyFont="1" applyBorder="1" applyAlignment="1">
      <alignment horizontal="left"/>
    </xf>
    <xf numFmtId="0" fontId="244" fillId="0" borderId="0" xfId="0" applyFont="1" applyBorder="1" applyAlignment="1">
      <alignment horizontal="left"/>
    </xf>
    <xf numFmtId="0" fontId="45" fillId="0" borderId="24" xfId="0" applyFont="1" applyFill="1" applyBorder="1" applyAlignment="1" applyProtection="1">
      <alignment horizontal="center" vertical="center"/>
    </xf>
    <xf numFmtId="0" fontId="45" fillId="0" borderId="22" xfId="0" applyFont="1" applyFill="1" applyBorder="1" applyAlignment="1" applyProtection="1">
      <alignment horizontal="center" vertical="center"/>
    </xf>
    <xf numFmtId="0" fontId="45" fillId="0" borderId="23" xfId="0" applyFont="1" applyFill="1" applyBorder="1" applyAlignment="1" applyProtection="1">
      <alignment horizontal="center" vertical="center"/>
    </xf>
    <xf numFmtId="0" fontId="31" fillId="0" borderId="0" xfId="0" applyFont="1" applyFill="1" applyBorder="1" applyAlignment="1">
      <alignment horizontal="left" vertical="center" wrapText="1"/>
    </xf>
    <xf numFmtId="0" fontId="244" fillId="0" borderId="18" xfId="0" applyFont="1" applyBorder="1" applyAlignment="1">
      <alignment horizontal="left" wrapText="1"/>
    </xf>
    <xf numFmtId="0" fontId="244" fillId="0" borderId="0" xfId="0" applyFont="1" applyBorder="1" applyAlignment="1">
      <alignment horizontal="left" wrapText="1"/>
    </xf>
    <xf numFmtId="0" fontId="38" fillId="29" borderId="15" xfId="21" applyFont="1" applyFill="1" applyBorder="1" applyAlignment="1">
      <alignment horizontal="center" vertical="center" wrapText="1"/>
    </xf>
    <xf numFmtId="0" fontId="38" fillId="29" borderId="16" xfId="21" applyFont="1" applyFill="1" applyBorder="1" applyAlignment="1">
      <alignment horizontal="center" vertical="center" wrapText="1"/>
    </xf>
    <xf numFmtId="0" fontId="38" fillId="29" borderId="43" xfId="21" applyFont="1" applyFill="1" applyBorder="1" applyAlignment="1">
      <alignment horizontal="center" vertical="center" wrapText="1"/>
    </xf>
    <xf numFmtId="0" fontId="38" fillId="29" borderId="20" xfId="21" applyFont="1" applyFill="1" applyBorder="1" applyAlignment="1">
      <alignment horizontal="center" vertical="center" wrapText="1"/>
    </xf>
    <xf numFmtId="0" fontId="38" fillId="29" borderId="11" xfId="21" applyFont="1" applyFill="1" applyBorder="1" applyAlignment="1">
      <alignment horizontal="center" vertical="center" wrapText="1"/>
    </xf>
    <xf numFmtId="0" fontId="38" fillId="29" borderId="26" xfId="21" applyFont="1" applyFill="1" applyBorder="1" applyAlignment="1">
      <alignment horizontal="center" vertical="center" wrapText="1"/>
    </xf>
    <xf numFmtId="0" fontId="177" fillId="0" borderId="186" xfId="1" applyFont="1" applyBorder="1" applyAlignment="1">
      <alignment horizontal="center" vertical="center" wrapText="1"/>
    </xf>
    <xf numFmtId="188" fontId="201" fillId="0" borderId="185" xfId="1" applyNumberFormat="1" applyFont="1" applyBorder="1" applyAlignment="1">
      <alignment horizontal="center" vertical="center"/>
    </xf>
    <xf numFmtId="0" fontId="177" fillId="0" borderId="185" xfId="1" applyFont="1" applyBorder="1" applyAlignment="1">
      <alignment horizontal="center" vertical="center" wrapText="1"/>
    </xf>
    <xf numFmtId="0" fontId="177" fillId="0" borderId="180" xfId="1" applyFont="1" applyBorder="1" applyAlignment="1">
      <alignment horizontal="center" vertical="center" wrapText="1"/>
    </xf>
    <xf numFmtId="0" fontId="212" fillId="0" borderId="221" xfId="1" applyNumberFormat="1" applyFont="1" applyFill="1" applyBorder="1" applyAlignment="1" applyProtection="1">
      <alignment horizontal="center"/>
    </xf>
    <xf numFmtId="0" fontId="212" fillId="0" borderId="228" xfId="1" applyNumberFormat="1" applyFont="1" applyFill="1" applyBorder="1" applyAlignment="1" applyProtection="1">
      <alignment horizontal="center"/>
    </xf>
    <xf numFmtId="188" fontId="201" fillId="0" borderId="185" xfId="1" applyNumberFormat="1" applyFont="1" applyBorder="1" applyAlignment="1">
      <alignment horizontal="center" vertical="center" wrapText="1"/>
    </xf>
    <xf numFmtId="0" fontId="177" fillId="0" borderId="187" xfId="1" applyFont="1" applyBorder="1" applyAlignment="1">
      <alignment horizontal="center" vertical="center"/>
    </xf>
    <xf numFmtId="188" fontId="201" fillId="0" borderId="8" xfId="1" applyNumberFormat="1" applyFont="1" applyBorder="1" applyAlignment="1">
      <alignment horizontal="center" vertical="center" wrapText="1"/>
    </xf>
    <xf numFmtId="0" fontId="38" fillId="47" borderId="16" xfId="0" applyFont="1" applyFill="1" applyBorder="1" applyAlignment="1" applyProtection="1">
      <alignment horizontal="left" vertical="center" wrapText="1"/>
    </xf>
    <xf numFmtId="0" fontId="38" fillId="47" borderId="17" xfId="0" applyFont="1" applyFill="1" applyBorder="1" applyAlignment="1" applyProtection="1">
      <alignment horizontal="left" vertical="center" wrapText="1"/>
    </xf>
    <xf numFmtId="182" fontId="168" fillId="35" borderId="0" xfId="0" applyNumberFormat="1" applyFont="1" applyFill="1" applyBorder="1" applyAlignment="1">
      <alignment horizontal="center" vertical="center"/>
    </xf>
    <xf numFmtId="0" fontId="197" fillId="32" borderId="15" xfId="1" applyFont="1" applyFill="1" applyBorder="1" applyAlignment="1">
      <alignment horizontal="center" vertical="center" wrapText="1"/>
    </xf>
    <xf numFmtId="0" fontId="197" fillId="32" borderId="18" xfId="1" applyFont="1" applyFill="1" applyBorder="1" applyAlignment="1">
      <alignment horizontal="center" vertical="center" wrapText="1"/>
    </xf>
    <xf numFmtId="0" fontId="197" fillId="32" borderId="20" xfId="1" applyFont="1" applyFill="1" applyBorder="1" applyAlignment="1">
      <alignment horizontal="center" vertical="center" wrapText="1"/>
    </xf>
    <xf numFmtId="0" fontId="199" fillId="27" borderId="45" xfId="1" applyFont="1" applyFill="1" applyBorder="1" applyAlignment="1">
      <alignment horizontal="center" vertical="center" wrapText="1"/>
    </xf>
    <xf numFmtId="0" fontId="199" fillId="27" borderId="33" xfId="1" applyFont="1" applyFill="1" applyBorder="1" applyAlignment="1">
      <alignment horizontal="center" vertical="center" wrapText="1"/>
    </xf>
    <xf numFmtId="0" fontId="199" fillId="27" borderId="35" xfId="1" applyFont="1" applyFill="1" applyBorder="1" applyAlignment="1">
      <alignment horizontal="center" vertical="center" wrapText="1"/>
    </xf>
    <xf numFmtId="0" fontId="201" fillId="0" borderId="127" xfId="1" applyFont="1" applyBorder="1" applyAlignment="1">
      <alignment horizontal="center" vertical="center" wrapText="1"/>
    </xf>
    <xf numFmtId="0" fontId="212" fillId="0" borderId="220" xfId="1" applyNumberFormat="1" applyFont="1" applyFill="1" applyBorder="1" applyAlignment="1" applyProtection="1">
      <alignment horizontal="center"/>
    </xf>
    <xf numFmtId="0" fontId="212" fillId="0" borderId="229" xfId="1" applyNumberFormat="1" applyFont="1" applyFill="1" applyBorder="1" applyAlignment="1" applyProtection="1">
      <alignment horizontal="center"/>
    </xf>
    <xf numFmtId="0" fontId="202" fillId="0" borderId="11" xfId="0" applyFont="1" applyBorder="1" applyAlignment="1">
      <alignment horizontal="left" wrapText="1"/>
    </xf>
    <xf numFmtId="0" fontId="38" fillId="2" borderId="22" xfId="0" applyFont="1" applyFill="1" applyBorder="1" applyAlignment="1" applyProtection="1">
      <alignment horizontal="center" vertical="center" shrinkToFit="1"/>
      <protection locked="0"/>
    </xf>
    <xf numFmtId="0" fontId="38" fillId="2" borderId="23" xfId="0" applyFont="1" applyFill="1" applyBorder="1" applyAlignment="1" applyProtection="1">
      <alignment horizontal="center" vertical="center" shrinkToFit="1"/>
      <protection locked="0"/>
    </xf>
    <xf numFmtId="0" fontId="274" fillId="0" borderId="0" xfId="0" applyFont="1" applyBorder="1" applyAlignment="1">
      <alignment horizontal="left" vertical="center"/>
    </xf>
    <xf numFmtId="0" fontId="274" fillId="0" borderId="0" xfId="0" applyFont="1" applyAlignment="1">
      <alignment horizontal="left" vertical="center"/>
    </xf>
    <xf numFmtId="0" fontId="42" fillId="0" borderId="0" xfId="0" applyFont="1" applyBorder="1" applyAlignment="1">
      <alignment horizontal="left" vertical="center"/>
    </xf>
    <xf numFmtId="0" fontId="33" fillId="2" borderId="46" xfId="0" applyFont="1" applyFill="1" applyBorder="1" applyAlignment="1" applyProtection="1">
      <alignment horizontal="center" vertical="center"/>
      <protection locked="0"/>
    </xf>
    <xf numFmtId="0" fontId="177" fillId="0" borderId="187" xfId="1" applyFont="1" applyBorder="1" applyAlignment="1">
      <alignment horizontal="center" vertical="center" wrapText="1"/>
    </xf>
    <xf numFmtId="0" fontId="188" fillId="52" borderId="0" xfId="0" applyFont="1" applyFill="1" applyBorder="1" applyAlignment="1">
      <alignment horizontal="center" vertical="center" wrapText="1"/>
    </xf>
    <xf numFmtId="0" fontId="236" fillId="11" borderId="354" xfId="0" applyFont="1" applyFill="1" applyBorder="1" applyAlignment="1">
      <alignment horizontal="center" vertical="center" wrapText="1"/>
    </xf>
    <xf numFmtId="0" fontId="236" fillId="11" borderId="356" xfId="0" applyFont="1" applyFill="1" applyBorder="1" applyAlignment="1">
      <alignment horizontal="center" vertical="center" wrapText="1"/>
    </xf>
    <xf numFmtId="0" fontId="236" fillId="11" borderId="355" xfId="0" applyFont="1" applyFill="1" applyBorder="1" applyAlignment="1">
      <alignment horizontal="center" vertical="center" wrapText="1"/>
    </xf>
    <xf numFmtId="0" fontId="36" fillId="29" borderId="15" xfId="0" applyFont="1" applyFill="1" applyBorder="1" applyAlignment="1">
      <alignment horizontal="center" vertical="center"/>
    </xf>
    <xf numFmtId="0" fontId="36" fillId="29" borderId="16" xfId="0" applyFont="1" applyFill="1" applyBorder="1" applyAlignment="1">
      <alignment horizontal="center" vertical="center"/>
    </xf>
    <xf numFmtId="0" fontId="36" fillId="29" borderId="43" xfId="0" applyFont="1" applyFill="1" applyBorder="1" applyAlignment="1">
      <alignment horizontal="center" vertical="center"/>
    </xf>
    <xf numFmtId="0" fontId="190" fillId="0" borderId="16" xfId="0" applyFont="1" applyFill="1" applyBorder="1" applyAlignment="1" applyProtection="1">
      <alignment horizontal="center" vertical="center"/>
    </xf>
    <xf numFmtId="0" fontId="190" fillId="0" borderId="11" xfId="0" applyFont="1" applyFill="1" applyBorder="1" applyAlignment="1" applyProtection="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21" xfId="0" applyFont="1" applyFill="1" applyBorder="1" applyAlignment="1">
      <alignment horizontal="left" vertical="center"/>
    </xf>
    <xf numFmtId="0" fontId="190" fillId="0" borderId="16" xfId="0" applyFont="1" applyFill="1" applyBorder="1" applyAlignment="1" applyProtection="1">
      <alignment horizontal="center" vertical="center" shrinkToFit="1"/>
    </xf>
    <xf numFmtId="0" fontId="190" fillId="0" borderId="11" xfId="0" applyFont="1" applyFill="1" applyBorder="1" applyAlignment="1" applyProtection="1">
      <alignment horizontal="center" vertical="center" shrinkToFit="1"/>
    </xf>
    <xf numFmtId="0" fontId="8" fillId="0" borderId="16" xfId="0" applyFont="1" applyFill="1" applyBorder="1" applyAlignment="1">
      <alignment horizontal="right" vertical="center"/>
    </xf>
    <xf numFmtId="0" fontId="8" fillId="0" borderId="11" xfId="0" applyFont="1" applyFill="1" applyBorder="1" applyAlignment="1">
      <alignment horizontal="right" vertical="center"/>
    </xf>
    <xf numFmtId="0" fontId="266" fillId="51" borderId="373" xfId="0" applyFont="1" applyFill="1" applyBorder="1" applyAlignment="1">
      <alignment horizontal="center" vertical="center" wrapText="1"/>
    </xf>
    <xf numFmtId="0" fontId="266" fillId="51" borderId="357" xfId="0" applyFont="1" applyFill="1" applyBorder="1" applyAlignment="1">
      <alignment horizontal="center" vertical="center" wrapText="1"/>
    </xf>
    <xf numFmtId="0" fontId="266" fillId="51" borderId="353" xfId="0" applyFont="1" applyFill="1" applyBorder="1" applyAlignment="1">
      <alignment horizontal="center" vertical="center" wrapText="1"/>
    </xf>
    <xf numFmtId="0" fontId="266" fillId="51" borderId="374" xfId="0" applyFont="1" applyFill="1" applyBorder="1" applyAlignment="1">
      <alignment horizontal="center" vertical="center" wrapText="1"/>
    </xf>
    <xf numFmtId="0" fontId="266" fillId="51" borderId="355" xfId="0" applyFont="1" applyFill="1" applyBorder="1" applyAlignment="1">
      <alignment horizontal="center" vertical="center" wrapText="1"/>
    </xf>
    <xf numFmtId="0" fontId="266" fillId="51" borderId="356" xfId="0" applyFont="1" applyFill="1" applyBorder="1" applyAlignment="1">
      <alignment horizontal="center" vertical="center" wrapText="1"/>
    </xf>
    <xf numFmtId="0" fontId="329" fillId="57" borderId="451" xfId="0" applyFont="1" applyFill="1" applyBorder="1" applyAlignment="1">
      <alignment horizontal="center" vertical="center" wrapText="1"/>
    </xf>
    <xf numFmtId="188" fontId="330" fillId="0" borderId="421" xfId="1" applyNumberFormat="1" applyFont="1" applyBorder="1" applyAlignment="1">
      <alignment horizontal="center" vertical="center" wrapText="1"/>
    </xf>
    <xf numFmtId="188" fontId="330" fillId="0" borderId="422" xfId="1" applyNumberFormat="1" applyFont="1" applyBorder="1" applyAlignment="1">
      <alignment horizontal="center" vertical="center" wrapText="1"/>
    </xf>
    <xf numFmtId="188" fontId="330" fillId="0" borderId="423" xfId="1" applyNumberFormat="1" applyFont="1" applyBorder="1" applyAlignment="1">
      <alignment horizontal="center" vertical="center" wrapText="1"/>
    </xf>
    <xf numFmtId="0" fontId="33" fillId="2" borderId="36" xfId="0" applyFont="1" applyFill="1" applyBorder="1" applyAlignment="1" applyProtection="1">
      <alignment horizontal="center" vertical="center"/>
      <protection locked="0"/>
    </xf>
    <xf numFmtId="176" fontId="304" fillId="0" borderId="259" xfId="0" applyNumberFormat="1" applyFont="1" applyBorder="1" applyAlignment="1">
      <alignment horizontal="right" shrinkToFit="1"/>
    </xf>
    <xf numFmtId="176" fontId="304" fillId="0" borderId="201" xfId="0" applyNumberFormat="1" applyFont="1" applyBorder="1" applyAlignment="1">
      <alignment horizontal="right" shrinkToFit="1"/>
    </xf>
    <xf numFmtId="176" fontId="304" fillId="0" borderId="260" xfId="0" applyNumberFormat="1" applyFont="1" applyBorder="1" applyAlignment="1">
      <alignment horizontal="right" shrinkToFit="1"/>
    </xf>
    <xf numFmtId="176" fontId="304" fillId="0" borderId="178" xfId="0" applyNumberFormat="1" applyFont="1" applyBorder="1" applyAlignment="1">
      <alignment horizontal="right" shrinkToFit="1"/>
    </xf>
    <xf numFmtId="176" fontId="304" fillId="0" borderId="221" xfId="0" applyNumberFormat="1" applyFont="1" applyBorder="1" applyAlignment="1">
      <alignment horizontal="center" vertical="center"/>
    </xf>
    <xf numFmtId="176" fontId="304" fillId="0" borderId="405" xfId="0" applyNumberFormat="1" applyFont="1" applyBorder="1" applyAlignment="1">
      <alignment horizontal="center" vertical="center"/>
    </xf>
    <xf numFmtId="176" fontId="304" fillId="0" borderId="238" xfId="0" applyNumberFormat="1" applyFont="1" applyFill="1" applyBorder="1" applyAlignment="1">
      <alignment horizontal="right" shrinkToFit="1"/>
    </xf>
    <xf numFmtId="176" fontId="304" fillId="0" borderId="130" xfId="0" applyNumberFormat="1" applyFont="1" applyFill="1" applyBorder="1" applyAlignment="1">
      <alignment horizontal="right" shrinkToFit="1"/>
    </xf>
    <xf numFmtId="176" fontId="304" fillId="7" borderId="221" xfId="0" applyNumberFormat="1" applyFont="1" applyFill="1" applyBorder="1" applyAlignment="1">
      <alignment horizontal="right" shrinkToFit="1"/>
    </xf>
    <xf numFmtId="176" fontId="304" fillId="7" borderId="386" xfId="0" applyNumberFormat="1" applyFont="1" applyFill="1" applyBorder="1" applyAlignment="1">
      <alignment horizontal="right" shrinkToFit="1"/>
    </xf>
    <xf numFmtId="176" fontId="304" fillId="0" borderId="387" xfId="0" applyNumberFormat="1" applyFont="1" applyBorder="1" applyAlignment="1">
      <alignment horizontal="right" shrinkToFit="1"/>
    </xf>
    <xf numFmtId="176" fontId="304" fillId="0" borderId="228" xfId="0" applyNumberFormat="1" applyFont="1" applyBorder="1" applyAlignment="1">
      <alignment horizontal="right" shrinkToFit="1"/>
    </xf>
    <xf numFmtId="176" fontId="304" fillId="0" borderId="37" xfId="0" applyNumberFormat="1" applyFont="1" applyBorder="1" applyAlignment="1">
      <alignment horizontal="center"/>
    </xf>
    <xf numFmtId="176" fontId="304" fillId="0" borderId="40" xfId="0" applyNumberFormat="1" applyFont="1" applyBorder="1" applyAlignment="1">
      <alignment horizontal="center"/>
    </xf>
    <xf numFmtId="176" fontId="304" fillId="7" borderId="219" xfId="0" applyNumberFormat="1" applyFont="1" applyFill="1" applyBorder="1" applyAlignment="1">
      <alignment horizontal="right" shrinkToFit="1"/>
    </xf>
    <xf numFmtId="176" fontId="304" fillId="7" borderId="216" xfId="0" applyNumberFormat="1" applyFont="1" applyFill="1" applyBorder="1" applyAlignment="1">
      <alignment horizontal="right" shrinkToFit="1"/>
    </xf>
    <xf numFmtId="176" fontId="304" fillId="0" borderId="219" xfId="0" applyNumberFormat="1" applyFont="1" applyBorder="1" applyAlignment="1">
      <alignment horizontal="center" vertical="center"/>
    </xf>
    <xf numFmtId="176" fontId="304" fillId="0" borderId="187" xfId="0" applyNumberFormat="1" applyFont="1" applyBorder="1" applyAlignment="1">
      <alignment horizontal="center" vertical="center"/>
    </xf>
    <xf numFmtId="176" fontId="304" fillId="0" borderId="382" xfId="0" applyNumberFormat="1" applyFont="1" applyBorder="1" applyAlignment="1">
      <alignment horizontal="right" shrinkToFit="1"/>
    </xf>
    <xf numFmtId="176" fontId="304" fillId="0" borderId="217" xfId="0" applyNumberFormat="1" applyFont="1" applyBorder="1" applyAlignment="1">
      <alignment horizontal="right" shrinkToFit="1"/>
    </xf>
    <xf numFmtId="176" fontId="304" fillId="0" borderId="0" xfId="0" applyNumberFormat="1" applyFont="1" applyFill="1" applyBorder="1" applyAlignment="1">
      <alignment horizontal="center" vertical="center"/>
    </xf>
    <xf numFmtId="176" fontId="304" fillId="0" borderId="112" xfId="0" applyNumberFormat="1" applyFont="1" applyBorder="1" applyAlignment="1">
      <alignment horizontal="center" vertical="center" shrinkToFit="1"/>
    </xf>
    <xf numFmtId="176" fontId="304" fillId="0" borderId="159" xfId="0" applyNumberFormat="1" applyFont="1" applyBorder="1" applyAlignment="1">
      <alignment horizontal="center" vertical="center" shrinkToFit="1"/>
    </xf>
    <xf numFmtId="176" fontId="304" fillId="7" borderId="385" xfId="0" applyNumberFormat="1" applyFont="1" applyFill="1" applyBorder="1" applyAlignment="1">
      <alignment horizontal="right" shrinkToFit="1"/>
    </xf>
    <xf numFmtId="176" fontId="304" fillId="7" borderId="380" xfId="0" applyNumberFormat="1" applyFont="1" applyFill="1" applyBorder="1" applyAlignment="1">
      <alignment horizontal="right" shrinkToFit="1"/>
    </xf>
    <xf numFmtId="176" fontId="304" fillId="0" borderId="214" xfId="0" applyNumberFormat="1" applyFont="1" applyBorder="1" applyAlignment="1">
      <alignment horizontal="right" shrinkToFit="1"/>
    </xf>
    <xf numFmtId="176" fontId="304" fillId="0" borderId="215" xfId="0" applyNumberFormat="1" applyFont="1" applyBorder="1" applyAlignment="1">
      <alignment horizontal="right" shrinkToFit="1"/>
    </xf>
    <xf numFmtId="176" fontId="304" fillId="0" borderId="104" xfId="0" applyNumberFormat="1" applyFont="1" applyBorder="1" applyAlignment="1">
      <alignment horizontal="right" shrinkToFit="1"/>
    </xf>
    <xf numFmtId="176" fontId="304" fillId="0" borderId="105" xfId="0" applyNumberFormat="1" applyFont="1" applyBorder="1" applyAlignment="1">
      <alignment horizontal="right" shrinkToFit="1"/>
    </xf>
    <xf numFmtId="176" fontId="304" fillId="0" borderId="219" xfId="0" applyNumberFormat="1" applyFont="1" applyFill="1" applyBorder="1" applyAlignment="1">
      <alignment horizontal="center"/>
    </xf>
    <xf numFmtId="176" fontId="304" fillId="0" borderId="187" xfId="0" applyNumberFormat="1" applyFont="1" applyFill="1" applyBorder="1" applyAlignment="1">
      <alignment horizontal="center"/>
    </xf>
    <xf numFmtId="41" fontId="304" fillId="0" borderId="219" xfId="0" applyNumberFormat="1" applyFont="1" applyFill="1" applyBorder="1" applyAlignment="1">
      <alignment vertical="center"/>
    </xf>
    <xf numFmtId="41" fontId="304" fillId="0" borderId="201" xfId="0" applyNumberFormat="1" applyFont="1" applyFill="1" applyBorder="1" applyAlignment="1">
      <alignment vertical="center"/>
    </xf>
    <xf numFmtId="41" fontId="304" fillId="0" borderId="185" xfId="0" applyNumberFormat="1" applyFont="1" applyFill="1" applyBorder="1" applyAlignment="1">
      <alignment vertical="center"/>
    </xf>
    <xf numFmtId="41" fontId="304" fillId="0" borderId="178" xfId="0" applyNumberFormat="1" applyFont="1" applyFill="1" applyBorder="1" applyAlignment="1">
      <alignment vertical="center"/>
    </xf>
    <xf numFmtId="41" fontId="304" fillId="0" borderId="177" xfId="0" applyNumberFormat="1" applyFont="1" applyFill="1" applyBorder="1" applyAlignment="1">
      <alignment vertical="center"/>
    </xf>
    <xf numFmtId="176" fontId="304" fillId="0" borderId="37" xfId="0" applyNumberFormat="1" applyFont="1" applyFill="1" applyBorder="1" applyAlignment="1">
      <alignment horizontal="center"/>
    </xf>
    <xf numFmtId="176" fontId="304" fillId="0" borderId="40" xfId="0" applyNumberFormat="1" applyFont="1" applyFill="1" applyBorder="1" applyAlignment="1">
      <alignment horizontal="center"/>
    </xf>
    <xf numFmtId="176" fontId="304" fillId="0" borderId="385" xfId="0" applyNumberFormat="1" applyFont="1" applyFill="1" applyBorder="1" applyAlignment="1">
      <alignment horizontal="center"/>
    </xf>
    <xf numFmtId="176" fontId="304" fillId="0" borderId="199" xfId="0" applyNumberFormat="1" applyFont="1" applyFill="1" applyBorder="1" applyAlignment="1">
      <alignment horizontal="center"/>
    </xf>
    <xf numFmtId="41" fontId="304" fillId="0" borderId="385" xfId="0" applyNumberFormat="1" applyFont="1" applyFill="1" applyBorder="1" applyAlignment="1">
      <alignment vertical="center"/>
    </xf>
    <xf numFmtId="41" fontId="304" fillId="0" borderId="215" xfId="0" applyNumberFormat="1" applyFont="1" applyFill="1" applyBorder="1" applyAlignment="1">
      <alignment vertical="center"/>
    </xf>
    <xf numFmtId="176" fontId="306" fillId="7" borderId="37" xfId="0" applyNumberFormat="1" applyFont="1" applyFill="1" applyBorder="1" applyAlignment="1">
      <alignment horizontal="center" shrinkToFit="1"/>
    </xf>
    <xf numFmtId="176" fontId="306" fillId="7" borderId="383" xfId="0" applyNumberFormat="1" applyFont="1" applyFill="1" applyBorder="1" applyAlignment="1">
      <alignment horizontal="center" shrinkToFit="1"/>
    </xf>
    <xf numFmtId="176" fontId="304" fillId="7" borderId="47" xfId="0" applyNumberFormat="1" applyFont="1" applyFill="1" applyBorder="1" applyAlignment="1">
      <alignment horizontal="right" shrinkToFit="1"/>
    </xf>
    <xf numFmtId="176" fontId="304" fillId="7" borderId="212" xfId="0" applyNumberFormat="1" applyFont="1" applyFill="1" applyBorder="1" applyAlignment="1">
      <alignment horizontal="right" shrinkToFit="1"/>
    </xf>
    <xf numFmtId="176" fontId="304" fillId="7" borderId="18" xfId="0" applyNumberFormat="1" applyFont="1" applyFill="1" applyBorder="1" applyAlignment="1">
      <alignment horizontal="right" shrinkToFit="1"/>
    </xf>
    <xf numFmtId="176" fontId="304" fillId="7" borderId="132" xfId="0" applyNumberFormat="1" applyFont="1" applyFill="1" applyBorder="1" applyAlignment="1">
      <alignment horizontal="right" shrinkToFit="1"/>
    </xf>
    <xf numFmtId="176" fontId="309" fillId="7" borderId="37" xfId="0" applyNumberFormat="1" applyFont="1" applyFill="1" applyBorder="1" applyAlignment="1">
      <alignment horizontal="center" shrinkToFit="1"/>
    </xf>
    <xf numFmtId="176" fontId="309" fillId="7" borderId="383" xfId="0" applyNumberFormat="1" applyFont="1" applyFill="1" applyBorder="1" applyAlignment="1">
      <alignment horizontal="center" shrinkToFit="1"/>
    </xf>
    <xf numFmtId="176" fontId="304" fillId="0" borderId="384" xfId="0" applyNumberFormat="1" applyFont="1" applyBorder="1" applyAlignment="1">
      <alignment horizontal="center" shrinkToFit="1"/>
    </xf>
    <xf numFmtId="176" fontId="304" fillId="0" borderId="34" xfId="0" applyNumberFormat="1" applyFont="1" applyBorder="1" applyAlignment="1">
      <alignment horizontal="center" shrinkToFit="1"/>
    </xf>
    <xf numFmtId="176" fontId="304" fillId="0" borderId="36" xfId="0" applyNumberFormat="1" applyFont="1" applyBorder="1" applyAlignment="1">
      <alignment horizontal="center" shrinkToFit="1"/>
    </xf>
    <xf numFmtId="176" fontId="304" fillId="0" borderId="0" xfId="0" applyNumberFormat="1" applyFont="1" applyBorder="1" applyAlignment="1">
      <alignment horizontal="center" vertical="center"/>
    </xf>
    <xf numFmtId="176" fontId="304" fillId="0" borderId="160" xfId="0" applyNumberFormat="1" applyFont="1" applyBorder="1" applyAlignment="1">
      <alignment horizontal="center" vertical="center" shrinkToFit="1"/>
    </xf>
    <xf numFmtId="176" fontId="304" fillId="0" borderId="44" xfId="0" applyNumberFormat="1" applyFont="1" applyBorder="1" applyAlignment="1">
      <alignment horizontal="center" vertical="center" shrinkToFit="1"/>
    </xf>
    <xf numFmtId="176" fontId="304" fillId="0" borderId="385" xfId="0" applyNumberFormat="1" applyFont="1" applyBorder="1" applyAlignment="1">
      <alignment horizontal="center" vertical="center"/>
    </xf>
    <xf numFmtId="176" fontId="304" fillId="0" borderId="199" xfId="0" applyNumberFormat="1" applyFont="1" applyBorder="1" applyAlignment="1">
      <alignment horizontal="center" vertical="center"/>
    </xf>
    <xf numFmtId="41" fontId="304" fillId="0" borderId="221" xfId="0" applyNumberFormat="1" applyFont="1" applyFill="1" applyBorder="1" applyAlignment="1">
      <alignment vertical="center"/>
    </xf>
    <xf numFmtId="41" fontId="304" fillId="0" borderId="228" xfId="0" applyNumberFormat="1" applyFont="1" applyFill="1" applyBorder="1" applyAlignment="1">
      <alignment vertical="center"/>
    </xf>
    <xf numFmtId="41" fontId="304" fillId="0" borderId="128" xfId="0" applyNumberFormat="1" applyFont="1" applyFill="1" applyBorder="1" applyAlignment="1">
      <alignment vertical="center"/>
    </xf>
    <xf numFmtId="41" fontId="304" fillId="0" borderId="130" xfId="0" applyNumberFormat="1" applyFont="1" applyFill="1" applyBorder="1" applyAlignment="1">
      <alignment vertical="center"/>
    </xf>
    <xf numFmtId="41" fontId="304" fillId="0" borderId="129" xfId="0" applyNumberFormat="1" applyFont="1" applyFill="1" applyBorder="1" applyAlignment="1">
      <alignment vertical="center"/>
    </xf>
    <xf numFmtId="176" fontId="304" fillId="0" borderId="221" xfId="0" applyNumberFormat="1" applyFont="1" applyFill="1" applyBorder="1" applyAlignment="1">
      <alignment horizontal="center"/>
    </xf>
    <xf numFmtId="176" fontId="304" fillId="0" borderId="405" xfId="0" applyNumberFormat="1" applyFont="1" applyFill="1" applyBorder="1" applyAlignment="1">
      <alignment horizontal="center"/>
    </xf>
    <xf numFmtId="41" fontId="304" fillId="0" borderId="198" xfId="0" applyNumberFormat="1" applyFont="1" applyFill="1" applyBorder="1" applyAlignment="1">
      <alignment vertical="center"/>
    </xf>
    <xf numFmtId="41" fontId="304" fillId="0" borderId="105" xfId="0" applyNumberFormat="1" applyFont="1" applyFill="1" applyBorder="1" applyAlignment="1">
      <alignment vertical="center"/>
    </xf>
    <xf numFmtId="41" fontId="304" fillId="0" borderId="376" xfId="0" applyNumberFormat="1" applyFont="1" applyFill="1" applyBorder="1" applyAlignment="1">
      <alignment vertical="center"/>
    </xf>
    <xf numFmtId="176" fontId="304" fillId="0" borderId="177" xfId="0" applyNumberFormat="1" applyFont="1" applyFill="1" applyBorder="1" applyAlignment="1">
      <alignment horizontal="center"/>
    </xf>
    <xf numFmtId="176" fontId="304" fillId="0" borderId="178" xfId="0" applyNumberFormat="1" applyFont="1" applyFill="1" applyBorder="1" applyAlignment="1">
      <alignment horizontal="center"/>
    </xf>
    <xf numFmtId="176" fontId="304" fillId="0" borderId="20" xfId="0" applyNumberFormat="1" applyFont="1" applyFill="1" applyBorder="1" applyAlignment="1">
      <alignment horizontal="center"/>
    </xf>
    <xf numFmtId="176" fontId="304" fillId="0" borderId="11" xfId="0" applyNumberFormat="1" applyFont="1" applyFill="1" applyBorder="1" applyAlignment="1">
      <alignment horizontal="center"/>
    </xf>
    <xf numFmtId="176" fontId="304" fillId="0" borderId="21" xfId="0" applyNumberFormat="1" applyFont="1" applyFill="1" applyBorder="1" applyAlignment="1">
      <alignment horizontal="center"/>
    </xf>
    <xf numFmtId="176" fontId="304" fillId="56" borderId="15" xfId="0" applyNumberFormat="1" applyFont="1" applyFill="1" applyBorder="1" applyAlignment="1">
      <alignment horizontal="center" vertical="center"/>
    </xf>
    <xf numFmtId="176" fontId="304" fillId="56" borderId="16" xfId="0" applyNumberFormat="1" applyFont="1" applyFill="1" applyBorder="1" applyAlignment="1">
      <alignment horizontal="center" vertical="center"/>
    </xf>
    <xf numFmtId="176" fontId="304" fillId="56" borderId="17" xfId="0" applyNumberFormat="1" applyFont="1" applyFill="1" applyBorder="1" applyAlignment="1">
      <alignment horizontal="center" vertical="center"/>
    </xf>
    <xf numFmtId="176" fontId="304" fillId="56" borderId="20" xfId="0" applyNumberFormat="1" applyFont="1" applyFill="1" applyBorder="1" applyAlignment="1">
      <alignment horizontal="center" vertical="center"/>
    </xf>
    <xf numFmtId="176" fontId="304" fillId="56" borderId="11" xfId="0" applyNumberFormat="1" applyFont="1" applyFill="1" applyBorder="1" applyAlignment="1">
      <alignment horizontal="center" vertical="center"/>
    </xf>
    <xf numFmtId="176" fontId="304" fillId="56" borderId="21" xfId="0" applyNumberFormat="1" applyFont="1" applyFill="1" applyBorder="1" applyAlignment="1">
      <alignment horizontal="center" vertical="center"/>
    </xf>
    <xf numFmtId="176" fontId="304" fillId="40" borderId="37" xfId="0" applyNumberFormat="1" applyFont="1" applyFill="1" applyBorder="1" applyAlignment="1">
      <alignment horizontal="center"/>
    </xf>
    <xf numFmtId="176" fontId="304" fillId="40" borderId="40" xfId="0" applyNumberFormat="1" applyFont="1" applyFill="1" applyBorder="1" applyAlignment="1">
      <alignment horizontal="center"/>
    </xf>
    <xf numFmtId="176" fontId="304" fillId="7" borderId="41" xfId="0" applyNumberFormat="1" applyFont="1" applyFill="1" applyBorder="1" applyAlignment="1">
      <alignment horizontal="right" vertical="center"/>
    </xf>
    <xf numFmtId="176" fontId="304" fillId="7" borderId="36" xfId="0" applyNumberFormat="1" applyFont="1" applyFill="1" applyBorder="1" applyAlignment="1">
      <alignment horizontal="right" vertical="center"/>
    </xf>
    <xf numFmtId="176" fontId="304" fillId="40" borderId="34" xfId="0" applyNumberFormat="1" applyFont="1" applyFill="1" applyBorder="1" applyAlignment="1">
      <alignment horizontal="center"/>
    </xf>
    <xf numFmtId="41" fontId="304" fillId="0" borderId="199" xfId="0" applyNumberFormat="1" applyFont="1" applyFill="1" applyBorder="1" applyAlignment="1">
      <alignment vertical="center"/>
    </xf>
    <xf numFmtId="176" fontId="304" fillId="4" borderId="37" xfId="0" applyNumberFormat="1" applyFont="1" applyFill="1" applyBorder="1" applyAlignment="1">
      <alignment horizontal="center"/>
    </xf>
    <xf numFmtId="176" fontId="304" fillId="4" borderId="388" xfId="0" applyNumberFormat="1" applyFont="1" applyFill="1" applyBorder="1" applyAlignment="1">
      <alignment horizontal="center"/>
    </xf>
    <xf numFmtId="176" fontId="304" fillId="7" borderId="34" xfId="0" applyNumberFormat="1" applyFont="1" applyFill="1" applyBorder="1" applyAlignment="1">
      <alignment horizontal="right" vertical="center"/>
    </xf>
    <xf numFmtId="176" fontId="304" fillId="4" borderId="34" xfId="0" applyNumberFormat="1" applyFont="1" applyFill="1" applyBorder="1" applyAlignment="1">
      <alignment horizontal="center"/>
    </xf>
    <xf numFmtId="0" fontId="143" fillId="50" borderId="0" xfId="21" applyFont="1" applyFill="1" applyAlignment="1">
      <alignment horizontal="left" vertical="center" wrapText="1"/>
    </xf>
    <xf numFmtId="0" fontId="143" fillId="50" borderId="11" xfId="21" applyFont="1" applyFill="1" applyBorder="1" applyAlignment="1">
      <alignment horizontal="left" vertical="center" wrapText="1"/>
    </xf>
    <xf numFmtId="0" fontId="142" fillId="0" borderId="18" xfId="21" applyFont="1" applyBorder="1" applyAlignment="1">
      <alignment horizontal="left" vertical="center" wrapText="1" shrinkToFit="1"/>
    </xf>
    <xf numFmtId="0" fontId="142" fillId="0" borderId="0" xfId="21" applyFont="1" applyBorder="1" applyAlignment="1">
      <alignment horizontal="left" vertical="center" wrapText="1" shrinkToFit="1"/>
    </xf>
    <xf numFmtId="0" fontId="142" fillId="0" borderId="19" xfId="21" applyFont="1" applyBorder="1" applyAlignment="1">
      <alignment horizontal="left" vertical="center" wrapText="1" shrinkToFit="1"/>
    </xf>
    <xf numFmtId="0" fontId="142" fillId="0" borderId="20" xfId="21" applyFont="1" applyBorder="1" applyAlignment="1">
      <alignment horizontal="left" vertical="center" wrapText="1" shrinkToFit="1"/>
    </xf>
    <xf numFmtId="0" fontId="142" fillId="0" borderId="11" xfId="21" applyFont="1" applyBorder="1" applyAlignment="1">
      <alignment horizontal="left" vertical="center" wrapText="1" shrinkToFit="1"/>
    </xf>
    <xf numFmtId="0" fontId="142" fillId="0" borderId="21" xfId="21" applyFont="1" applyBorder="1" applyAlignment="1">
      <alignment horizontal="left" vertical="center" wrapText="1" shrinkToFit="1"/>
    </xf>
    <xf numFmtId="0" fontId="135" fillId="0" borderId="43" xfId="21" applyFont="1" applyBorder="1" applyAlignment="1">
      <alignment horizontal="center" vertical="center"/>
    </xf>
    <xf numFmtId="0" fontId="135" fillId="0" borderId="7" xfId="21" applyFont="1" applyBorder="1" applyAlignment="1">
      <alignment horizontal="center" vertical="center"/>
    </xf>
    <xf numFmtId="0" fontId="135" fillId="0" borderId="26" xfId="21" applyFont="1" applyBorder="1" applyAlignment="1">
      <alignment horizontal="center" vertical="center"/>
    </xf>
    <xf numFmtId="0" fontId="136" fillId="0" borderId="169" xfId="21" applyFont="1" applyBorder="1" applyAlignment="1">
      <alignment horizontal="center" vertical="center" wrapText="1"/>
    </xf>
    <xf numFmtId="0" fontId="136" fillId="0" borderId="62" xfId="21" applyFont="1" applyBorder="1" applyAlignment="1">
      <alignment horizontal="center" vertical="center" wrapText="1"/>
    </xf>
    <xf numFmtId="0" fontId="136" fillId="0" borderId="170" xfId="21" applyFont="1" applyBorder="1" applyAlignment="1">
      <alignment horizontal="center" vertical="center" wrapText="1"/>
    </xf>
    <xf numFmtId="0" fontId="136" fillId="37" borderId="16" xfId="21" applyFont="1" applyFill="1" applyBorder="1" applyAlignment="1">
      <alignment horizontal="center" vertical="center" wrapText="1"/>
    </xf>
    <xf numFmtId="0" fontId="136" fillId="37" borderId="0" xfId="21" applyFont="1" applyFill="1" applyBorder="1" applyAlignment="1">
      <alignment horizontal="center" vertical="center" wrapText="1"/>
    </xf>
    <xf numFmtId="0" fontId="136" fillId="37" borderId="11" xfId="21" applyFont="1" applyFill="1" applyBorder="1" applyAlignment="1">
      <alignment horizontal="center" vertical="center" wrapText="1"/>
    </xf>
    <xf numFmtId="0" fontId="135" fillId="0" borderId="338" xfId="21" applyFont="1" applyBorder="1" applyAlignment="1">
      <alignment horizontal="center" vertical="center" wrapText="1"/>
    </xf>
    <xf numFmtId="0" fontId="135" fillId="0" borderId="339" xfId="21" applyFont="1" applyBorder="1" applyAlignment="1">
      <alignment horizontal="center" vertical="center" wrapText="1"/>
    </xf>
    <xf numFmtId="0" fontId="135" fillId="0" borderId="340" xfId="21" applyFont="1" applyBorder="1" applyAlignment="1">
      <alignment horizontal="center" vertical="center" wrapText="1"/>
    </xf>
    <xf numFmtId="0" fontId="135" fillId="0" borderId="30" xfId="21" applyFont="1" applyBorder="1" applyAlignment="1">
      <alignment horizontal="center" vertical="center" wrapText="1"/>
    </xf>
    <xf numFmtId="0" fontId="135" fillId="0" borderId="19" xfId="21" applyFont="1" applyBorder="1" applyAlignment="1">
      <alignment horizontal="center" vertical="center" wrapText="1"/>
    </xf>
    <xf numFmtId="0" fontId="135" fillId="0" borderId="21" xfId="21" applyFont="1" applyBorder="1" applyAlignment="1">
      <alignment horizontal="center" vertical="center" wrapText="1"/>
    </xf>
    <xf numFmtId="0" fontId="139" fillId="0" borderId="86" xfId="21" applyFont="1" applyBorder="1" applyAlignment="1">
      <alignment horizontal="center" vertical="center" wrapText="1"/>
    </xf>
    <xf numFmtId="0" fontId="139" fillId="0" borderId="89" xfId="21" applyFont="1" applyBorder="1" applyAlignment="1">
      <alignment horizontal="center" vertical="center" wrapText="1"/>
    </xf>
    <xf numFmtId="0" fontId="139" fillId="0" borderId="18" xfId="21" applyFont="1" applyBorder="1" applyAlignment="1">
      <alignment horizontal="center" vertical="center" wrapText="1"/>
    </xf>
    <xf numFmtId="0" fontId="139" fillId="0" borderId="157" xfId="21" applyFont="1" applyBorder="1" applyAlignment="1">
      <alignment horizontal="center" vertical="center" wrapText="1"/>
    </xf>
    <xf numFmtId="0" fontId="139" fillId="0" borderId="20" xfId="21" applyFont="1" applyBorder="1" applyAlignment="1">
      <alignment horizontal="center" vertical="center" wrapText="1"/>
    </xf>
    <xf numFmtId="0" fontId="139" fillId="0" borderId="83" xfId="21" applyFont="1" applyBorder="1" applyAlignment="1">
      <alignment horizontal="center" vertical="center" wrapText="1"/>
    </xf>
    <xf numFmtId="0" fontId="85" fillId="0" borderId="0" xfId="21" applyFont="1" applyBorder="1" applyAlignment="1">
      <alignment horizontal="left" vertical="center" shrinkToFit="1"/>
    </xf>
    <xf numFmtId="0" fontId="85" fillId="0" borderId="11" xfId="21" applyFont="1" applyBorder="1" applyAlignment="1">
      <alignment horizontal="left" vertical="center" shrinkToFit="1"/>
    </xf>
    <xf numFmtId="0" fontId="275" fillId="53" borderId="0" xfId="21" applyFont="1" applyFill="1" applyBorder="1" applyAlignment="1">
      <alignment horizontal="center" vertical="top" wrapText="1"/>
    </xf>
    <xf numFmtId="0" fontId="295" fillId="0" borderId="0" xfId="21" applyFont="1" applyAlignment="1">
      <alignment horizontal="center" vertical="center" shrinkToFit="1"/>
    </xf>
    <xf numFmtId="49" fontId="171" fillId="12" borderId="18" xfId="21" applyNumberFormat="1" applyFont="1" applyFill="1" applyBorder="1" applyAlignment="1">
      <alignment horizontal="left" vertical="center"/>
    </xf>
    <xf numFmtId="49" fontId="171" fillId="12" borderId="0" xfId="21" applyNumberFormat="1" applyFont="1" applyFill="1" applyBorder="1" applyAlignment="1">
      <alignment horizontal="left" vertical="center"/>
    </xf>
    <xf numFmtId="49" fontId="171" fillId="12" borderId="19" xfId="21" applyNumberFormat="1" applyFont="1" applyFill="1" applyBorder="1" applyAlignment="1">
      <alignment horizontal="left" vertical="center"/>
    </xf>
    <xf numFmtId="0" fontId="171" fillId="12" borderId="18" xfId="21" applyFont="1" applyFill="1" applyBorder="1" applyAlignment="1">
      <alignment horizontal="left" vertical="center"/>
    </xf>
    <xf numFmtId="0" fontId="171" fillId="12" borderId="0" xfId="21" applyFont="1" applyFill="1" applyBorder="1" applyAlignment="1">
      <alignment horizontal="left" vertical="center"/>
    </xf>
    <xf numFmtId="0" fontId="171" fillId="12" borderId="19" xfId="21" applyFont="1" applyFill="1" applyBorder="1" applyAlignment="1">
      <alignment horizontal="left" vertical="center"/>
    </xf>
    <xf numFmtId="0" fontId="55" fillId="18" borderId="18" xfId="21" applyFont="1" applyFill="1" applyBorder="1" applyAlignment="1">
      <alignment horizontal="center" vertical="center"/>
    </xf>
    <xf numFmtId="0" fontId="55" fillId="18" borderId="0" xfId="21" applyFont="1" applyFill="1" applyBorder="1" applyAlignment="1">
      <alignment horizontal="center" vertical="center"/>
    </xf>
    <xf numFmtId="0" fontId="55" fillId="18" borderId="19" xfId="21" applyFont="1" applyFill="1" applyBorder="1" applyAlignment="1">
      <alignment horizontal="center" vertical="center"/>
    </xf>
    <xf numFmtId="0" fontId="277" fillId="53" borderId="336" xfId="21" applyFont="1" applyFill="1" applyBorder="1" applyAlignment="1">
      <alignment horizontal="center" vertical="center" wrapText="1"/>
    </xf>
    <xf numFmtId="0" fontId="277" fillId="53" borderId="0" xfId="21" applyFont="1" applyFill="1" applyBorder="1" applyAlignment="1">
      <alignment horizontal="center" vertical="center" wrapText="1"/>
    </xf>
    <xf numFmtId="0" fontId="139" fillId="0" borderId="80" xfId="21" applyFont="1" applyFill="1" applyBorder="1" applyAlignment="1">
      <alignment horizontal="center" vertical="center" shrinkToFit="1"/>
    </xf>
    <xf numFmtId="0" fontId="139" fillId="0" borderId="103" xfId="21" applyFont="1" applyFill="1" applyBorder="1" applyAlignment="1">
      <alignment horizontal="center" vertical="center" shrinkToFit="1"/>
    </xf>
    <xf numFmtId="0" fontId="139" fillId="0" borderId="102" xfId="21" applyFont="1" applyFill="1" applyBorder="1" applyAlignment="1">
      <alignment horizontal="center" vertical="center" shrinkToFit="1"/>
    </xf>
    <xf numFmtId="0" fontId="240" fillId="26" borderId="0" xfId="0" applyFont="1" applyFill="1" applyBorder="1" applyAlignment="1">
      <alignment horizontal="center" vertical="center"/>
    </xf>
    <xf numFmtId="0" fontId="235" fillId="2" borderId="16" xfId="21" applyFont="1" applyFill="1" applyBorder="1" applyAlignment="1" applyProtection="1">
      <alignment horizontal="center" vertical="center"/>
      <protection locked="0"/>
    </xf>
    <xf numFmtId="0" fontId="235" fillId="2" borderId="11" xfId="21" applyFont="1" applyFill="1" applyBorder="1" applyAlignment="1" applyProtection="1">
      <alignment horizontal="center" vertical="center"/>
      <protection locked="0"/>
    </xf>
    <xf numFmtId="0" fontId="257" fillId="0" borderId="0" xfId="21" applyFont="1" applyFill="1" applyBorder="1" applyAlignment="1">
      <alignment horizontal="left" vertical="top" wrapText="1"/>
    </xf>
    <xf numFmtId="0" fontId="258" fillId="48" borderId="31" xfId="21" applyFont="1" applyFill="1" applyBorder="1" applyAlignment="1">
      <alignment horizontal="center" vertical="center"/>
    </xf>
    <xf numFmtId="0" fontId="258" fillId="48" borderId="348" xfId="21" applyFont="1" applyFill="1" applyBorder="1" applyAlignment="1">
      <alignment horizontal="center" vertical="center"/>
    </xf>
    <xf numFmtId="0" fontId="229" fillId="2" borderId="61" xfId="21" applyNumberFormat="1" applyFont="1" applyFill="1" applyBorder="1" applyAlignment="1" applyProtection="1">
      <alignment horizontal="center" vertical="center"/>
      <protection locked="0"/>
    </xf>
    <xf numFmtId="0" fontId="229" fillId="2" borderId="10" xfId="21" applyNumberFormat="1" applyFont="1" applyFill="1" applyBorder="1" applyAlignment="1" applyProtection="1">
      <alignment horizontal="center" vertical="center"/>
      <protection locked="0"/>
    </xf>
    <xf numFmtId="0" fontId="229" fillId="2" borderId="5" xfId="21" applyFont="1" applyFill="1" applyBorder="1" applyAlignment="1" applyProtection="1">
      <alignment horizontal="center" vertical="center"/>
      <protection locked="0"/>
    </xf>
    <xf numFmtId="0" fontId="229" fillId="2" borderId="9" xfId="21" applyFont="1" applyFill="1" applyBorder="1" applyAlignment="1" applyProtection="1">
      <alignment horizontal="center" vertical="center"/>
      <protection locked="0"/>
    </xf>
    <xf numFmtId="49" fontId="171" fillId="2" borderId="86" xfId="21" applyNumberFormat="1" applyFont="1" applyFill="1" applyBorder="1" applyAlignment="1" applyProtection="1">
      <alignment horizontal="left" vertical="top" shrinkToFit="1"/>
      <protection locked="0"/>
    </xf>
    <xf numFmtId="49" fontId="171" fillId="2" borderId="4" xfId="21" applyNumberFormat="1" applyFont="1" applyFill="1" applyBorder="1" applyAlignment="1" applyProtection="1">
      <alignment horizontal="left" vertical="top" shrinkToFit="1"/>
      <protection locked="0"/>
    </xf>
    <xf numFmtId="49" fontId="171" fillId="2" borderId="30" xfId="21" applyNumberFormat="1" applyFont="1" applyFill="1" applyBorder="1" applyAlignment="1" applyProtection="1">
      <alignment horizontal="left" vertical="top" shrinkToFit="1"/>
      <protection locked="0"/>
    </xf>
    <xf numFmtId="49" fontId="171" fillId="2" borderId="25" xfId="21" applyNumberFormat="1" applyFont="1" applyFill="1" applyBorder="1" applyAlignment="1" applyProtection="1">
      <alignment horizontal="left" vertical="top" shrinkToFit="1"/>
      <protection locked="0"/>
    </xf>
    <xf numFmtId="49" fontId="171" fillId="2" borderId="1" xfId="21" applyNumberFormat="1" applyFont="1" applyFill="1" applyBorder="1" applyAlignment="1" applyProtection="1">
      <alignment horizontal="left" vertical="top" shrinkToFit="1"/>
      <protection locked="0"/>
    </xf>
    <xf numFmtId="49" fontId="171" fillId="2" borderId="29" xfId="21" applyNumberFormat="1" applyFont="1" applyFill="1" applyBorder="1" applyAlignment="1" applyProtection="1">
      <alignment horizontal="left" vertical="top" shrinkToFit="1"/>
      <protection locked="0"/>
    </xf>
    <xf numFmtId="0" fontId="141" fillId="0" borderId="349" xfId="21" applyFont="1" applyBorder="1" applyAlignment="1">
      <alignment horizontal="center" vertical="center"/>
    </xf>
    <xf numFmtId="0" fontId="141" fillId="0" borderId="350" xfId="21" applyFont="1" applyBorder="1" applyAlignment="1">
      <alignment horizontal="center" vertical="center"/>
    </xf>
    <xf numFmtId="0" fontId="141" fillId="0" borderId="351" xfId="21" applyFont="1" applyBorder="1" applyAlignment="1">
      <alignment horizontal="center" vertical="center"/>
    </xf>
    <xf numFmtId="49" fontId="171" fillId="12" borderId="20" xfId="21" applyNumberFormat="1" applyFont="1" applyFill="1" applyBorder="1" applyAlignment="1">
      <alignment horizontal="left" vertical="center"/>
    </xf>
    <xf numFmtId="49" fontId="171" fillId="12" borderId="11" xfId="21" applyNumberFormat="1" applyFont="1" applyFill="1" applyBorder="1" applyAlignment="1">
      <alignment horizontal="left" vertical="center"/>
    </xf>
    <xf numFmtId="49" fontId="171" fillId="12" borderId="21" xfId="21" applyNumberFormat="1" applyFont="1" applyFill="1" applyBorder="1" applyAlignment="1">
      <alignment horizontal="left" vertical="center"/>
    </xf>
    <xf numFmtId="0" fontId="171" fillId="12" borderId="20" xfId="21" applyFont="1" applyFill="1" applyBorder="1" applyAlignment="1">
      <alignment horizontal="left" vertical="center"/>
    </xf>
    <xf numFmtId="0" fontId="171" fillId="12" borderId="11" xfId="21" applyFont="1" applyFill="1" applyBorder="1" applyAlignment="1">
      <alignment horizontal="left" vertical="center"/>
    </xf>
    <xf numFmtId="0" fontId="171" fillId="12" borderId="21" xfId="21" applyFont="1" applyFill="1" applyBorder="1" applyAlignment="1">
      <alignment horizontal="left" vertical="center"/>
    </xf>
    <xf numFmtId="49" fontId="171" fillId="2" borderId="15" xfId="21" applyNumberFormat="1" applyFont="1" applyFill="1" applyBorder="1" applyAlignment="1" applyProtection="1">
      <alignment horizontal="left" vertical="top" shrinkToFit="1"/>
      <protection locked="0"/>
    </xf>
    <xf numFmtId="49" fontId="171" fillId="2" borderId="16" xfId="21" applyNumberFormat="1" applyFont="1" applyFill="1" applyBorder="1" applyAlignment="1" applyProtection="1">
      <alignment horizontal="left" vertical="top" shrinkToFit="1"/>
      <protection locked="0"/>
    </xf>
    <xf numFmtId="49" fontId="171" fillId="2" borderId="17" xfId="21" applyNumberFormat="1" applyFont="1" applyFill="1" applyBorder="1" applyAlignment="1" applyProtection="1">
      <alignment horizontal="left" vertical="top" shrinkToFit="1"/>
      <protection locked="0"/>
    </xf>
    <xf numFmtId="0" fontId="171" fillId="12" borderId="15" xfId="21" applyFont="1" applyFill="1" applyBorder="1" applyAlignment="1">
      <alignment horizontal="left" vertical="center"/>
    </xf>
    <xf numFmtId="0" fontId="171" fillId="12" borderId="16" xfId="21" applyFont="1" applyFill="1" applyBorder="1" applyAlignment="1">
      <alignment horizontal="left" vertical="center"/>
    </xf>
    <xf numFmtId="0" fontId="171" fillId="12" borderId="17" xfId="21" applyFont="1" applyFill="1" applyBorder="1" applyAlignment="1">
      <alignment horizontal="left" vertical="center"/>
    </xf>
    <xf numFmtId="0" fontId="171" fillId="12" borderId="25" xfId="21" applyFont="1" applyFill="1" applyBorder="1" applyAlignment="1">
      <alignment horizontal="left" vertical="center"/>
    </xf>
    <xf numFmtId="0" fontId="171" fillId="12" borderId="1" xfId="21" applyFont="1" applyFill="1" applyBorder="1" applyAlignment="1">
      <alignment horizontal="left" vertical="center"/>
    </xf>
    <xf numFmtId="0" fontId="171" fillId="12" borderId="29" xfId="21" applyFont="1" applyFill="1" applyBorder="1" applyAlignment="1">
      <alignment horizontal="left" vertical="center"/>
    </xf>
    <xf numFmtId="49" fontId="171" fillId="12" borderId="15" xfId="21" applyNumberFormat="1" applyFont="1" applyFill="1" applyBorder="1" applyAlignment="1">
      <alignment horizontal="left" vertical="center"/>
    </xf>
    <xf numFmtId="49" fontId="171" fillId="12" borderId="16" xfId="21" applyNumberFormat="1" applyFont="1" applyFill="1" applyBorder="1" applyAlignment="1">
      <alignment horizontal="left" vertical="center"/>
    </xf>
    <xf numFmtId="49" fontId="171" fillId="12" borderId="17" xfId="21" applyNumberFormat="1" applyFont="1" applyFill="1" applyBorder="1" applyAlignment="1">
      <alignment horizontal="left" vertical="center"/>
    </xf>
    <xf numFmtId="49" fontId="171" fillId="12" borderId="25" xfId="21" applyNumberFormat="1" applyFont="1" applyFill="1" applyBorder="1" applyAlignment="1">
      <alignment horizontal="left" vertical="center"/>
    </xf>
    <xf numFmtId="49" fontId="171" fillId="12" borderId="1" xfId="21" applyNumberFormat="1" applyFont="1" applyFill="1" applyBorder="1" applyAlignment="1">
      <alignment horizontal="left" vertical="center"/>
    </xf>
    <xf numFmtId="49" fontId="171" fillId="12" borderId="29" xfId="21" applyNumberFormat="1" applyFont="1" applyFill="1" applyBorder="1" applyAlignment="1">
      <alignment horizontal="left" vertical="center"/>
    </xf>
    <xf numFmtId="49" fontId="171" fillId="2" borderId="18" xfId="21" applyNumberFormat="1" applyFont="1" applyFill="1" applyBorder="1" applyAlignment="1" applyProtection="1">
      <alignment horizontal="left" vertical="top" shrinkToFit="1"/>
      <protection locked="0"/>
    </xf>
    <xf numFmtId="49" fontId="171" fillId="2" borderId="0" xfId="21" applyNumberFormat="1" applyFont="1" applyFill="1" applyBorder="1" applyAlignment="1" applyProtection="1">
      <alignment horizontal="left" vertical="top" shrinkToFit="1"/>
      <protection locked="0"/>
    </xf>
    <xf numFmtId="49" fontId="171" fillId="2" borderId="19" xfId="21" applyNumberFormat="1" applyFont="1" applyFill="1" applyBorder="1" applyAlignment="1" applyProtection="1">
      <alignment horizontal="left" vertical="top" shrinkToFit="1"/>
      <protection locked="0"/>
    </xf>
    <xf numFmtId="0" fontId="229" fillId="2" borderId="7" xfId="0" applyFont="1" applyFill="1" applyBorder="1" applyAlignment="1" applyProtection="1">
      <alignment horizontal="center" vertical="center" shrinkToFit="1"/>
      <protection locked="0"/>
    </xf>
    <xf numFmtId="0" fontId="229" fillId="2" borderId="9" xfId="0" applyFont="1" applyFill="1" applyBorder="1" applyAlignment="1" applyProtection="1">
      <alignment horizontal="center" vertical="center" shrinkToFit="1"/>
      <protection locked="0"/>
    </xf>
    <xf numFmtId="0" fontId="134" fillId="12" borderId="88" xfId="21" applyFont="1" applyFill="1" applyBorder="1" applyAlignment="1">
      <alignment horizontal="center" vertical="top"/>
    </xf>
    <xf numFmtId="0" fontId="134" fillId="12" borderId="82" xfId="21" applyFont="1" applyFill="1" applyBorder="1" applyAlignment="1">
      <alignment horizontal="center" vertical="top"/>
    </xf>
    <xf numFmtId="0" fontId="134" fillId="12" borderId="87" xfId="21" applyFont="1" applyFill="1" applyBorder="1" applyAlignment="1">
      <alignment horizontal="center" vertical="top"/>
    </xf>
    <xf numFmtId="0" fontId="134" fillId="12" borderId="81" xfId="21" applyFont="1" applyFill="1" applyBorder="1" applyAlignment="1">
      <alignment horizontal="center" vertical="top"/>
    </xf>
    <xf numFmtId="0" fontId="229" fillId="12" borderId="98" xfId="21" applyFont="1" applyFill="1" applyBorder="1" applyAlignment="1">
      <alignment horizontal="center" vertical="center"/>
    </xf>
    <xf numFmtId="0" fontId="229" fillId="12" borderId="79" xfId="21" applyFont="1" applyFill="1" applyBorder="1" applyAlignment="1">
      <alignment horizontal="center" vertical="center"/>
    </xf>
    <xf numFmtId="0" fontId="229" fillId="12" borderId="97" xfId="21" applyFont="1" applyFill="1" applyBorder="1" applyAlignment="1">
      <alignment horizontal="center" vertical="center"/>
    </xf>
    <xf numFmtId="0" fontId="229" fillId="12" borderId="90" xfId="21" applyFont="1" applyFill="1" applyBorder="1" applyAlignment="1">
      <alignment horizontal="center" vertical="center"/>
    </xf>
    <xf numFmtId="0" fontId="134" fillId="12" borderId="88" xfId="21" applyFont="1" applyFill="1" applyBorder="1" applyAlignment="1">
      <alignment horizontal="center" vertical="center"/>
    </xf>
    <xf numFmtId="0" fontId="134" fillId="12" borderId="82" xfId="21" applyFont="1" applyFill="1" applyBorder="1" applyAlignment="1">
      <alignment horizontal="center" vertical="center"/>
    </xf>
    <xf numFmtId="0" fontId="134" fillId="12" borderId="87" xfId="21" applyFont="1" applyFill="1" applyBorder="1" applyAlignment="1">
      <alignment horizontal="center" vertical="center"/>
    </xf>
    <xf numFmtId="0" fontId="134" fillId="12" borderId="81" xfId="21" applyFont="1" applyFill="1" applyBorder="1" applyAlignment="1">
      <alignment horizontal="center" vertical="center"/>
    </xf>
    <xf numFmtId="0" fontId="134" fillId="12" borderId="18" xfId="21" applyFont="1" applyFill="1" applyBorder="1" applyAlignment="1">
      <alignment horizontal="center" vertical="center" shrinkToFit="1"/>
    </xf>
    <xf numFmtId="0" fontId="134" fillId="12" borderId="157" xfId="21" applyFont="1" applyFill="1" applyBorder="1" applyAlignment="1">
      <alignment horizontal="center" vertical="center" shrinkToFit="1"/>
    </xf>
    <xf numFmtId="0" fontId="134" fillId="12" borderId="20" xfId="21" applyFont="1" applyFill="1" applyBorder="1" applyAlignment="1">
      <alignment horizontal="center" vertical="center" shrinkToFit="1"/>
    </xf>
    <xf numFmtId="0" fontId="134" fillId="12" borderId="83" xfId="21" applyFont="1" applyFill="1" applyBorder="1" applyAlignment="1">
      <alignment horizontal="center" vertical="center" shrinkToFit="1"/>
    </xf>
    <xf numFmtId="0" fontId="229" fillId="33" borderId="43" xfId="0" applyFont="1" applyFill="1" applyBorder="1" applyAlignment="1">
      <alignment horizontal="center" vertical="center" shrinkToFit="1"/>
    </xf>
    <xf numFmtId="0" fontId="229" fillId="33" borderId="9" xfId="0" applyFont="1" applyFill="1" applyBorder="1" applyAlignment="1">
      <alignment horizontal="center" vertical="center" shrinkToFit="1"/>
    </xf>
    <xf numFmtId="186" fontId="14" fillId="34" borderId="18" xfId="0" applyNumberFormat="1" applyFont="1" applyFill="1" applyBorder="1" applyAlignment="1">
      <alignment horizontal="center" vertical="center" shrinkToFit="1"/>
    </xf>
    <xf numFmtId="186" fontId="14" fillId="34" borderId="0" xfId="0" applyNumberFormat="1" applyFont="1" applyFill="1" applyBorder="1" applyAlignment="1">
      <alignment horizontal="center" vertical="center" shrinkToFit="1"/>
    </xf>
    <xf numFmtId="186" fontId="14" fillId="34" borderId="19" xfId="0" applyNumberFormat="1" applyFont="1" applyFill="1" applyBorder="1" applyAlignment="1">
      <alignment horizontal="center" vertical="center" shrinkToFit="1"/>
    </xf>
    <xf numFmtId="186" fontId="14" fillId="34" borderId="25" xfId="21" applyNumberFormat="1" applyFont="1" applyFill="1" applyBorder="1" applyAlignment="1">
      <alignment horizontal="center" vertical="center" shrinkToFit="1"/>
    </xf>
    <xf numFmtId="186" fontId="14" fillId="34" borderId="1" xfId="21" applyNumberFormat="1" applyFont="1" applyFill="1" applyBorder="1" applyAlignment="1">
      <alignment horizontal="center" vertical="center" shrinkToFit="1"/>
    </xf>
    <xf numFmtId="186" fontId="14" fillId="34" borderId="29" xfId="21" applyNumberFormat="1" applyFont="1" applyFill="1" applyBorder="1" applyAlignment="1">
      <alignment horizontal="center" vertical="center" shrinkToFit="1"/>
    </xf>
    <xf numFmtId="0" fontId="134" fillId="12" borderId="15" xfId="21" applyFont="1" applyFill="1" applyBorder="1" applyAlignment="1">
      <alignment horizontal="center" vertical="center" shrinkToFit="1"/>
    </xf>
    <xf numFmtId="0" fontId="134" fillId="12" borderId="99" xfId="21" applyFont="1" applyFill="1" applyBorder="1" applyAlignment="1">
      <alignment horizontal="center" vertical="center" shrinkToFit="1"/>
    </xf>
    <xf numFmtId="0" fontId="134" fillId="12" borderId="25" xfId="21" applyFont="1" applyFill="1" applyBorder="1" applyAlignment="1">
      <alignment horizontal="center" vertical="center" shrinkToFit="1"/>
    </xf>
    <xf numFmtId="0" fontId="134" fillId="12" borderId="91" xfId="21" applyFont="1" applyFill="1" applyBorder="1" applyAlignment="1">
      <alignment horizontal="center" vertical="center" shrinkToFit="1"/>
    </xf>
    <xf numFmtId="0" fontId="134" fillId="12" borderId="98" xfId="21" applyFont="1" applyFill="1" applyBorder="1" applyAlignment="1">
      <alignment horizontal="center" vertical="center"/>
    </xf>
    <xf numFmtId="0" fontId="134" fillId="12" borderId="79" xfId="21" applyFont="1" applyFill="1" applyBorder="1" applyAlignment="1">
      <alignment horizontal="center" vertical="center"/>
    </xf>
    <xf numFmtId="0" fontId="134" fillId="12" borderId="97" xfId="21" applyFont="1" applyFill="1" applyBorder="1" applyAlignment="1">
      <alignment horizontal="center" vertical="center"/>
    </xf>
    <xf numFmtId="0" fontId="134" fillId="12" borderId="90" xfId="21" applyFont="1" applyFill="1" applyBorder="1" applyAlignment="1">
      <alignment horizontal="center" vertical="center"/>
    </xf>
    <xf numFmtId="0" fontId="134" fillId="12" borderId="98" xfId="21" applyFont="1" applyFill="1" applyBorder="1" applyAlignment="1">
      <alignment horizontal="center" vertical="top"/>
    </xf>
    <xf numFmtId="0" fontId="134" fillId="12" borderId="79" xfId="21" applyFont="1" applyFill="1" applyBorder="1" applyAlignment="1">
      <alignment horizontal="center" vertical="top"/>
    </xf>
    <xf numFmtId="0" fontId="134" fillId="12" borderId="97" xfId="21" applyFont="1" applyFill="1" applyBorder="1" applyAlignment="1">
      <alignment horizontal="center" vertical="top"/>
    </xf>
    <xf numFmtId="0" fontId="134" fillId="12" borderId="90" xfId="21" applyFont="1" applyFill="1" applyBorder="1" applyAlignment="1">
      <alignment horizontal="center" vertical="top"/>
    </xf>
    <xf numFmtId="0" fontId="229" fillId="12" borderId="43" xfId="21" applyFont="1" applyFill="1" applyBorder="1" applyAlignment="1">
      <alignment horizontal="center" vertical="center"/>
    </xf>
    <xf numFmtId="0" fontId="229" fillId="12" borderId="9" xfId="21" applyFont="1" applyFill="1" applyBorder="1" applyAlignment="1">
      <alignment horizontal="center" vertical="center"/>
    </xf>
    <xf numFmtId="0" fontId="229" fillId="33" borderId="169" xfId="21" applyFont="1" applyFill="1" applyBorder="1" applyAlignment="1">
      <alignment horizontal="center" vertical="center"/>
    </xf>
    <xf numFmtId="0" fontId="229" fillId="33" borderId="10" xfId="21" applyFont="1" applyFill="1" applyBorder="1" applyAlignment="1">
      <alignment horizontal="center" vertical="center"/>
    </xf>
    <xf numFmtId="0" fontId="229" fillId="12" borderId="341" xfId="21" applyFont="1" applyFill="1" applyBorder="1" applyAlignment="1">
      <alignment horizontal="center" vertical="center"/>
    </xf>
    <xf numFmtId="0" fontId="229" fillId="12" borderId="342" xfId="21" applyFont="1" applyFill="1" applyBorder="1" applyAlignment="1">
      <alignment horizontal="center" vertical="center"/>
    </xf>
    <xf numFmtId="0" fontId="229" fillId="12" borderId="17" xfId="21" applyFont="1" applyFill="1" applyBorder="1" applyAlignment="1">
      <alignment horizontal="center" vertical="center"/>
    </xf>
    <xf numFmtId="0" fontId="229" fillId="12" borderId="29" xfId="21" applyFont="1" applyFill="1" applyBorder="1" applyAlignment="1">
      <alignment horizontal="center" vertical="center"/>
    </xf>
    <xf numFmtId="0" fontId="229" fillId="12" borderId="15" xfId="21" applyFont="1" applyFill="1" applyBorder="1" applyAlignment="1">
      <alignment horizontal="center" vertical="center" shrinkToFit="1"/>
    </xf>
    <xf numFmtId="0" fontId="229" fillId="12" borderId="99" xfId="21" applyFont="1" applyFill="1" applyBorder="1" applyAlignment="1">
      <alignment horizontal="center" vertical="center" shrinkToFit="1"/>
    </xf>
    <xf numFmtId="0" fontId="229" fillId="12" borderId="25" xfId="21" applyFont="1" applyFill="1" applyBorder="1" applyAlignment="1">
      <alignment horizontal="center" vertical="center" shrinkToFit="1"/>
    </xf>
    <xf numFmtId="0" fontId="229" fillId="12" borderId="91" xfId="21" applyFont="1" applyFill="1" applyBorder="1" applyAlignment="1">
      <alignment horizontal="center" vertical="center" shrinkToFit="1"/>
    </xf>
    <xf numFmtId="0" fontId="228" fillId="12" borderId="15" xfId="21" applyFont="1" applyFill="1" applyBorder="1" applyAlignment="1">
      <alignment horizontal="center" vertical="center" shrinkToFit="1"/>
    </xf>
    <xf numFmtId="0" fontId="228" fillId="12" borderId="99" xfId="21" applyFont="1" applyFill="1" applyBorder="1" applyAlignment="1">
      <alignment horizontal="center" vertical="center" shrinkToFit="1"/>
    </xf>
    <xf numFmtId="0" fontId="228" fillId="12" borderId="25" xfId="21" applyFont="1" applyFill="1" applyBorder="1" applyAlignment="1">
      <alignment horizontal="center" vertical="center" shrinkToFit="1"/>
    </xf>
    <xf numFmtId="0" fontId="228" fillId="12" borderId="91" xfId="21" applyFont="1" applyFill="1" applyBorder="1" applyAlignment="1">
      <alignment horizontal="center" vertical="center" shrinkToFit="1"/>
    </xf>
    <xf numFmtId="0" fontId="139" fillId="0" borderId="104" xfId="21" applyFont="1" applyFill="1" applyBorder="1" applyAlignment="1">
      <alignment horizontal="center" vertical="center" shrinkToFit="1"/>
    </xf>
    <xf numFmtId="0" fontId="139" fillId="0" borderId="105" xfId="21" applyFont="1" applyFill="1" applyBorder="1" applyAlignment="1">
      <alignment horizontal="center" vertical="center" shrinkToFit="1"/>
    </xf>
    <xf numFmtId="0" fontId="135" fillId="0" borderId="48" xfId="21" applyFont="1" applyBorder="1" applyAlignment="1">
      <alignment horizontal="center" vertical="center" wrapText="1"/>
    </xf>
    <xf numFmtId="0" fontId="135" fillId="0" borderId="17" xfId="21" applyFont="1" applyBorder="1" applyAlignment="1">
      <alignment horizontal="center" vertical="center" wrapText="1"/>
    </xf>
    <xf numFmtId="0" fontId="135" fillId="0" borderId="6" xfId="21" applyFont="1" applyBorder="1" applyAlignment="1">
      <alignment horizontal="center" vertical="center" wrapText="1"/>
    </xf>
    <xf numFmtId="0" fontId="229" fillId="12" borderId="5" xfId="21" applyFont="1" applyFill="1" applyBorder="1" applyAlignment="1">
      <alignment horizontal="center" vertical="center"/>
    </xf>
    <xf numFmtId="0" fontId="229" fillId="12" borderId="26" xfId="21" applyFont="1" applyFill="1" applyBorder="1" applyAlignment="1">
      <alignment horizontal="center" vertical="center"/>
    </xf>
    <xf numFmtId="0" fontId="229" fillId="33" borderId="61" xfId="21" applyFont="1" applyFill="1" applyBorder="1" applyAlignment="1">
      <alignment horizontal="center" vertical="center"/>
    </xf>
    <xf numFmtId="0" fontId="229" fillId="33" borderId="170" xfId="21" applyFont="1" applyFill="1" applyBorder="1" applyAlignment="1">
      <alignment horizontal="center" vertical="center"/>
    </xf>
    <xf numFmtId="0" fontId="229" fillId="2" borderId="94" xfId="21" applyFont="1" applyFill="1" applyBorder="1" applyAlignment="1" applyProtection="1">
      <alignment horizontal="center" vertical="center"/>
      <protection locked="0"/>
    </xf>
    <xf numFmtId="0" fontId="229" fillId="2" borderId="79" xfId="21" applyFont="1" applyFill="1" applyBorder="1" applyAlignment="1" applyProtection="1">
      <alignment horizontal="center" vertical="center"/>
      <protection locked="0"/>
    </xf>
    <xf numFmtId="0" fontId="229" fillId="2" borderId="30" xfId="21" applyFont="1" applyFill="1" applyBorder="1" applyAlignment="1" applyProtection="1">
      <alignment horizontal="center" vertical="center"/>
      <protection locked="0"/>
    </xf>
    <xf numFmtId="0" fontId="229" fillId="2" borderId="29" xfId="21" applyFont="1" applyFill="1" applyBorder="1" applyAlignment="1" applyProtection="1">
      <alignment horizontal="center" vertical="center"/>
      <protection locked="0"/>
    </xf>
    <xf numFmtId="0" fontId="229" fillId="2" borderId="88" xfId="21" applyFont="1" applyFill="1" applyBorder="1" applyAlignment="1" applyProtection="1">
      <alignment horizontal="center" vertical="center"/>
      <protection locked="0"/>
    </xf>
    <xf numFmtId="0" fontId="229" fillId="2" borderId="19" xfId="21" applyFont="1" applyFill="1" applyBorder="1" applyAlignment="1" applyProtection="1">
      <alignment horizontal="center" vertical="center"/>
      <protection locked="0"/>
    </xf>
    <xf numFmtId="0" fontId="229" fillId="2" borderId="18" xfId="21" applyFont="1" applyFill="1" applyBorder="1" applyAlignment="1" applyProtection="1">
      <alignment horizontal="center" vertical="center" shrinkToFit="1"/>
      <protection locked="0"/>
    </xf>
    <xf numFmtId="0" fontId="229" fillId="2" borderId="157" xfId="21" applyFont="1" applyFill="1" applyBorder="1" applyAlignment="1" applyProtection="1">
      <alignment horizontal="center" vertical="center" shrinkToFit="1"/>
      <protection locked="0"/>
    </xf>
    <xf numFmtId="0" fontId="229" fillId="2" borderId="25" xfId="21" applyFont="1" applyFill="1" applyBorder="1" applyAlignment="1" applyProtection="1">
      <alignment horizontal="center" vertical="center" shrinkToFit="1"/>
      <protection locked="0"/>
    </xf>
    <xf numFmtId="0" fontId="229" fillId="2" borderId="91" xfId="21" applyFont="1" applyFill="1" applyBorder="1" applyAlignment="1" applyProtection="1">
      <alignment horizontal="center" vertical="center" shrinkToFit="1"/>
      <protection locked="0"/>
    </xf>
    <xf numFmtId="0" fontId="229" fillId="2" borderId="15" xfId="21" applyFont="1" applyFill="1" applyBorder="1" applyAlignment="1" applyProtection="1">
      <alignment horizontal="center" vertical="center" shrinkToFit="1"/>
      <protection locked="0"/>
    </xf>
    <xf numFmtId="0" fontId="229" fillId="2" borderId="99" xfId="21" applyFont="1" applyFill="1" applyBorder="1" applyAlignment="1" applyProtection="1">
      <alignment horizontal="center" vertical="center" shrinkToFit="1"/>
      <protection locked="0"/>
    </xf>
    <xf numFmtId="0" fontId="133" fillId="4" borderId="61" xfId="21" applyFont="1" applyFill="1" applyBorder="1" applyAlignment="1">
      <alignment horizontal="center" vertical="center"/>
    </xf>
    <xf numFmtId="0" fontId="133" fillId="4" borderId="10" xfId="21" applyFont="1" applyFill="1" applyBorder="1" applyAlignment="1">
      <alignment horizontal="center" vertical="center"/>
    </xf>
    <xf numFmtId="0" fontId="229" fillId="2" borderId="338" xfId="21" applyFont="1" applyFill="1" applyBorder="1" applyAlignment="1" applyProtection="1">
      <alignment horizontal="center" vertical="center"/>
      <protection locked="0"/>
    </xf>
    <xf numFmtId="0" fontId="229" fillId="2" borderId="342" xfId="21" applyFont="1" applyFill="1" applyBorder="1" applyAlignment="1" applyProtection="1">
      <alignment horizontal="center" vertical="center"/>
      <protection locked="0"/>
    </xf>
    <xf numFmtId="0" fontId="133" fillId="4" borderId="62" xfId="21" applyFont="1" applyFill="1" applyBorder="1" applyAlignment="1">
      <alignment horizontal="center" vertical="center"/>
    </xf>
    <xf numFmtId="0" fontId="229" fillId="2" borderId="43" xfId="21" applyFont="1" applyFill="1" applyBorder="1" applyAlignment="1" applyProtection="1">
      <alignment horizontal="center" vertical="center"/>
      <protection locked="0"/>
    </xf>
    <xf numFmtId="0" fontId="229" fillId="2" borderId="169" xfId="21" applyNumberFormat="1" applyFont="1" applyFill="1" applyBorder="1" applyAlignment="1" applyProtection="1">
      <alignment horizontal="center" vertical="center"/>
      <protection locked="0"/>
    </xf>
    <xf numFmtId="0" fontId="229" fillId="2" borderId="339" xfId="21" applyFont="1" applyFill="1" applyBorder="1" applyAlignment="1" applyProtection="1">
      <alignment horizontal="center" vertical="center"/>
      <protection locked="0"/>
    </xf>
    <xf numFmtId="0" fontId="229" fillId="2" borderId="17" xfId="21" applyFont="1" applyFill="1" applyBorder="1" applyAlignment="1" applyProtection="1">
      <alignment horizontal="center" vertical="center"/>
      <protection locked="0"/>
    </xf>
    <xf numFmtId="0" fontId="229" fillId="2" borderId="98" xfId="21" applyFont="1" applyFill="1" applyBorder="1" applyAlignment="1" applyProtection="1">
      <alignment horizontal="center" vertical="center"/>
      <protection locked="0"/>
    </xf>
    <xf numFmtId="0" fontId="229" fillId="2" borderId="97" xfId="21" applyFont="1" applyFill="1" applyBorder="1" applyAlignment="1" applyProtection="1">
      <alignment horizontal="center" vertical="center"/>
      <protection locked="0"/>
    </xf>
    <xf numFmtId="0" fontId="229" fillId="2" borderId="90" xfId="21" applyFont="1" applyFill="1" applyBorder="1" applyAlignment="1" applyProtection="1">
      <alignment horizontal="center" vertical="center"/>
      <protection locked="0"/>
    </xf>
    <xf numFmtId="0" fontId="229" fillId="33" borderId="7" xfId="0" applyFont="1" applyFill="1" applyBorder="1" applyAlignment="1">
      <alignment horizontal="center" vertical="center" shrinkToFit="1"/>
    </xf>
    <xf numFmtId="0" fontId="229" fillId="33" borderId="26" xfId="0" applyFont="1" applyFill="1" applyBorder="1" applyAlignment="1">
      <alignment horizontal="center" vertical="center" shrinkToFit="1"/>
    </xf>
    <xf numFmtId="0" fontId="229" fillId="12" borderId="339" xfId="21" applyFont="1" applyFill="1" applyBorder="1" applyAlignment="1">
      <alignment horizontal="center" vertical="center"/>
    </xf>
    <xf numFmtId="0" fontId="229" fillId="12" borderId="340" xfId="21" applyFont="1" applyFill="1" applyBorder="1" applyAlignment="1">
      <alignment horizontal="center" vertical="center"/>
    </xf>
    <xf numFmtId="0" fontId="229" fillId="12" borderId="19" xfId="21" applyFont="1" applyFill="1" applyBorder="1" applyAlignment="1">
      <alignment horizontal="center" vertical="center"/>
    </xf>
    <xf numFmtId="0" fontId="229" fillId="12" borderId="21" xfId="21" applyFont="1" applyFill="1" applyBorder="1" applyAlignment="1">
      <alignment horizontal="center" vertical="center"/>
    </xf>
    <xf numFmtId="0" fontId="228" fillId="12" borderId="18" xfId="21" applyFont="1" applyFill="1" applyBorder="1" applyAlignment="1">
      <alignment horizontal="center" vertical="center" shrinkToFit="1"/>
    </xf>
    <xf numFmtId="0" fontId="228" fillId="12" borderId="157" xfId="21" applyFont="1" applyFill="1" applyBorder="1" applyAlignment="1">
      <alignment horizontal="center" vertical="center" shrinkToFit="1"/>
    </xf>
    <xf numFmtId="0" fontId="228" fillId="12" borderId="20" xfId="21" applyFont="1" applyFill="1" applyBorder="1" applyAlignment="1">
      <alignment horizontal="center" vertical="center" shrinkToFit="1"/>
    </xf>
    <xf numFmtId="0" fontId="228" fillId="12" borderId="83" xfId="21" applyFont="1" applyFill="1" applyBorder="1" applyAlignment="1">
      <alignment horizontal="center" vertical="center" shrinkToFit="1"/>
    </xf>
    <xf numFmtId="0" fontId="229" fillId="12" borderId="88" xfId="21" applyFont="1" applyFill="1" applyBorder="1" applyAlignment="1">
      <alignment horizontal="center" vertical="center"/>
    </xf>
    <xf numFmtId="0" fontId="229" fillId="12" borderId="82" xfId="21" applyFont="1" applyFill="1" applyBorder="1" applyAlignment="1">
      <alignment horizontal="center" vertical="center"/>
    </xf>
    <xf numFmtId="0" fontId="229" fillId="2" borderId="347" xfId="21" applyFont="1" applyFill="1" applyBorder="1" applyAlignment="1" applyProtection="1">
      <alignment horizontal="center" vertical="center"/>
      <protection locked="0"/>
    </xf>
    <xf numFmtId="0" fontId="229" fillId="2" borderId="86" xfId="21" applyFont="1" applyFill="1" applyBorder="1" applyAlignment="1" applyProtection="1">
      <alignment horizontal="center" vertical="center" shrinkToFit="1"/>
      <protection locked="0"/>
    </xf>
    <xf numFmtId="0" fontId="229" fillId="2" borderId="89" xfId="21" applyFont="1" applyFill="1" applyBorder="1" applyAlignment="1" applyProtection="1">
      <alignment horizontal="center" vertical="center" shrinkToFit="1"/>
      <protection locked="0"/>
    </xf>
    <xf numFmtId="0" fontId="133" fillId="3" borderId="61" xfId="21" applyFont="1" applyFill="1" applyBorder="1" applyAlignment="1">
      <alignment horizontal="center" vertical="center"/>
    </xf>
    <xf numFmtId="0" fontId="133" fillId="3" borderId="10" xfId="21" applyFont="1" applyFill="1" applyBorder="1" applyAlignment="1">
      <alignment horizontal="center" vertical="center"/>
    </xf>
    <xf numFmtId="0" fontId="133" fillId="3" borderId="62" xfId="21" applyFont="1" applyFill="1" applyBorder="1" applyAlignment="1">
      <alignment horizontal="center" vertical="center"/>
    </xf>
    <xf numFmtId="0" fontId="229" fillId="12" borderId="87" xfId="21" applyFont="1" applyFill="1" applyBorder="1" applyAlignment="1">
      <alignment horizontal="center" vertical="center"/>
    </xf>
    <xf numFmtId="0" fontId="229" fillId="12" borderId="81" xfId="21" applyFont="1" applyFill="1" applyBorder="1" applyAlignment="1">
      <alignment horizontal="center" vertical="center"/>
    </xf>
    <xf numFmtId="49" fontId="171" fillId="2" borderId="18" xfId="21" applyNumberFormat="1" applyFont="1" applyFill="1" applyBorder="1" applyAlignment="1" applyProtection="1">
      <alignment horizontal="left" vertical="top" wrapText="1"/>
      <protection locked="0"/>
    </xf>
    <xf numFmtId="49" fontId="171" fillId="2" borderId="0" xfId="21" applyNumberFormat="1" applyFont="1" applyFill="1" applyBorder="1" applyAlignment="1" applyProtection="1">
      <alignment horizontal="left" vertical="top" wrapText="1"/>
      <protection locked="0"/>
    </xf>
    <xf numFmtId="49" fontId="171" fillId="2" borderId="19" xfId="21" applyNumberFormat="1" applyFont="1" applyFill="1" applyBorder="1" applyAlignment="1" applyProtection="1">
      <alignment horizontal="left" vertical="top" wrapText="1"/>
      <protection locked="0"/>
    </xf>
    <xf numFmtId="49" fontId="171" fillId="2" borderId="25" xfId="21" applyNumberFormat="1" applyFont="1" applyFill="1" applyBorder="1" applyAlignment="1" applyProtection="1">
      <alignment horizontal="left" vertical="top" wrapText="1"/>
      <protection locked="0"/>
    </xf>
    <xf numFmtId="49" fontId="171" fillId="2" borderId="1" xfId="21" applyNumberFormat="1" applyFont="1" applyFill="1" applyBorder="1" applyAlignment="1" applyProtection="1">
      <alignment horizontal="left" vertical="top" wrapText="1"/>
      <protection locked="0"/>
    </xf>
    <xf numFmtId="49" fontId="171" fillId="2" borderId="29" xfId="21" applyNumberFormat="1" applyFont="1" applyFill="1" applyBorder="1" applyAlignment="1" applyProtection="1">
      <alignment horizontal="left" vertical="top" wrapText="1"/>
      <protection locked="0"/>
    </xf>
    <xf numFmtId="49" fontId="171" fillId="2" borderId="86" xfId="21" applyNumberFormat="1" applyFont="1" applyFill="1" applyBorder="1" applyAlignment="1" applyProtection="1">
      <alignment horizontal="left" vertical="top" wrapText="1"/>
      <protection locked="0"/>
    </xf>
    <xf numFmtId="49" fontId="171" fillId="2" borderId="4" xfId="21" applyNumberFormat="1" applyFont="1" applyFill="1" applyBorder="1" applyAlignment="1" applyProtection="1">
      <alignment horizontal="left" vertical="top" wrapText="1"/>
      <protection locked="0"/>
    </xf>
    <xf numFmtId="49" fontId="171" fillId="2" borderId="30" xfId="21" applyNumberFormat="1" applyFont="1" applyFill="1" applyBorder="1" applyAlignment="1" applyProtection="1">
      <alignment horizontal="left" vertical="top" wrapText="1"/>
      <protection locked="0"/>
    </xf>
    <xf numFmtId="0" fontId="229" fillId="2" borderId="82" xfId="21" applyFont="1" applyFill="1" applyBorder="1" applyAlignment="1" applyProtection="1">
      <alignment horizontal="center" vertical="center"/>
      <protection locked="0"/>
    </xf>
    <xf numFmtId="0" fontId="229" fillId="2" borderId="21" xfId="21" applyFont="1" applyFill="1" applyBorder="1" applyAlignment="1" applyProtection="1">
      <alignment horizontal="center" vertical="center"/>
      <protection locked="0"/>
    </xf>
    <xf numFmtId="0" fontId="229" fillId="2" borderId="20" xfId="21" applyFont="1" applyFill="1" applyBorder="1" applyAlignment="1" applyProtection="1">
      <alignment horizontal="center" vertical="center" shrinkToFit="1"/>
      <protection locked="0"/>
    </xf>
    <xf numFmtId="0" fontId="229" fillId="2" borderId="83" xfId="21" applyFont="1" applyFill="1" applyBorder="1" applyAlignment="1" applyProtection="1">
      <alignment horizontal="center" vertical="center" shrinkToFit="1"/>
      <protection locked="0"/>
    </xf>
    <xf numFmtId="49" fontId="171" fillId="2" borderId="20" xfId="21" applyNumberFormat="1" applyFont="1" applyFill="1" applyBorder="1" applyAlignment="1" applyProtection="1">
      <alignment horizontal="left" vertical="top" wrapText="1"/>
      <protection locked="0"/>
    </xf>
    <xf numFmtId="49" fontId="171" fillId="2" borderId="11" xfId="21" applyNumberFormat="1" applyFont="1" applyFill="1" applyBorder="1" applyAlignment="1" applyProtection="1">
      <alignment horizontal="left" vertical="top" wrapText="1"/>
      <protection locked="0"/>
    </xf>
    <xf numFmtId="49" fontId="171" fillId="2" borderId="21" xfId="21" applyNumberFormat="1" applyFont="1" applyFill="1" applyBorder="1" applyAlignment="1" applyProtection="1">
      <alignment horizontal="left" vertical="top" wrapText="1"/>
      <protection locked="0"/>
    </xf>
    <xf numFmtId="0" fontId="133" fillId="4" borderId="170" xfId="21" applyFont="1" applyFill="1" applyBorder="1" applyAlignment="1">
      <alignment horizontal="center" vertical="center"/>
    </xf>
    <xf numFmtId="0" fontId="229" fillId="2" borderId="26" xfId="21" applyFont="1" applyFill="1" applyBorder="1" applyAlignment="1" applyProtection="1">
      <alignment horizontal="center" vertical="center"/>
      <protection locked="0"/>
    </xf>
    <xf numFmtId="0" fontId="229" fillId="2" borderId="170" xfId="21" applyNumberFormat="1" applyFont="1" applyFill="1" applyBorder="1" applyAlignment="1" applyProtection="1">
      <alignment horizontal="center" vertical="center"/>
      <protection locked="0"/>
    </xf>
    <xf numFmtId="0" fontId="229" fillId="2" borderId="340" xfId="21" applyFont="1" applyFill="1" applyBorder="1" applyAlignment="1" applyProtection="1">
      <alignment horizontal="center" vertical="center"/>
      <protection locked="0"/>
    </xf>
    <xf numFmtId="0" fontId="229" fillId="2" borderId="81" xfId="21" applyFont="1" applyFill="1" applyBorder="1" applyAlignment="1" applyProtection="1">
      <alignment horizontal="center" vertical="center"/>
      <protection locked="0"/>
    </xf>
    <xf numFmtId="0" fontId="229" fillId="2" borderId="61" xfId="0" applyFont="1" applyFill="1" applyBorder="1" applyAlignment="1" applyProtection="1">
      <alignment horizontal="center" vertical="center" shrinkToFit="1"/>
      <protection locked="0"/>
    </xf>
    <xf numFmtId="0" fontId="229" fillId="2" borderId="170" xfId="0" applyFont="1" applyFill="1" applyBorder="1" applyAlignment="1" applyProtection="1">
      <alignment horizontal="center" vertical="center" shrinkToFit="1"/>
      <protection locked="0"/>
    </xf>
    <xf numFmtId="49" fontId="171" fillId="2" borderId="20" xfId="21" applyNumberFormat="1" applyFont="1" applyFill="1" applyBorder="1" applyAlignment="1" applyProtection="1">
      <alignment horizontal="left" vertical="top" shrinkToFit="1"/>
      <protection locked="0"/>
    </xf>
    <xf numFmtId="49" fontId="171" fillId="2" borderId="11" xfId="21" applyNumberFormat="1" applyFont="1" applyFill="1" applyBorder="1" applyAlignment="1" applyProtection="1">
      <alignment horizontal="left" vertical="top" shrinkToFit="1"/>
      <protection locked="0"/>
    </xf>
    <xf numFmtId="49" fontId="171" fillId="2" borderId="21" xfId="21" applyNumberFormat="1" applyFont="1" applyFill="1" applyBorder="1" applyAlignment="1" applyProtection="1">
      <alignment horizontal="left" vertical="top" shrinkToFit="1"/>
      <protection locked="0"/>
    </xf>
    <xf numFmtId="0" fontId="258" fillId="45" borderId="348" xfId="21" applyFont="1" applyFill="1" applyBorder="1" applyAlignment="1">
      <alignment horizontal="center" vertical="center"/>
    </xf>
    <xf numFmtId="0" fontId="258" fillId="45" borderId="239" xfId="21" applyFont="1" applyFill="1" applyBorder="1" applyAlignment="1">
      <alignment horizontal="center" vertical="center"/>
    </xf>
    <xf numFmtId="0" fontId="36" fillId="0" borderId="15" xfId="21" applyFont="1" applyBorder="1" applyAlignment="1">
      <alignment horizontal="center" vertical="center"/>
    </xf>
    <xf numFmtId="0" fontId="36" fillId="0" borderId="43" xfId="21" applyFont="1" applyBorder="1" applyAlignment="1">
      <alignment horizontal="center" vertical="center"/>
    </xf>
    <xf numFmtId="0" fontId="36" fillId="0" borderId="18" xfId="21" applyFont="1" applyBorder="1" applyAlignment="1">
      <alignment horizontal="center" vertical="center"/>
    </xf>
    <xf numFmtId="0" fontId="36" fillId="0" borderId="7" xfId="21" applyFont="1" applyBorder="1" applyAlignment="1">
      <alignment horizontal="center" vertical="center"/>
    </xf>
    <xf numFmtId="0" fontId="36" fillId="0" borderId="20" xfId="21" applyFont="1" applyBorder="1" applyAlignment="1">
      <alignment horizontal="center" vertical="center"/>
    </xf>
    <xf numFmtId="0" fontId="36" fillId="0" borderId="26" xfId="21" applyFont="1" applyBorder="1" applyAlignment="1">
      <alignment horizontal="center" vertical="center"/>
    </xf>
    <xf numFmtId="0" fontId="229" fillId="12" borderId="15" xfId="21" applyFont="1" applyFill="1" applyBorder="1" applyAlignment="1">
      <alignment horizontal="center" vertical="center"/>
    </xf>
    <xf numFmtId="0" fontId="229" fillId="12" borderId="25" xfId="21" applyFont="1" applyFill="1" applyBorder="1" applyAlignment="1">
      <alignment horizontal="center" vertical="center"/>
    </xf>
    <xf numFmtId="0" fontId="229" fillId="12" borderId="18" xfId="21" applyFont="1" applyFill="1" applyBorder="1" applyAlignment="1">
      <alignment horizontal="center" vertical="center"/>
    </xf>
    <xf numFmtId="0" fontId="229" fillId="12" borderId="7" xfId="21" applyFont="1" applyFill="1" applyBorder="1" applyAlignment="1">
      <alignment horizontal="center" vertical="center"/>
    </xf>
    <xf numFmtId="0" fontId="229" fillId="12" borderId="20" xfId="21" applyFont="1" applyFill="1" applyBorder="1" applyAlignment="1">
      <alignment horizontal="center" vertical="center"/>
    </xf>
    <xf numFmtId="0" fontId="260" fillId="20" borderId="364" xfId="0" applyFont="1" applyFill="1" applyBorder="1" applyAlignment="1">
      <alignment horizontal="center" vertical="center"/>
    </xf>
    <xf numFmtId="0" fontId="260" fillId="20" borderId="365" xfId="0" applyFont="1" applyFill="1" applyBorder="1" applyAlignment="1">
      <alignment horizontal="center" vertical="center"/>
    </xf>
    <xf numFmtId="0" fontId="262" fillId="49" borderId="354" xfId="21" applyFont="1" applyFill="1" applyBorder="1" applyAlignment="1">
      <alignment horizontal="center" vertical="center"/>
    </xf>
    <xf numFmtId="0" fontId="262" fillId="49" borderId="361" xfId="21" applyFont="1" applyFill="1" applyBorder="1" applyAlignment="1">
      <alignment horizontal="center" vertical="center"/>
    </xf>
    <xf numFmtId="0" fontId="176" fillId="0" borderId="363" xfId="0" applyFont="1" applyFill="1" applyBorder="1" applyAlignment="1">
      <alignment horizontal="center" vertical="center"/>
    </xf>
    <xf numFmtId="0" fontId="176" fillId="0" borderId="362" xfId="0" applyFont="1" applyFill="1" applyBorder="1" applyAlignment="1">
      <alignment horizontal="center" vertical="center"/>
    </xf>
    <xf numFmtId="0" fontId="176" fillId="0" borderId="355" xfId="0" applyFont="1" applyFill="1" applyBorder="1" applyAlignment="1">
      <alignment horizontal="center" vertical="center"/>
    </xf>
    <xf numFmtId="0" fontId="176" fillId="0" borderId="356" xfId="0" applyFont="1" applyFill="1" applyBorder="1" applyAlignment="1">
      <alignment horizontal="center" vertical="center"/>
    </xf>
    <xf numFmtId="176" fontId="304" fillId="0" borderId="34" xfId="0" applyNumberFormat="1" applyFont="1" applyFill="1" applyBorder="1" applyAlignment="1">
      <alignment horizontal="center"/>
    </xf>
    <xf numFmtId="176" fontId="304" fillId="0" borderId="36" xfId="0" applyNumberFormat="1" applyFont="1" applyFill="1" applyBorder="1" applyAlignment="1">
      <alignment horizontal="center"/>
    </xf>
    <xf numFmtId="176" fontId="304" fillId="0" borderId="376" xfId="0" applyNumberFormat="1" applyFont="1" applyFill="1" applyBorder="1" applyAlignment="1">
      <alignment horizontal="center"/>
    </xf>
    <xf numFmtId="176" fontId="304" fillId="0" borderId="105" xfId="0" applyNumberFormat="1" applyFont="1" applyFill="1" applyBorder="1" applyAlignment="1">
      <alignment horizontal="center"/>
    </xf>
    <xf numFmtId="0" fontId="261" fillId="37" borderId="364" xfId="0" applyFont="1" applyFill="1" applyBorder="1" applyAlignment="1">
      <alignment horizontal="center" vertical="center"/>
    </xf>
    <xf numFmtId="0" fontId="261" fillId="37" borderId="363" xfId="0" applyFont="1" applyFill="1" applyBorder="1" applyAlignment="1">
      <alignment horizontal="center" vertical="center"/>
    </xf>
    <xf numFmtId="0" fontId="261" fillId="37" borderId="365" xfId="0" applyFont="1" applyFill="1" applyBorder="1" applyAlignment="1">
      <alignment horizontal="center" vertical="center"/>
    </xf>
    <xf numFmtId="0" fontId="262" fillId="49" borderId="354" xfId="0" applyFont="1" applyFill="1" applyBorder="1" applyAlignment="1">
      <alignment horizontal="center" vertical="center"/>
    </xf>
    <xf numFmtId="0" fontId="262" fillId="49" borderId="355" xfId="0" applyFont="1" applyFill="1" applyBorder="1" applyAlignment="1">
      <alignment horizontal="center" vertical="center"/>
    </xf>
    <xf numFmtId="0" fontId="262" fillId="49" borderId="361" xfId="0" applyFont="1" applyFill="1" applyBorder="1" applyAlignment="1">
      <alignment horizontal="center" vertical="center"/>
    </xf>
    <xf numFmtId="0" fontId="188" fillId="0" borderId="329" xfId="0" applyFont="1" applyFill="1" applyBorder="1" applyAlignment="1">
      <alignment horizontal="center" vertical="center" wrapText="1"/>
    </xf>
    <xf numFmtId="0" fontId="188" fillId="0" borderId="330" xfId="0" applyFont="1" applyFill="1" applyBorder="1" applyAlignment="1">
      <alignment horizontal="center" vertical="center" wrapText="1"/>
    </xf>
    <xf numFmtId="0" fontId="172" fillId="0" borderId="48" xfId="21" applyFont="1" applyFill="1" applyBorder="1" applyAlignment="1">
      <alignment horizontal="right" vertical="center"/>
    </xf>
    <xf numFmtId="0" fontId="172" fillId="0" borderId="16" xfId="21" applyFont="1" applyFill="1" applyBorder="1" applyAlignment="1">
      <alignment horizontal="right" vertical="center"/>
    </xf>
    <xf numFmtId="0" fontId="172" fillId="0" borderId="27" xfId="21" applyFont="1" applyFill="1" applyBorder="1" applyAlignment="1">
      <alignment horizontal="right" vertical="center"/>
    </xf>
    <xf numFmtId="0" fontId="172" fillId="0" borderId="11" xfId="21" applyFont="1" applyFill="1" applyBorder="1" applyAlignment="1">
      <alignment horizontal="right" vertical="center"/>
    </xf>
    <xf numFmtId="0" fontId="143" fillId="0" borderId="343" xfId="21" applyFont="1" applyFill="1" applyBorder="1" applyAlignment="1">
      <alignment horizontal="center" vertical="center"/>
    </xf>
    <xf numFmtId="0" fontId="143" fillId="0" borderId="344" xfId="21" applyFont="1" applyFill="1" applyBorder="1" applyAlignment="1">
      <alignment horizontal="center" vertical="center"/>
    </xf>
    <xf numFmtId="0" fontId="143" fillId="0" borderId="331" xfId="21" applyFont="1" applyFill="1" applyBorder="1" applyAlignment="1">
      <alignment horizontal="right" vertical="center"/>
    </xf>
    <xf numFmtId="0" fontId="143" fillId="0" borderId="332" xfId="21" applyFont="1" applyFill="1" applyBorder="1" applyAlignment="1">
      <alignment horizontal="right" vertical="center"/>
    </xf>
    <xf numFmtId="0" fontId="143" fillId="0" borderId="334" xfId="21" applyFont="1" applyFill="1" applyBorder="1" applyAlignment="1">
      <alignment horizontal="right" vertical="center"/>
    </xf>
    <xf numFmtId="0" fontId="143" fillId="0" borderId="164" xfId="21" applyFont="1" applyFill="1" applyBorder="1" applyAlignment="1">
      <alignment horizontal="right" vertical="center"/>
    </xf>
    <xf numFmtId="0" fontId="236" fillId="19" borderId="332" xfId="21" applyFont="1" applyFill="1" applyBorder="1" applyAlignment="1" applyProtection="1">
      <alignment horizontal="center" vertical="center"/>
      <protection locked="0"/>
    </xf>
    <xf numFmtId="0" fontId="236" fillId="19" borderId="164" xfId="21" applyFont="1" applyFill="1" applyBorder="1" applyAlignment="1" applyProtection="1">
      <alignment horizontal="center" vertical="center"/>
      <protection locked="0"/>
    </xf>
    <xf numFmtId="0" fontId="143" fillId="0" borderId="333" xfId="21" applyFont="1" applyFill="1" applyBorder="1" applyAlignment="1">
      <alignment horizontal="left" vertical="center"/>
    </xf>
    <xf numFmtId="0" fontId="143" fillId="0" borderId="335" xfId="21" applyFont="1" applyFill="1" applyBorder="1" applyAlignment="1">
      <alignment horizontal="left" vertical="center"/>
    </xf>
    <xf numFmtId="0" fontId="254" fillId="0" borderId="0" xfId="21" applyFont="1" applyBorder="1" applyAlignment="1">
      <alignment horizontal="left" vertical="center"/>
    </xf>
    <xf numFmtId="0" fontId="254" fillId="0" borderId="11" xfId="21" applyFont="1" applyBorder="1" applyAlignment="1">
      <alignment horizontal="left" vertical="center"/>
    </xf>
    <xf numFmtId="0" fontId="276" fillId="53" borderId="336" xfId="21" applyFont="1" applyFill="1" applyBorder="1" applyAlignment="1">
      <alignment horizontal="center" vertical="center" wrapText="1"/>
    </xf>
    <xf numFmtId="0" fontId="276" fillId="53" borderId="0" xfId="21" applyFont="1" applyFill="1" applyAlignment="1">
      <alignment horizontal="center" vertical="center" wrapText="1"/>
    </xf>
    <xf numFmtId="0" fontId="307" fillId="0" borderId="0" xfId="21" applyFont="1" applyAlignment="1">
      <alignment horizontal="center" vertical="center"/>
    </xf>
    <xf numFmtId="0" fontId="308" fillId="0" borderId="0" xfId="21" applyFont="1" applyBorder="1" applyAlignment="1">
      <alignment horizontal="center" vertical="center"/>
    </xf>
    <xf numFmtId="176" fontId="112" fillId="2" borderId="0" xfId="21" applyNumberFormat="1" applyFont="1" applyFill="1" applyBorder="1" applyAlignment="1" applyProtection="1">
      <alignment horizontal="left" vertical="center" wrapText="1"/>
      <protection locked="0"/>
    </xf>
    <xf numFmtId="176" fontId="112" fillId="2" borderId="7" xfId="21" applyNumberFormat="1" applyFont="1" applyFill="1" applyBorder="1" applyAlignment="1" applyProtection="1">
      <alignment horizontal="left" vertical="center" wrapText="1"/>
      <protection locked="0"/>
    </xf>
    <xf numFmtId="176" fontId="112" fillId="2" borderId="1" xfId="21" applyNumberFormat="1" applyFont="1" applyFill="1" applyBorder="1" applyAlignment="1" applyProtection="1">
      <alignment horizontal="left" vertical="center" wrapText="1"/>
      <protection locked="0"/>
    </xf>
    <xf numFmtId="176" fontId="112" fillId="2" borderId="9" xfId="21" applyNumberFormat="1" applyFont="1" applyFill="1" applyBorder="1" applyAlignment="1" applyProtection="1">
      <alignment horizontal="left" vertical="center" wrapText="1"/>
      <protection locked="0"/>
    </xf>
    <xf numFmtId="176" fontId="112" fillId="0" borderId="6" xfId="21" applyNumberFormat="1" applyFont="1" applyBorder="1" applyAlignment="1">
      <alignment horizontal="right" vertical="center" wrapText="1"/>
    </xf>
    <xf numFmtId="176" fontId="112" fillId="0" borderId="0" xfId="21" applyNumberFormat="1" applyFont="1" applyBorder="1" applyAlignment="1">
      <alignment horizontal="right" vertical="center" wrapText="1"/>
    </xf>
    <xf numFmtId="176" fontId="112" fillId="0" borderId="8" xfId="21" applyNumberFormat="1" applyFont="1" applyBorder="1" applyAlignment="1">
      <alignment horizontal="right" vertical="center" wrapText="1"/>
    </xf>
    <xf numFmtId="176" fontId="112" fillId="0" borderId="1" xfId="21" applyNumberFormat="1" applyFont="1" applyBorder="1" applyAlignment="1">
      <alignment horizontal="right" vertical="center" wrapText="1"/>
    </xf>
    <xf numFmtId="176" fontId="112" fillId="0" borderId="0" xfId="21" applyNumberFormat="1" applyFont="1" applyBorder="1" applyAlignment="1">
      <alignment horizontal="center" vertical="center" wrapText="1"/>
    </xf>
    <xf numFmtId="176" fontId="112" fillId="0" borderId="1" xfId="21" applyNumberFormat="1" applyFont="1" applyBorder="1" applyAlignment="1">
      <alignment horizontal="center" vertical="center" wrapText="1"/>
    </xf>
    <xf numFmtId="176" fontId="112" fillId="0" borderId="0" xfId="21" applyNumberFormat="1" applyFont="1" applyBorder="1" applyAlignment="1">
      <alignment horizontal="left" vertical="center" wrapText="1"/>
    </xf>
    <xf numFmtId="176" fontId="112" fillId="0" borderId="7" xfId="21" applyNumberFormat="1" applyFont="1" applyBorder="1" applyAlignment="1">
      <alignment horizontal="left" vertical="center" wrapText="1"/>
    </xf>
    <xf numFmtId="176" fontId="112" fillId="0" borderId="1" xfId="21" applyNumberFormat="1" applyFont="1" applyBorder="1" applyAlignment="1">
      <alignment horizontal="left" vertical="center" wrapText="1"/>
    </xf>
    <xf numFmtId="176" fontId="112" fillId="0" borderId="9" xfId="21" applyNumberFormat="1" applyFont="1" applyBorder="1" applyAlignment="1">
      <alignment horizontal="left" vertical="center" wrapText="1"/>
    </xf>
    <xf numFmtId="176" fontId="112" fillId="0" borderId="7" xfId="21" applyNumberFormat="1" applyFont="1" applyBorder="1" applyAlignment="1">
      <alignment horizontal="center" vertical="center" wrapText="1"/>
    </xf>
    <xf numFmtId="176" fontId="112" fillId="0" borderId="9" xfId="21" applyNumberFormat="1" applyFont="1" applyBorder="1" applyAlignment="1">
      <alignment horizontal="center" vertical="center" wrapText="1"/>
    </xf>
    <xf numFmtId="176" fontId="112" fillId="0" borderId="6" xfId="21" applyNumberFormat="1" applyFont="1" applyBorder="1" applyAlignment="1" applyProtection="1">
      <alignment horizontal="right" vertical="center" wrapText="1"/>
    </xf>
    <xf numFmtId="176" fontId="112" fillId="0" borderId="0" xfId="21" applyNumberFormat="1" applyFont="1" applyBorder="1" applyAlignment="1" applyProtection="1">
      <alignment horizontal="right" vertical="center" wrapText="1"/>
    </xf>
    <xf numFmtId="176" fontId="112" fillId="0" borderId="8" xfId="21" applyNumberFormat="1" applyFont="1" applyBorder="1" applyAlignment="1" applyProtection="1">
      <alignment horizontal="right" vertical="center" wrapText="1"/>
    </xf>
    <xf numFmtId="176" fontId="112" fillId="0" borderId="1" xfId="21" applyNumberFormat="1" applyFont="1" applyBorder="1" applyAlignment="1" applyProtection="1">
      <alignment horizontal="right" vertical="center" wrapText="1"/>
    </xf>
    <xf numFmtId="176" fontId="112" fillId="0" borderId="0" xfId="21" applyNumberFormat="1" applyFont="1" applyBorder="1" applyAlignment="1" applyProtection="1">
      <alignment horizontal="center" vertical="center" wrapText="1"/>
    </xf>
    <xf numFmtId="176" fontId="112" fillId="0" borderId="1" xfId="21" applyNumberFormat="1" applyFont="1" applyBorder="1" applyAlignment="1" applyProtection="1">
      <alignment horizontal="center" vertical="center" wrapText="1"/>
    </xf>
    <xf numFmtId="176" fontId="112" fillId="0" borderId="0" xfId="21" applyNumberFormat="1" applyFont="1" applyBorder="1" applyAlignment="1" applyProtection="1">
      <alignment horizontal="left" vertical="center" wrapText="1"/>
    </xf>
    <xf numFmtId="176" fontId="112" fillId="0" borderId="7" xfId="21" applyNumberFormat="1" applyFont="1" applyBorder="1" applyAlignment="1" applyProtection="1">
      <alignment horizontal="left" vertical="center" wrapText="1"/>
    </xf>
    <xf numFmtId="176" fontId="112" fillId="0" borderId="1" xfId="21" applyNumberFormat="1" applyFont="1" applyBorder="1" applyAlignment="1" applyProtection="1">
      <alignment horizontal="left" vertical="center" wrapText="1"/>
    </xf>
    <xf numFmtId="176" fontId="112" fillId="0" borderId="9" xfId="21" applyNumberFormat="1" applyFont="1" applyBorder="1" applyAlignment="1" applyProtection="1">
      <alignment horizontal="left" vertical="center" wrapText="1"/>
    </xf>
    <xf numFmtId="176" fontId="112" fillId="2" borderId="6" xfId="21" applyNumberFormat="1" applyFont="1" applyFill="1" applyBorder="1" applyAlignment="1" applyProtection="1">
      <alignment horizontal="right" vertical="center" wrapText="1"/>
      <protection locked="0"/>
    </xf>
    <xf numFmtId="176" fontId="112" fillId="2" borderId="0" xfId="21" applyNumberFormat="1" applyFont="1" applyFill="1" applyBorder="1" applyAlignment="1" applyProtection="1">
      <alignment horizontal="right" vertical="center" wrapText="1"/>
      <protection locked="0"/>
    </xf>
    <xf numFmtId="176" fontId="112" fillId="2" borderId="8" xfId="21" applyNumberFormat="1" applyFont="1" applyFill="1" applyBorder="1" applyAlignment="1" applyProtection="1">
      <alignment horizontal="right" vertical="center" wrapText="1"/>
      <protection locked="0"/>
    </xf>
    <xf numFmtId="176" fontId="112" fillId="2" borderId="1" xfId="21" applyNumberFormat="1" applyFont="1" applyFill="1" applyBorder="1" applyAlignment="1" applyProtection="1">
      <alignment horizontal="right" vertical="center" wrapText="1"/>
      <protection locked="0"/>
    </xf>
    <xf numFmtId="176" fontId="112" fillId="2" borderId="0" xfId="21" applyNumberFormat="1" applyFont="1" applyFill="1" applyBorder="1" applyAlignment="1" applyProtection="1">
      <alignment horizontal="center" vertical="center" wrapText="1"/>
      <protection locked="0"/>
    </xf>
    <xf numFmtId="176" fontId="112" fillId="2" borderId="1" xfId="21" applyNumberFormat="1" applyFont="1" applyFill="1" applyBorder="1" applyAlignment="1" applyProtection="1">
      <alignment horizontal="center" vertical="center" wrapText="1"/>
      <protection locked="0"/>
    </xf>
    <xf numFmtId="0" fontId="80" fillId="0" borderId="0" xfId="21" applyFill="1" applyBorder="1" applyAlignment="1" applyProtection="1">
      <alignment vertical="center"/>
      <protection locked="0"/>
    </xf>
    <xf numFmtId="0" fontId="80" fillId="0" borderId="1" xfId="21" applyFill="1" applyBorder="1" applyAlignment="1" applyProtection="1">
      <alignment vertical="center"/>
      <protection locked="0"/>
    </xf>
    <xf numFmtId="176" fontId="115" fillId="0" borderId="6" xfId="21" applyNumberFormat="1" applyFont="1" applyBorder="1" applyAlignment="1">
      <alignment horizontal="center" vertical="center" wrapText="1"/>
    </xf>
    <xf numFmtId="176" fontId="115" fillId="0" borderId="0" xfId="21" applyNumberFormat="1" applyFont="1" applyBorder="1" applyAlignment="1">
      <alignment horizontal="center" vertical="center" wrapText="1"/>
    </xf>
    <xf numFmtId="176" fontId="115" fillId="0" borderId="8" xfId="21" applyNumberFormat="1" applyFont="1" applyBorder="1" applyAlignment="1">
      <alignment horizontal="center" vertical="center" wrapText="1"/>
    </xf>
    <xf numFmtId="176" fontId="115" fillId="0" borderId="1" xfId="21" applyNumberFormat="1" applyFont="1" applyBorder="1" applyAlignment="1">
      <alignment horizontal="center" vertical="center" wrapText="1"/>
    </xf>
    <xf numFmtId="0" fontId="107" fillId="0" borderId="12" xfId="21" applyFont="1" applyBorder="1" applyAlignment="1">
      <alignment horizontal="center" vertical="center" wrapText="1"/>
    </xf>
    <xf numFmtId="0" fontId="107" fillId="0" borderId="14" xfId="21" applyFont="1" applyBorder="1" applyAlignment="1">
      <alignment horizontal="center" vertical="center" wrapText="1"/>
    </xf>
    <xf numFmtId="0" fontId="107" fillId="0" borderId="3" xfId="21" applyFont="1" applyBorder="1" applyAlignment="1">
      <alignment horizontal="center" vertical="center"/>
    </xf>
    <xf numFmtId="0" fontId="107" fillId="0" borderId="5" xfId="21" applyFont="1" applyBorder="1" applyAlignment="1">
      <alignment horizontal="center" vertical="center"/>
    </xf>
    <xf numFmtId="0" fontId="107" fillId="0" borderId="8" xfId="21" applyFont="1" applyBorder="1" applyAlignment="1">
      <alignment horizontal="center" vertical="center"/>
    </xf>
    <xf numFmtId="0" fontId="107" fillId="0" borderId="9" xfId="21" applyFont="1" applyBorder="1" applyAlignment="1">
      <alignment horizontal="center" vertical="center"/>
    </xf>
    <xf numFmtId="0" fontId="80" fillId="0" borderId="6" xfId="21" applyFont="1" applyBorder="1" applyAlignment="1">
      <alignment horizontal="left"/>
    </xf>
    <xf numFmtId="0" fontId="80" fillId="0" borderId="0" xfId="21" applyFont="1" applyBorder="1" applyAlignment="1">
      <alignment horizontal="left"/>
    </xf>
    <xf numFmtId="0" fontId="80" fillId="0" borderId="7" xfId="21" applyFont="1" applyBorder="1" applyAlignment="1">
      <alignment horizontal="left"/>
    </xf>
    <xf numFmtId="0" fontId="279" fillId="0" borderId="6" xfId="21" applyFont="1" applyBorder="1" applyAlignment="1">
      <alignment horizontal="left" vertical="center" wrapText="1"/>
    </xf>
    <xf numFmtId="0" fontId="279" fillId="0" borderId="0" xfId="21" applyFont="1" applyBorder="1" applyAlignment="1">
      <alignment horizontal="left" vertical="center" wrapText="1"/>
    </xf>
    <xf numFmtId="0" fontId="279" fillId="0" borderId="7" xfId="21" applyFont="1" applyBorder="1" applyAlignment="1">
      <alignment horizontal="left" vertical="center" wrapText="1"/>
    </xf>
    <xf numFmtId="0" fontId="279" fillId="0" borderId="8" xfId="21" applyFont="1" applyBorder="1" applyAlignment="1">
      <alignment horizontal="left" vertical="center" wrapText="1"/>
    </xf>
    <xf numFmtId="0" fontId="279" fillId="0" borderId="1" xfId="21" applyFont="1" applyBorder="1" applyAlignment="1">
      <alignment horizontal="left" vertical="center" wrapText="1"/>
    </xf>
    <xf numFmtId="0" fontId="279" fillId="0" borderId="9" xfId="21" applyFont="1" applyBorder="1" applyAlignment="1">
      <alignment horizontal="left" vertical="center" wrapText="1"/>
    </xf>
    <xf numFmtId="176" fontId="72" fillId="0" borderId="13" xfId="21" applyNumberFormat="1" applyFont="1" applyBorder="1" applyAlignment="1">
      <alignment horizontal="center" vertical="center"/>
    </xf>
    <xf numFmtId="176" fontId="72" fillId="0" borderId="13" xfId="21" applyNumberFormat="1" applyFont="1" applyBorder="1" applyAlignment="1">
      <alignment horizontal="left" vertical="center"/>
    </xf>
    <xf numFmtId="176" fontId="72" fillId="0" borderId="14" xfId="21" applyNumberFormat="1" applyFont="1" applyBorder="1" applyAlignment="1">
      <alignment horizontal="left" vertical="center"/>
    </xf>
    <xf numFmtId="0" fontId="107" fillId="0" borderId="4" xfId="21" applyFont="1" applyBorder="1" applyAlignment="1">
      <alignment horizontal="center" vertical="center" wrapText="1"/>
    </xf>
    <xf numFmtId="0" fontId="107" fillId="0" borderId="4" xfId="21" applyFont="1" applyBorder="1" applyAlignment="1">
      <alignment horizontal="center" vertical="center"/>
    </xf>
    <xf numFmtId="0" fontId="107" fillId="0" borderId="0" xfId="21" applyFont="1" applyAlignment="1">
      <alignment horizontal="center" vertical="center"/>
    </xf>
    <xf numFmtId="176" fontId="72" fillId="0" borderId="0" xfId="21" applyNumberFormat="1" applyFont="1" applyBorder="1" applyAlignment="1">
      <alignment horizontal="center" vertical="center" wrapText="1"/>
    </xf>
    <xf numFmtId="176" fontId="72" fillId="0" borderId="1" xfId="21" applyNumberFormat="1" applyFont="1" applyBorder="1" applyAlignment="1">
      <alignment horizontal="center" vertical="center" wrapText="1"/>
    </xf>
    <xf numFmtId="176" fontId="115" fillId="0" borderId="0" xfId="21" applyNumberFormat="1" applyFont="1" applyBorder="1" applyAlignment="1">
      <alignment horizontal="left" vertical="center" wrapText="1"/>
    </xf>
    <xf numFmtId="176" fontId="115" fillId="0" borderId="7" xfId="21" applyNumberFormat="1" applyFont="1" applyBorder="1" applyAlignment="1">
      <alignment horizontal="left" vertical="center" wrapText="1"/>
    </xf>
    <xf numFmtId="176" fontId="115" fillId="0" borderId="1" xfId="21" applyNumberFormat="1" applyFont="1" applyBorder="1" applyAlignment="1">
      <alignment horizontal="left" vertical="center" wrapText="1"/>
    </xf>
    <xf numFmtId="176" fontId="115" fillId="0" borderId="9" xfId="21" applyNumberFormat="1" applyFont="1" applyBorder="1" applyAlignment="1">
      <alignment horizontal="left" vertical="center" wrapText="1"/>
    </xf>
    <xf numFmtId="0" fontId="35" fillId="0" borderId="3" xfId="0" applyFont="1" applyFill="1" applyBorder="1" applyAlignment="1" applyProtection="1">
      <alignment horizontal="center" vertical="center"/>
    </xf>
    <xf numFmtId="0" fontId="35" fillId="0" borderId="5" xfId="0" applyFont="1" applyFill="1" applyBorder="1" applyAlignment="1" applyProtection="1">
      <alignment horizontal="center" vertical="center"/>
    </xf>
    <xf numFmtId="0" fontId="35" fillId="0" borderId="8" xfId="0" applyFont="1" applyFill="1" applyBorder="1" applyAlignment="1" applyProtection="1">
      <alignment horizontal="center" vertical="center"/>
    </xf>
    <xf numFmtId="0" fontId="35" fillId="0" borderId="9" xfId="0" applyFont="1" applyFill="1" applyBorder="1" applyAlignment="1" applyProtection="1">
      <alignment horizontal="center" vertical="center"/>
    </xf>
    <xf numFmtId="0" fontId="107" fillId="0" borderId="133" xfId="21" applyFont="1" applyBorder="1" applyAlignment="1" applyProtection="1">
      <alignment horizontal="center" vertical="center"/>
    </xf>
    <xf numFmtId="0" fontId="107" fillId="0" borderId="134" xfId="21" applyFont="1" applyBorder="1" applyAlignment="1" applyProtection="1">
      <alignment horizontal="center" vertical="center"/>
    </xf>
    <xf numFmtId="0" fontId="35" fillId="0" borderId="61"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107" fillId="0" borderId="12" xfId="21" applyFont="1" applyBorder="1" applyAlignment="1">
      <alignment horizontal="center" vertical="center"/>
    </xf>
    <xf numFmtId="0" fontId="107" fillId="0" borderId="14" xfId="21" applyFont="1" applyBorder="1" applyAlignment="1">
      <alignment horizontal="center" vertical="center"/>
    </xf>
    <xf numFmtId="0" fontId="35" fillId="0" borderId="12"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176" fontId="72" fillId="0" borderId="3" xfId="21" applyNumberFormat="1" applyFont="1" applyBorder="1" applyAlignment="1">
      <alignment horizontal="center" vertical="center" wrapText="1"/>
    </xf>
    <xf numFmtId="176" fontId="72" fillId="0" borderId="4" xfId="21" applyNumberFormat="1" applyFont="1" applyBorder="1" applyAlignment="1">
      <alignment horizontal="center" vertical="center" wrapText="1"/>
    </xf>
    <xf numFmtId="176" fontId="72" fillId="0" borderId="6" xfId="21" applyNumberFormat="1" applyFont="1" applyBorder="1" applyAlignment="1">
      <alignment horizontal="center" vertical="center" wrapText="1"/>
    </xf>
    <xf numFmtId="176" fontId="72" fillId="0" borderId="4" xfId="21" applyNumberFormat="1" applyFont="1" applyBorder="1" applyAlignment="1">
      <alignment horizontal="left" vertical="center" wrapText="1"/>
    </xf>
    <xf numFmtId="176" fontId="72" fillId="0" borderId="5" xfId="21" applyNumberFormat="1" applyFont="1" applyBorder="1" applyAlignment="1">
      <alignment horizontal="left" vertical="center" wrapText="1"/>
    </xf>
    <xf numFmtId="176" fontId="72" fillId="0" borderId="0" xfId="21" applyNumberFormat="1" applyFont="1" applyBorder="1" applyAlignment="1">
      <alignment horizontal="left" vertical="center" wrapText="1"/>
    </xf>
    <xf numFmtId="176" fontId="72" fillId="0" borderId="7" xfId="21" applyNumberFormat="1" applyFont="1" applyBorder="1" applyAlignment="1">
      <alignment horizontal="left" vertical="center" wrapText="1"/>
    </xf>
    <xf numFmtId="0" fontId="113" fillId="0" borderId="1" xfId="21" applyFont="1" applyBorder="1" applyAlignment="1">
      <alignment horizontal="center"/>
    </xf>
    <xf numFmtId="0" fontId="80" fillId="0" borderId="6" xfId="21" applyFill="1" applyBorder="1" applyAlignment="1" applyProtection="1">
      <alignment vertical="center"/>
      <protection locked="0"/>
    </xf>
    <xf numFmtId="0" fontId="80" fillId="0" borderId="8" xfId="21" applyFill="1" applyBorder="1" applyAlignment="1" applyProtection="1">
      <alignment vertical="center"/>
      <protection locked="0"/>
    </xf>
    <xf numFmtId="0" fontId="37" fillId="0" borderId="370" xfId="0" applyFont="1" applyFill="1" applyBorder="1" applyAlignment="1" applyProtection="1">
      <alignment horizontal="center" vertical="center"/>
    </xf>
    <xf numFmtId="0" fontId="37" fillId="0" borderId="371" xfId="0" applyFont="1" applyFill="1" applyBorder="1" applyAlignment="1" applyProtection="1">
      <alignment horizontal="center" vertical="center"/>
    </xf>
    <xf numFmtId="0" fontId="37" fillId="0" borderId="372" xfId="0" applyFont="1" applyFill="1" applyBorder="1" applyAlignment="1" applyProtection="1">
      <alignment horizontal="center" vertical="center"/>
    </xf>
    <xf numFmtId="0" fontId="119" fillId="0" borderId="4" xfId="21" applyFont="1" applyFill="1" applyBorder="1" applyAlignment="1">
      <alignment horizontal="center" vertical="center" wrapText="1"/>
    </xf>
    <xf numFmtId="0" fontId="119" fillId="0" borderId="5" xfId="21" applyFont="1" applyFill="1" applyBorder="1" applyAlignment="1">
      <alignment horizontal="center" vertical="center" wrapText="1"/>
    </xf>
    <xf numFmtId="0" fontId="119" fillId="0" borderId="0" xfId="21" applyFont="1" applyFill="1" applyBorder="1" applyAlignment="1">
      <alignment horizontal="center" vertical="center" wrapText="1"/>
    </xf>
    <xf numFmtId="0" fontId="119" fillId="0" borderId="7" xfId="21" applyFont="1" applyFill="1" applyBorder="1" applyAlignment="1">
      <alignment horizontal="center" vertical="center" wrapText="1"/>
    </xf>
    <xf numFmtId="0" fontId="119" fillId="0" borderId="1" xfId="21" applyFont="1" applyFill="1" applyBorder="1" applyAlignment="1">
      <alignment horizontal="center" vertical="center" wrapText="1"/>
    </xf>
    <xf numFmtId="0" fontId="119" fillId="0" borderId="9" xfId="21" applyFont="1" applyFill="1" applyBorder="1" applyAlignment="1">
      <alignment horizontal="center" vertical="center" wrapText="1"/>
    </xf>
    <xf numFmtId="0" fontId="80" fillId="0" borderId="0" xfId="21" applyFill="1" applyBorder="1" applyAlignment="1" applyProtection="1">
      <alignment vertical="center"/>
    </xf>
    <xf numFmtId="0" fontId="80" fillId="0" borderId="1" xfId="21" applyFill="1" applyBorder="1" applyAlignment="1" applyProtection="1">
      <alignment vertical="center"/>
    </xf>
    <xf numFmtId="0" fontId="80" fillId="0" borderId="132" xfId="21" applyFill="1" applyBorder="1" applyAlignment="1" applyProtection="1">
      <alignment vertical="center"/>
      <protection locked="0"/>
    </xf>
    <xf numFmtId="0" fontId="80" fillId="0" borderId="140" xfId="21" applyFill="1" applyBorder="1" applyAlignment="1" applyProtection="1">
      <alignment vertical="center"/>
      <protection locked="0"/>
    </xf>
    <xf numFmtId="0" fontId="80" fillId="0" borderId="114" xfId="21" applyFill="1" applyBorder="1" applyAlignment="1" applyProtection="1">
      <alignment vertical="center"/>
      <protection locked="0"/>
    </xf>
    <xf numFmtId="0" fontId="80" fillId="0" borderId="106" xfId="21" applyFill="1" applyBorder="1" applyAlignment="1" applyProtection="1">
      <alignment vertical="center"/>
      <protection locked="0"/>
    </xf>
    <xf numFmtId="0" fontId="80" fillId="0" borderId="7" xfId="21" applyFill="1" applyBorder="1" applyAlignment="1" applyProtection="1">
      <alignment vertical="center"/>
    </xf>
    <xf numFmtId="0" fontId="80" fillId="0" borderId="9" xfId="21" applyFill="1" applyBorder="1" applyAlignment="1" applyProtection="1">
      <alignment vertical="center"/>
    </xf>
    <xf numFmtId="0" fontId="105" fillId="0" borderId="12" xfId="21" applyFont="1" applyBorder="1" applyAlignment="1">
      <alignment horizontal="distributed" vertical="center" shrinkToFit="1"/>
    </xf>
    <xf numFmtId="0" fontId="105" fillId="0" borderId="14" xfId="21" applyFont="1" applyBorder="1" applyAlignment="1">
      <alignment horizontal="distributed" vertical="center" shrinkToFit="1"/>
    </xf>
    <xf numFmtId="0" fontId="106" fillId="0" borderId="0" xfId="21" applyFont="1" applyBorder="1" applyAlignment="1">
      <alignment horizontal="left" vertical="top" wrapText="1"/>
    </xf>
    <xf numFmtId="0" fontId="106" fillId="0" borderId="7" xfId="21" applyFont="1" applyBorder="1" applyAlignment="1">
      <alignment horizontal="left" vertical="top" wrapText="1"/>
    </xf>
    <xf numFmtId="0" fontId="106" fillId="0" borderId="1" xfId="21" applyFont="1" applyBorder="1" applyAlignment="1">
      <alignment horizontal="left" vertical="top" wrapText="1"/>
    </xf>
    <xf numFmtId="0" fontId="106" fillId="0" borderId="9" xfId="21" applyFont="1" applyBorder="1" applyAlignment="1">
      <alignment horizontal="left" vertical="top" wrapText="1"/>
    </xf>
    <xf numFmtId="0" fontId="80" fillId="0" borderId="3" xfId="21" applyFont="1" applyBorder="1" applyAlignment="1">
      <alignment horizontal="left"/>
    </xf>
    <xf numFmtId="0" fontId="80" fillId="0" borderId="4" xfId="21" applyFont="1" applyBorder="1" applyAlignment="1">
      <alignment horizontal="left"/>
    </xf>
    <xf numFmtId="0" fontId="80" fillId="0" borderId="5" xfId="21" applyFont="1" applyBorder="1" applyAlignment="1">
      <alignment horizontal="left"/>
    </xf>
    <xf numFmtId="0" fontId="105" fillId="0" borderId="70" xfId="21" applyFont="1" applyBorder="1" applyAlignment="1">
      <alignment horizontal="distributed" vertical="center" wrapText="1" shrinkToFit="1"/>
    </xf>
    <xf numFmtId="0" fontId="105" fillId="0" borderId="71" xfId="21" applyFont="1" applyBorder="1" applyAlignment="1">
      <alignment horizontal="distributed" vertical="center" shrinkToFit="1"/>
    </xf>
    <xf numFmtId="0" fontId="104" fillId="0" borderId="77" xfId="21" applyFont="1" applyBorder="1" applyAlignment="1">
      <alignment horizontal="center" vertical="center" wrapText="1" shrinkToFit="1"/>
    </xf>
    <xf numFmtId="0" fontId="104" fillId="0" borderId="76" xfId="21" applyFont="1" applyBorder="1" applyAlignment="1">
      <alignment horizontal="center" vertical="center" wrapText="1" shrinkToFit="1"/>
    </xf>
    <xf numFmtId="0" fontId="104" fillId="0" borderId="8" xfId="21" applyFont="1" applyBorder="1" applyAlignment="1">
      <alignment horizontal="center" vertical="center" wrapText="1" shrinkToFit="1"/>
    </xf>
    <xf numFmtId="0" fontId="104" fillId="0" borderId="9" xfId="21" applyFont="1" applyBorder="1" applyAlignment="1">
      <alignment horizontal="center" vertical="center" wrapText="1" shrinkToFit="1"/>
    </xf>
    <xf numFmtId="0" fontId="80" fillId="0" borderId="131" xfId="21" applyFill="1" applyBorder="1" applyAlignment="1" applyProtection="1">
      <alignment vertical="center"/>
      <protection locked="0"/>
    </xf>
    <xf numFmtId="0" fontId="80" fillId="0" borderId="139" xfId="21" applyFill="1" applyBorder="1" applyAlignment="1" applyProtection="1">
      <alignment vertical="center"/>
      <protection locked="0"/>
    </xf>
    <xf numFmtId="0" fontId="80" fillId="0" borderId="115" xfId="21" applyFill="1" applyBorder="1" applyAlignment="1" applyProtection="1">
      <alignment vertical="center"/>
      <protection locked="0"/>
    </xf>
    <xf numFmtId="0" fontId="80" fillId="0" borderId="107" xfId="21" applyFill="1" applyBorder="1" applyAlignment="1" applyProtection="1">
      <alignment vertical="center"/>
      <protection locked="0"/>
    </xf>
    <xf numFmtId="0" fontId="35" fillId="0" borderId="367" xfId="0" applyFont="1" applyFill="1" applyBorder="1" applyAlignment="1" applyProtection="1">
      <alignment horizontal="center" vertical="center"/>
    </xf>
    <xf numFmtId="0" fontId="35" fillId="0" borderId="368" xfId="0" applyFont="1" applyFill="1" applyBorder="1" applyAlignment="1" applyProtection="1">
      <alignment horizontal="center" vertical="center"/>
    </xf>
    <xf numFmtId="0" fontId="80" fillId="0" borderId="6" xfId="21" applyBorder="1" applyAlignment="1">
      <alignment vertical="center"/>
    </xf>
    <xf numFmtId="0" fontId="80" fillId="0" borderId="7" xfId="21" applyBorder="1" applyAlignment="1">
      <alignment vertical="center"/>
    </xf>
    <xf numFmtId="0" fontId="80" fillId="0" borderId="4" xfId="21" applyBorder="1" applyAlignment="1">
      <alignment horizontal="center" vertical="center"/>
    </xf>
    <xf numFmtId="0" fontId="80" fillId="0" borderId="5" xfId="21" applyBorder="1" applyAlignment="1">
      <alignment horizontal="center" vertical="center"/>
    </xf>
    <xf numFmtId="0" fontId="107" fillId="0" borderId="4" xfId="21" applyFont="1" applyBorder="1" applyAlignment="1">
      <alignment horizontal="center" vertical="center" shrinkToFit="1"/>
    </xf>
    <xf numFmtId="0" fontId="107" fillId="0" borderId="5" xfId="21" applyFont="1" applyBorder="1" applyAlignment="1">
      <alignment horizontal="center" vertical="center" shrinkToFit="1"/>
    </xf>
    <xf numFmtId="0" fontId="107" fillId="0" borderId="1" xfId="21" applyFont="1" applyBorder="1" applyAlignment="1">
      <alignment horizontal="center" vertical="center" shrinkToFit="1"/>
    </xf>
    <xf numFmtId="0" fontId="107" fillId="0" borderId="9" xfId="21" applyFont="1" applyBorder="1" applyAlignment="1">
      <alignment horizontal="center" vertical="center" shrinkToFit="1"/>
    </xf>
    <xf numFmtId="0" fontId="107" fillId="0" borderId="3" xfId="21" applyFont="1" applyBorder="1" applyAlignment="1">
      <alignment horizontal="center" vertical="center" shrinkToFit="1"/>
    </xf>
    <xf numFmtId="0" fontId="107" fillId="0" borderId="8" xfId="21" applyFont="1" applyBorder="1" applyAlignment="1">
      <alignment horizontal="center" vertical="center" shrinkToFit="1"/>
    </xf>
    <xf numFmtId="0" fontId="80" fillId="0" borderId="8" xfId="21" applyBorder="1" applyAlignment="1">
      <alignment horizontal="center" vertical="center"/>
    </xf>
    <xf numFmtId="0" fontId="80" fillId="0" borderId="9" xfId="21" applyBorder="1" applyAlignment="1">
      <alignment horizontal="center" vertical="center"/>
    </xf>
    <xf numFmtId="0" fontId="105" fillId="0" borderId="2" xfId="21" applyFont="1" applyBorder="1" applyAlignment="1">
      <alignment horizontal="distributed" vertical="center" shrinkToFit="1"/>
    </xf>
    <xf numFmtId="0" fontId="111" fillId="0" borderId="0" xfId="21" applyFont="1" applyBorder="1" applyAlignment="1">
      <alignment horizontal="center" vertical="center" textRotation="255"/>
    </xf>
    <xf numFmtId="0" fontId="80" fillId="0" borderId="7" xfId="21" applyFill="1" applyBorder="1" applyAlignment="1" applyProtection="1">
      <alignment vertical="center"/>
      <protection locked="0"/>
    </xf>
    <xf numFmtId="0" fontId="80" fillId="0" borderId="9" xfId="21" applyFill="1" applyBorder="1" applyAlignment="1" applyProtection="1">
      <alignment vertical="center"/>
      <protection locked="0"/>
    </xf>
    <xf numFmtId="0" fontId="37" fillId="0" borderId="96" xfId="0" applyFont="1" applyFill="1" applyBorder="1" applyAlignment="1" applyProtection="1">
      <alignment horizontal="center" vertical="center"/>
    </xf>
    <xf numFmtId="0" fontId="37" fillId="0" borderId="369" xfId="0" applyFont="1" applyFill="1" applyBorder="1" applyAlignment="1" applyProtection="1">
      <alignment horizontal="center" vertical="center"/>
    </xf>
    <xf numFmtId="0" fontId="37" fillId="0" borderId="93" xfId="0" applyFont="1" applyFill="1" applyBorder="1" applyAlignment="1" applyProtection="1">
      <alignment horizontal="center" vertical="center"/>
    </xf>
    <xf numFmtId="0" fontId="80" fillId="0" borderId="0" xfId="21" applyBorder="1" applyAlignment="1">
      <alignment horizontal="center" vertical="center"/>
    </xf>
    <xf numFmtId="0" fontId="80" fillId="0" borderId="10" xfId="21" applyBorder="1" applyAlignment="1">
      <alignment horizontal="distributed" vertical="center"/>
    </xf>
    <xf numFmtId="0" fontId="80" fillId="0" borderId="61" xfId="21" applyBorder="1" applyAlignment="1">
      <alignment horizontal="distributed" vertical="center"/>
    </xf>
    <xf numFmtId="0" fontId="80" fillId="0" borderId="3" xfId="21" applyBorder="1" applyAlignment="1">
      <alignment horizontal="center" vertical="center"/>
    </xf>
    <xf numFmtId="0" fontId="80" fillId="0" borderId="13" xfId="21" applyBorder="1" applyAlignment="1">
      <alignment horizontal="center" vertical="center"/>
    </xf>
    <xf numFmtId="0" fontId="80" fillId="0" borderId="14" xfId="21" applyBorder="1" applyAlignment="1">
      <alignment horizontal="center" vertical="center"/>
    </xf>
    <xf numFmtId="0" fontId="80" fillId="0" borderId="117" xfId="21" applyBorder="1" applyAlignment="1">
      <alignment horizontal="center" vertical="center" shrinkToFit="1"/>
    </xf>
    <xf numFmtId="0" fontId="80" fillId="0" borderId="13" xfId="21" applyBorder="1" applyAlignment="1">
      <alignment horizontal="center" vertical="center" shrinkToFit="1"/>
    </xf>
    <xf numFmtId="0" fontId="80" fillId="0" borderId="117" xfId="21" applyBorder="1" applyAlignment="1">
      <alignment horizontal="distributed" vertical="center"/>
    </xf>
    <xf numFmtId="0" fontId="80" fillId="0" borderId="13" xfId="21" applyBorder="1" applyAlignment="1">
      <alignment horizontal="distributed" vertical="center"/>
    </xf>
    <xf numFmtId="0" fontId="80" fillId="0" borderId="116" xfId="21" applyBorder="1" applyAlignment="1">
      <alignment horizontal="distributed" vertical="center"/>
    </xf>
    <xf numFmtId="176" fontId="72" fillId="0" borderId="13" xfId="21" applyNumberFormat="1" applyFont="1" applyBorder="1" applyAlignment="1" applyProtection="1">
      <alignment horizontal="right" vertical="center" shrinkToFit="1"/>
    </xf>
    <xf numFmtId="0" fontId="120" fillId="0" borderId="61" xfId="21" applyFont="1" applyBorder="1" applyAlignment="1">
      <alignment horizontal="center" vertical="distributed" textRotation="255" shrinkToFit="1"/>
    </xf>
    <xf numFmtId="0" fontId="120" fillId="0" borderId="62" xfId="21" applyFont="1" applyBorder="1" applyAlignment="1">
      <alignment horizontal="center" vertical="distributed" textRotation="255" shrinkToFit="1"/>
    </xf>
    <xf numFmtId="0" fontId="105" fillId="0" borderId="3" xfId="21" applyFont="1" applyBorder="1" applyAlignment="1">
      <alignment horizontal="distributed" vertical="center" shrinkToFit="1"/>
    </xf>
    <xf numFmtId="0" fontId="105" fillId="0" borderId="5" xfId="21" applyFont="1" applyBorder="1" applyAlignment="1">
      <alignment horizontal="distributed" vertical="center" shrinkToFit="1"/>
    </xf>
    <xf numFmtId="0" fontId="105" fillId="0" borderId="6" xfId="21" applyFont="1" applyBorder="1" applyAlignment="1">
      <alignment horizontal="distributed" vertical="center" shrinkToFit="1"/>
    </xf>
    <xf numFmtId="0" fontId="105" fillId="0" borderId="7" xfId="21" applyFont="1" applyBorder="1" applyAlignment="1">
      <alignment horizontal="distributed" vertical="center" shrinkToFit="1"/>
    </xf>
    <xf numFmtId="0" fontId="105" fillId="0" borderId="8" xfId="21" applyFont="1" applyBorder="1" applyAlignment="1">
      <alignment horizontal="distributed" vertical="center" shrinkToFit="1"/>
    </xf>
    <xf numFmtId="0" fontId="105" fillId="0" borderId="9" xfId="21" applyFont="1" applyBorder="1" applyAlignment="1">
      <alignment horizontal="distributed" vertical="center" shrinkToFit="1"/>
    </xf>
    <xf numFmtId="0" fontId="80" fillId="0" borderId="6" xfId="21" applyFill="1" applyBorder="1" applyAlignment="1" applyProtection="1">
      <alignment vertical="center"/>
    </xf>
    <xf numFmtId="0" fontId="80" fillId="0" borderId="131" xfId="21" applyFill="1" applyBorder="1" applyAlignment="1" applyProtection="1">
      <alignment vertical="center"/>
    </xf>
    <xf numFmtId="0" fontId="113" fillId="0" borderId="0" xfId="21" applyFont="1" applyBorder="1" applyAlignment="1">
      <alignment horizontal="center"/>
    </xf>
    <xf numFmtId="0" fontId="80" fillId="0" borderId="2" xfId="21" applyBorder="1" applyAlignment="1">
      <alignment horizontal="center" vertical="center" shrinkToFit="1"/>
    </xf>
    <xf numFmtId="0" fontId="80" fillId="0" borderId="116" xfId="21" applyBorder="1" applyAlignment="1">
      <alignment horizontal="center" vertical="center" shrinkToFit="1"/>
    </xf>
    <xf numFmtId="0" fontId="80" fillId="0" borderId="2" xfId="21" applyBorder="1" applyAlignment="1">
      <alignment horizontal="center" vertical="center"/>
    </xf>
    <xf numFmtId="0" fontId="80" fillId="0" borderId="2" xfId="21" applyBorder="1" applyAlignment="1">
      <alignment horizontal="distributed" vertical="center"/>
    </xf>
    <xf numFmtId="0" fontId="80" fillId="0" borderId="10" xfId="21" applyBorder="1" applyAlignment="1">
      <alignment horizontal="center" vertical="center"/>
    </xf>
    <xf numFmtId="0" fontId="80" fillId="0" borderId="61" xfId="21" applyBorder="1" applyAlignment="1">
      <alignment horizontal="center" vertical="center"/>
    </xf>
    <xf numFmtId="0" fontId="80" fillId="0" borderId="8" xfId="21" applyFill="1" applyBorder="1" applyAlignment="1" applyProtection="1">
      <alignment vertical="center"/>
    </xf>
    <xf numFmtId="0" fontId="114" fillId="0" borderId="1" xfId="21" applyFont="1" applyBorder="1" applyAlignment="1">
      <alignment horizontal="left" vertical="center"/>
    </xf>
    <xf numFmtId="0" fontId="72" fillId="0" borderId="12" xfId="21" applyFont="1" applyBorder="1" applyAlignment="1">
      <alignment horizontal="distributed" vertical="center"/>
    </xf>
    <xf numFmtId="0" fontId="72" fillId="0" borderId="14" xfId="21" applyFont="1" applyBorder="1" applyAlignment="1">
      <alignment horizontal="distributed" vertical="center"/>
    </xf>
    <xf numFmtId="176" fontId="72" fillId="0" borderId="12" xfId="21" applyNumberFormat="1" applyFont="1" applyBorder="1" applyAlignment="1">
      <alignment horizontal="center" vertical="center" wrapText="1"/>
    </xf>
    <xf numFmtId="176" fontId="72" fillId="0" borderId="13" xfId="21" applyNumberFormat="1" applyFont="1" applyBorder="1" applyAlignment="1">
      <alignment horizontal="center" vertical="center" wrapText="1"/>
    </xf>
    <xf numFmtId="176" fontId="72" fillId="0" borderId="13" xfId="21" applyNumberFormat="1" applyFont="1" applyBorder="1" applyAlignment="1">
      <alignment horizontal="right" vertical="center" shrinkToFit="1"/>
    </xf>
    <xf numFmtId="176" fontId="72" fillId="0" borderId="13" xfId="21" applyNumberFormat="1" applyFont="1" applyFill="1" applyBorder="1" applyAlignment="1">
      <alignment horizontal="right" vertical="center" shrinkToFit="1"/>
    </xf>
    <xf numFmtId="176" fontId="72" fillId="0" borderId="12" xfId="21" applyNumberFormat="1" applyFont="1" applyBorder="1" applyAlignment="1">
      <alignment horizontal="center" vertical="center"/>
    </xf>
    <xf numFmtId="176" fontId="72" fillId="0" borderId="14" xfId="21" applyNumberFormat="1" applyFont="1" applyBorder="1" applyAlignment="1">
      <alignment horizontal="center" vertical="center"/>
    </xf>
    <xf numFmtId="176" fontId="72" fillId="0" borderId="12" xfId="21" applyNumberFormat="1" applyFont="1" applyBorder="1" applyAlignment="1">
      <alignment horizontal="right" vertical="center"/>
    </xf>
    <xf numFmtId="176" fontId="72" fillId="0" borderId="13" xfId="21" applyNumberFormat="1" applyFont="1" applyBorder="1" applyAlignment="1">
      <alignment horizontal="right" vertical="center"/>
    </xf>
    <xf numFmtId="0" fontId="72" fillId="0" borderId="3" xfId="21" applyFont="1" applyBorder="1" applyAlignment="1">
      <alignment horizontal="center" vertical="center" wrapText="1"/>
    </xf>
    <xf numFmtId="0" fontId="72" fillId="0" borderId="5" xfId="21" applyFont="1" applyBorder="1" applyAlignment="1">
      <alignment horizontal="center" vertical="center"/>
    </xf>
    <xf numFmtId="0" fontId="72" fillId="0" borderId="6" xfId="21" applyFont="1" applyBorder="1" applyAlignment="1">
      <alignment horizontal="center" vertical="center"/>
    </xf>
    <xf numFmtId="0" fontId="72" fillId="0" borderId="7" xfId="21" applyFont="1" applyBorder="1" applyAlignment="1">
      <alignment horizontal="center" vertical="center"/>
    </xf>
    <xf numFmtId="0" fontId="72" fillId="0" borderId="8" xfId="21" applyFont="1" applyBorder="1" applyAlignment="1">
      <alignment horizontal="center" vertical="center"/>
    </xf>
    <xf numFmtId="0" fontId="72" fillId="0" borderId="9" xfId="21" applyFont="1" applyBorder="1" applyAlignment="1">
      <alignment horizontal="center" vertical="center"/>
    </xf>
    <xf numFmtId="176" fontId="72" fillId="0" borderId="3" xfId="21" applyNumberFormat="1" applyFont="1" applyBorder="1" applyAlignment="1">
      <alignment horizontal="center" vertical="center"/>
    </xf>
    <xf numFmtId="176" fontId="72" fillId="0" borderId="5" xfId="21" applyNumberFormat="1" applyFont="1" applyBorder="1" applyAlignment="1">
      <alignment horizontal="center" vertical="center"/>
    </xf>
    <xf numFmtId="176" fontId="72" fillId="0" borderId="122" xfId="21" applyNumberFormat="1" applyFont="1" applyBorder="1" applyAlignment="1">
      <alignment horizontal="center" vertical="center"/>
    </xf>
    <xf numFmtId="176" fontId="72" fillId="0" borderId="121" xfId="21" applyNumberFormat="1" applyFont="1" applyBorder="1" applyAlignment="1">
      <alignment horizontal="center" vertical="center"/>
    </xf>
    <xf numFmtId="176" fontId="72" fillId="0" borderId="120" xfId="21" applyNumberFormat="1" applyFont="1" applyBorder="1" applyAlignment="1">
      <alignment horizontal="center" vertical="center"/>
    </xf>
    <xf numFmtId="176" fontId="72" fillId="0" borderId="119" xfId="21" applyNumberFormat="1" applyFont="1" applyBorder="1" applyAlignment="1">
      <alignment horizontal="center" vertical="center"/>
    </xf>
    <xf numFmtId="176" fontId="72" fillId="0" borderId="118" xfId="21" applyNumberFormat="1" applyFont="1" applyBorder="1" applyAlignment="1">
      <alignment horizontal="center" vertical="center"/>
    </xf>
    <xf numFmtId="176" fontId="72" fillId="0" borderId="6" xfId="21" applyNumberFormat="1" applyFont="1" applyBorder="1" applyAlignment="1">
      <alignment horizontal="center" vertical="center"/>
    </xf>
    <xf numFmtId="176" fontId="72" fillId="0" borderId="7" xfId="21" applyNumberFormat="1" applyFont="1" applyBorder="1" applyAlignment="1">
      <alignment horizontal="center" vertical="center"/>
    </xf>
    <xf numFmtId="176" fontId="72" fillId="0" borderId="8" xfId="21" applyNumberFormat="1" applyFont="1" applyBorder="1" applyAlignment="1">
      <alignment horizontal="center" vertical="center"/>
    </xf>
    <xf numFmtId="176" fontId="72" fillId="0" borderId="9" xfId="21" applyNumberFormat="1" applyFont="1" applyBorder="1" applyAlignment="1">
      <alignment horizontal="center" vertical="center"/>
    </xf>
    <xf numFmtId="176" fontId="72" fillId="0" borderId="0" xfId="21" applyNumberFormat="1" applyFont="1" applyBorder="1" applyAlignment="1">
      <alignment horizontal="center" vertical="center"/>
    </xf>
    <xf numFmtId="176" fontId="72" fillId="0" borderId="1" xfId="21" applyNumberFormat="1" applyFont="1" applyBorder="1" applyAlignment="1">
      <alignment horizontal="center" vertical="center"/>
    </xf>
    <xf numFmtId="0" fontId="80" fillId="0" borderId="139" xfId="21" applyFill="1" applyBorder="1" applyAlignment="1" applyProtection="1">
      <alignment vertical="center"/>
    </xf>
    <xf numFmtId="176" fontId="72" fillId="2" borderId="13" xfId="21" applyNumberFormat="1" applyFont="1" applyFill="1" applyBorder="1" applyAlignment="1" applyProtection="1">
      <alignment horizontal="right" vertical="center" shrinkToFit="1"/>
      <protection locked="0"/>
    </xf>
    <xf numFmtId="0" fontId="107" fillId="0" borderId="133" xfId="21" applyFont="1" applyBorder="1" applyAlignment="1">
      <alignment horizontal="center" vertical="center"/>
    </xf>
    <xf numFmtId="0" fontId="107" fillId="0" borderId="134" xfId="21" applyFont="1" applyBorder="1" applyAlignment="1">
      <alignment horizontal="center" vertical="center"/>
    </xf>
    <xf numFmtId="0" fontId="107" fillId="0" borderId="135" xfId="21" applyFont="1" applyBorder="1" applyAlignment="1">
      <alignment horizontal="center" vertical="center"/>
    </xf>
    <xf numFmtId="0" fontId="107" fillId="0" borderId="136" xfId="21" applyFont="1" applyBorder="1" applyAlignment="1">
      <alignment horizontal="center" vertical="center"/>
    </xf>
    <xf numFmtId="0" fontId="107" fillId="0" borderId="137" xfId="21" applyFont="1" applyBorder="1" applyAlignment="1">
      <alignment horizontal="center" vertical="center"/>
    </xf>
    <xf numFmtId="0" fontId="107" fillId="0" borderId="138" xfId="21" applyFont="1" applyBorder="1" applyAlignment="1">
      <alignment horizontal="center" vertical="center"/>
    </xf>
    <xf numFmtId="0" fontId="283" fillId="37" borderId="364" xfId="21" applyFont="1" applyFill="1" applyBorder="1" applyAlignment="1">
      <alignment horizontal="center" vertical="center"/>
    </xf>
    <xf numFmtId="0" fontId="283" fillId="37" borderId="365" xfId="21" applyFont="1" applyFill="1" applyBorder="1" applyAlignment="1">
      <alignment horizontal="center" vertical="center"/>
    </xf>
    <xf numFmtId="0" fontId="281" fillId="51" borderId="357" xfId="0" applyFont="1" applyFill="1" applyBorder="1" applyAlignment="1">
      <alignment horizontal="center" vertical="center" wrapText="1"/>
    </xf>
    <xf numFmtId="0" fontId="281" fillId="51" borderId="353" xfId="0" applyFont="1" applyFill="1" applyBorder="1" applyAlignment="1">
      <alignment horizontal="center" vertical="center" wrapText="1"/>
    </xf>
    <xf numFmtId="0" fontId="281" fillId="51" borderId="355" xfId="0" applyFont="1" applyFill="1" applyBorder="1" applyAlignment="1">
      <alignment horizontal="center" vertical="center" wrapText="1"/>
    </xf>
    <xf numFmtId="0" fontId="281" fillId="51" borderId="356" xfId="0" applyFont="1" applyFill="1" applyBorder="1" applyAlignment="1">
      <alignment horizontal="center" vertical="center" wrapText="1"/>
    </xf>
    <xf numFmtId="0" fontId="283" fillId="53" borderId="364" xfId="0" applyFont="1" applyFill="1" applyBorder="1" applyAlignment="1">
      <alignment horizontal="center" vertical="center"/>
    </xf>
    <xf numFmtId="0" fontId="283" fillId="53" borderId="365" xfId="0" applyFont="1" applyFill="1" applyBorder="1" applyAlignment="1">
      <alignment horizontal="center" vertical="center"/>
    </xf>
    <xf numFmtId="0" fontId="283" fillId="55" borderId="364" xfId="0" applyFont="1" applyFill="1" applyBorder="1" applyAlignment="1">
      <alignment horizontal="center" vertical="center"/>
    </xf>
    <xf numFmtId="0" fontId="283" fillId="55" borderId="365" xfId="0" applyFont="1" applyFill="1" applyBorder="1" applyAlignment="1">
      <alignment horizontal="center" vertical="center"/>
    </xf>
    <xf numFmtId="0" fontId="280" fillId="50" borderId="352" xfId="0" applyFont="1" applyFill="1" applyBorder="1" applyAlignment="1">
      <alignment horizontal="center" vertical="center" wrapText="1" shrinkToFit="1"/>
    </xf>
    <xf numFmtId="0" fontId="280" fillId="50" borderId="357" xfId="0" applyFont="1" applyFill="1" applyBorder="1" applyAlignment="1">
      <alignment horizontal="center" vertical="center" wrapText="1" shrinkToFit="1"/>
    </xf>
    <xf numFmtId="0" fontId="280" fillId="50" borderId="360" xfId="0" applyFont="1" applyFill="1" applyBorder="1" applyAlignment="1">
      <alignment horizontal="center" vertical="center" wrapText="1" shrinkToFit="1"/>
    </xf>
    <xf numFmtId="0" fontId="280" fillId="50" borderId="354" xfId="0" applyFont="1" applyFill="1" applyBorder="1" applyAlignment="1">
      <alignment horizontal="center" vertical="center" wrapText="1" shrinkToFit="1"/>
    </xf>
    <xf numFmtId="0" fontId="280" fillId="50" borderId="355" xfId="0" applyFont="1" applyFill="1" applyBorder="1" applyAlignment="1">
      <alignment horizontal="center" vertical="center" wrapText="1" shrinkToFit="1"/>
    </xf>
    <xf numFmtId="0" fontId="280" fillId="50" borderId="361" xfId="0" applyFont="1" applyFill="1" applyBorder="1" applyAlignment="1">
      <alignment horizontal="center" vertical="center" wrapText="1" shrinkToFit="1"/>
    </xf>
    <xf numFmtId="0" fontId="288" fillId="0" borderId="375" xfId="0" applyFont="1" applyBorder="1" applyAlignment="1">
      <alignment horizontal="left" vertical="center" wrapText="1"/>
    </xf>
    <xf numFmtId="0" fontId="288" fillId="0" borderId="0" xfId="0" applyFont="1" applyBorder="1" applyAlignment="1">
      <alignment horizontal="left" vertical="center" wrapText="1"/>
    </xf>
    <xf numFmtId="0" fontId="240" fillId="26" borderId="7" xfId="0" applyFont="1" applyFill="1" applyBorder="1" applyAlignment="1">
      <alignment horizontal="center" vertical="center"/>
    </xf>
    <xf numFmtId="0" fontId="293" fillId="0" borderId="0" xfId="0" applyFont="1" applyAlignment="1">
      <alignment horizontal="right" vertical="center"/>
    </xf>
    <xf numFmtId="0" fontId="52" fillId="0" borderId="0" xfId="0" applyNumberFormat="1" applyFont="1" applyAlignment="1">
      <alignment horizontal="center" vertical="center"/>
    </xf>
    <xf numFmtId="0" fontId="293" fillId="0" borderId="0" xfId="0" applyFont="1" applyAlignment="1">
      <alignment horizontal="left"/>
    </xf>
    <xf numFmtId="0" fontId="185" fillId="0" borderId="0" xfId="0" applyFont="1" applyAlignment="1">
      <alignment horizontal="left" vertical="top" wrapText="1"/>
    </xf>
    <xf numFmtId="0" fontId="178" fillId="53" borderId="198" xfId="0" applyFont="1" applyFill="1" applyBorder="1" applyAlignment="1">
      <alignment horizontal="center" vertical="center"/>
    </xf>
    <xf numFmtId="0" fontId="178" fillId="53" borderId="199" xfId="0" applyFont="1" applyFill="1" applyBorder="1" applyAlignment="1">
      <alignment horizontal="center" vertical="center"/>
    </xf>
    <xf numFmtId="0" fontId="178" fillId="53" borderId="376" xfId="0" applyFont="1" applyFill="1" applyBorder="1" applyAlignment="1">
      <alignment horizontal="center" vertical="center"/>
    </xf>
    <xf numFmtId="0" fontId="296" fillId="0" borderId="8" xfId="0" applyFont="1" applyFill="1" applyBorder="1" applyAlignment="1" applyProtection="1">
      <alignment horizontal="center" vertical="center"/>
      <protection locked="0"/>
    </xf>
    <xf numFmtId="0" fontId="296" fillId="0" borderId="9" xfId="0" applyFont="1" applyFill="1" applyBorder="1" applyAlignment="1" applyProtection="1">
      <alignment horizontal="center" vertical="center"/>
      <protection locked="0"/>
    </xf>
    <xf numFmtId="0" fontId="287" fillId="0" borderId="0" xfId="21" applyFont="1" applyAlignment="1">
      <alignment horizontal="left" vertical="center" wrapText="1"/>
    </xf>
    <xf numFmtId="0" fontId="296" fillId="0" borderId="8" xfId="0" applyFont="1" applyFill="1" applyBorder="1" applyAlignment="1" applyProtection="1">
      <alignment horizontal="center" vertical="center" wrapText="1"/>
      <protection locked="0"/>
    </xf>
    <xf numFmtId="0" fontId="296" fillId="0" borderId="1" xfId="0" applyFont="1" applyFill="1" applyBorder="1" applyAlignment="1" applyProtection="1">
      <alignment horizontal="center" vertical="center" wrapText="1"/>
      <protection locked="0"/>
    </xf>
    <xf numFmtId="0" fontId="296" fillId="0" borderId="9" xfId="0" applyFont="1" applyFill="1" applyBorder="1" applyAlignment="1" applyProtection="1">
      <alignment horizontal="center" vertical="center" wrapText="1"/>
      <protection locked="0"/>
    </xf>
    <xf numFmtId="0" fontId="297" fillId="29" borderId="3" xfId="0" applyFont="1" applyFill="1" applyBorder="1" applyAlignment="1">
      <alignment horizontal="center" vertical="center" wrapText="1"/>
    </xf>
    <xf numFmtId="0" fontId="297" fillId="29" borderId="5" xfId="0" applyFont="1" applyFill="1" applyBorder="1" applyAlignment="1">
      <alignment horizontal="center" vertical="center" wrapText="1"/>
    </xf>
    <xf numFmtId="0" fontId="297" fillId="29" borderId="8" xfId="0" applyFont="1" applyFill="1" applyBorder="1" applyAlignment="1">
      <alignment horizontal="center" vertical="center" wrapText="1"/>
    </xf>
    <xf numFmtId="0" fontId="297" fillId="29" borderId="9" xfId="0" applyFont="1" applyFill="1" applyBorder="1" applyAlignment="1">
      <alignment horizontal="center" vertical="center" wrapText="1"/>
    </xf>
    <xf numFmtId="0" fontId="190" fillId="2" borderId="12" xfId="0" applyFont="1" applyFill="1" applyBorder="1" applyAlignment="1" applyProtection="1">
      <alignment horizontal="center" vertical="center"/>
      <protection locked="0"/>
    </xf>
    <xf numFmtId="0" fontId="190" fillId="2" borderId="14" xfId="0" applyFont="1" applyFill="1" applyBorder="1" applyAlignment="1" applyProtection="1">
      <alignment horizontal="center" vertical="center"/>
      <protection locked="0"/>
    </xf>
    <xf numFmtId="49" fontId="285" fillId="8" borderId="12" xfId="0" applyNumberFormat="1" applyFont="1" applyFill="1" applyBorder="1" applyAlignment="1">
      <alignment horizontal="left" vertical="center" wrapText="1"/>
    </xf>
    <xf numFmtId="49" fontId="285" fillId="8" borderId="13" xfId="0" applyNumberFormat="1" applyFont="1" applyFill="1" applyBorder="1" applyAlignment="1">
      <alignment horizontal="left" vertical="center" wrapText="1"/>
    </xf>
    <xf numFmtId="49" fontId="285" fillId="8" borderId="14" xfId="0" applyNumberFormat="1" applyFont="1" applyFill="1" applyBorder="1" applyAlignment="1">
      <alignment horizontal="left" vertical="center" wrapText="1"/>
    </xf>
    <xf numFmtId="0" fontId="64" fillId="0" borderId="8" xfId="21" applyFont="1" applyBorder="1" applyAlignment="1">
      <alignment horizontal="right" vertical="center" wrapText="1"/>
    </xf>
    <xf numFmtId="0" fontId="64" fillId="0" borderId="1" xfId="21" applyFont="1" applyBorder="1" applyAlignment="1">
      <alignment horizontal="right" vertical="center" wrapText="1"/>
    </xf>
    <xf numFmtId="176" fontId="147" fillId="0" borderId="1" xfId="21" applyNumberFormat="1" applyFont="1" applyBorder="1" applyAlignment="1">
      <alignment horizontal="center" vertical="center" wrapText="1"/>
    </xf>
    <xf numFmtId="176" fontId="147" fillId="0" borderId="1" xfId="0" applyNumberFormat="1" applyFont="1" applyBorder="1" applyAlignment="1">
      <alignment horizontal="center" vertical="center"/>
    </xf>
    <xf numFmtId="176" fontId="69" fillId="13" borderId="39" xfId="21" applyNumberFormat="1" applyFont="1" applyFill="1" applyBorder="1" applyAlignment="1" applyProtection="1">
      <alignment horizontal="center" vertical="center" wrapText="1"/>
      <protection locked="0"/>
    </xf>
    <xf numFmtId="176" fontId="69" fillId="13" borderId="33" xfId="21" applyNumberFormat="1" applyFont="1" applyFill="1" applyBorder="1" applyAlignment="1" applyProtection="1">
      <alignment horizontal="center" vertical="center" wrapText="1"/>
      <protection locked="0"/>
    </xf>
    <xf numFmtId="176" fontId="69" fillId="13" borderId="35" xfId="21" applyNumberFormat="1" applyFont="1" applyFill="1" applyBorder="1" applyAlignment="1" applyProtection="1">
      <alignment horizontal="center" vertical="center" wrapText="1"/>
      <protection locked="0"/>
    </xf>
    <xf numFmtId="176" fontId="64" fillId="0" borderId="0" xfId="21" applyNumberFormat="1" applyFont="1" applyBorder="1" applyAlignment="1">
      <alignment horizontal="right" wrapText="1"/>
    </xf>
    <xf numFmtId="176" fontId="147" fillId="0" borderId="0" xfId="21" applyNumberFormat="1" applyFont="1" applyBorder="1" applyAlignment="1">
      <alignment horizontal="left" wrapText="1"/>
    </xf>
    <xf numFmtId="176" fontId="63" fillId="0" borderId="13" xfId="21" applyNumberFormat="1" applyFont="1" applyBorder="1" applyAlignment="1">
      <alignment horizontal="center" vertical="center" wrapText="1"/>
    </xf>
    <xf numFmtId="176" fontId="63" fillId="0" borderId="4" xfId="21" applyNumberFormat="1" applyFont="1" applyBorder="1" applyAlignment="1">
      <alignment horizontal="center" vertical="center" wrapText="1"/>
    </xf>
    <xf numFmtId="176" fontId="63" fillId="0" borderId="0" xfId="21" applyNumberFormat="1" applyFont="1" applyBorder="1" applyAlignment="1">
      <alignment horizontal="center" vertical="center"/>
    </xf>
    <xf numFmtId="176" fontId="63" fillId="0" borderId="0" xfId="0" applyNumberFormat="1" applyFont="1" applyBorder="1" applyAlignment="1">
      <alignment horizontal="center" vertical="center"/>
    </xf>
    <xf numFmtId="176" fontId="63" fillId="0" borderId="13" xfId="21" applyNumberFormat="1" applyFont="1" applyBorder="1" applyAlignment="1">
      <alignment horizontal="right" vertical="center" wrapText="1"/>
    </xf>
    <xf numFmtId="176" fontId="69" fillId="0" borderId="12" xfId="21" applyNumberFormat="1" applyFont="1" applyBorder="1" applyAlignment="1">
      <alignment horizontal="center" vertical="center" wrapText="1"/>
    </xf>
    <xf numFmtId="176" fontId="69" fillId="0" borderId="13" xfId="21" applyNumberFormat="1" applyFont="1" applyBorder="1" applyAlignment="1">
      <alignment horizontal="center" vertical="center" wrapText="1"/>
    </xf>
    <xf numFmtId="176" fontId="69" fillId="0" borderId="44" xfId="21" applyNumberFormat="1" applyFont="1" applyBorder="1" applyAlignment="1">
      <alignment horizontal="center" vertical="center" wrapText="1"/>
    </xf>
    <xf numFmtId="176" fontId="69" fillId="5" borderId="12" xfId="21" applyNumberFormat="1" applyFont="1" applyFill="1" applyBorder="1" applyAlignment="1">
      <alignment horizontal="center" vertical="center" wrapText="1"/>
    </xf>
    <xf numFmtId="176" fontId="69" fillId="5" borderId="13" xfId="21" applyNumberFormat="1" applyFont="1" applyFill="1" applyBorder="1" applyAlignment="1">
      <alignment horizontal="center" vertical="center" wrapText="1"/>
    </xf>
    <xf numFmtId="176" fontId="69" fillId="5" borderId="44" xfId="21" applyNumberFormat="1" applyFont="1" applyFill="1" applyBorder="1" applyAlignment="1">
      <alignment horizontal="center" vertical="center" wrapText="1"/>
    </xf>
    <xf numFmtId="176" fontId="69" fillId="0" borderId="14" xfId="21" applyNumberFormat="1" applyFont="1" applyBorder="1" applyAlignment="1">
      <alignment horizontal="center" vertical="center" wrapText="1"/>
    </xf>
    <xf numFmtId="176" fontId="69" fillId="5" borderId="14" xfId="21" applyNumberFormat="1" applyFont="1" applyFill="1" applyBorder="1" applyAlignment="1">
      <alignment horizontal="center" vertical="center" wrapText="1"/>
    </xf>
    <xf numFmtId="1" fontId="69" fillId="5" borderId="12" xfId="21" applyNumberFormat="1" applyFont="1" applyFill="1" applyBorder="1" applyAlignment="1">
      <alignment horizontal="center" vertical="center" wrapText="1"/>
    </xf>
    <xf numFmtId="1" fontId="69" fillId="5" borderId="13" xfId="21" applyNumberFormat="1" applyFont="1" applyFill="1" applyBorder="1" applyAlignment="1">
      <alignment horizontal="center" vertical="center" wrapText="1"/>
    </xf>
    <xf numFmtId="1" fontId="69" fillId="5" borderId="44" xfId="21" applyNumberFormat="1" applyFont="1" applyFill="1" applyBorder="1" applyAlignment="1">
      <alignment horizontal="center" vertical="center" wrapText="1"/>
    </xf>
    <xf numFmtId="0" fontId="145" fillId="0" borderId="3" xfId="21" applyFont="1" applyBorder="1" applyAlignment="1">
      <alignment horizontal="center" vertical="center" wrapText="1"/>
    </xf>
    <xf numFmtId="0" fontId="146" fillId="0" borderId="4" xfId="21" applyFont="1" applyBorder="1" applyAlignment="1">
      <alignment horizontal="center" vertical="center" wrapText="1"/>
    </xf>
    <xf numFmtId="0" fontId="146" fillId="0" borderId="5" xfId="21" applyFont="1" applyBorder="1" applyAlignment="1">
      <alignment horizontal="center" vertical="center" wrapText="1"/>
    </xf>
    <xf numFmtId="0" fontId="64" fillId="0" borderId="12" xfId="21" applyFont="1" applyBorder="1" applyAlignment="1">
      <alignment horizontal="center" vertical="center" wrapText="1"/>
    </xf>
    <xf numFmtId="0" fontId="2" fillId="0" borderId="13" xfId="21" applyFont="1" applyBorder="1" applyAlignment="1">
      <alignment horizontal="center" vertical="center" wrapText="1"/>
    </xf>
    <xf numFmtId="0" fontId="67" fillId="0" borderId="6" xfId="21" applyFont="1" applyBorder="1" applyAlignment="1">
      <alignment horizontal="justify" vertical="center" wrapText="1"/>
    </xf>
    <xf numFmtId="0" fontId="67" fillId="0" borderId="0" xfId="21" applyFont="1" applyBorder="1" applyAlignment="1">
      <alignment horizontal="justify" vertical="center" wrapText="1"/>
    </xf>
    <xf numFmtId="0" fontId="67" fillId="0" borderId="7" xfId="21" applyFont="1" applyBorder="1" applyAlignment="1">
      <alignment horizontal="justify" vertical="center" wrapText="1"/>
    </xf>
    <xf numFmtId="0" fontId="64" fillId="0" borderId="6" xfId="21" applyFont="1" applyBorder="1" applyAlignment="1">
      <alignment horizontal="justify" vertical="center" wrapText="1"/>
    </xf>
    <xf numFmtId="0" fontId="64" fillId="0" borderId="0" xfId="21" applyFont="1" applyBorder="1" applyAlignment="1">
      <alignment horizontal="justify" vertical="center" wrapText="1"/>
    </xf>
    <xf numFmtId="0" fontId="64" fillId="0" borderId="7" xfId="21" applyFont="1" applyBorder="1" applyAlignment="1">
      <alignment horizontal="justify" vertical="center" wrapText="1"/>
    </xf>
    <xf numFmtId="0" fontId="64" fillId="0" borderId="12" xfId="21" applyFont="1" applyBorder="1" applyAlignment="1">
      <alignment horizontal="center" vertical="center" shrinkToFit="1"/>
    </xf>
    <xf numFmtId="0" fontId="64" fillId="0" borderId="13" xfId="21" applyFont="1" applyBorder="1" applyAlignment="1">
      <alignment horizontal="center" vertical="center" shrinkToFit="1"/>
    </xf>
    <xf numFmtId="176" fontId="69" fillId="5" borderId="70" xfId="21" applyNumberFormat="1" applyFont="1" applyFill="1" applyBorder="1" applyAlignment="1">
      <alignment horizontal="center" vertical="center" wrapText="1"/>
    </xf>
    <xf numFmtId="176" fontId="69" fillId="5" borderId="67" xfId="21" applyNumberFormat="1" applyFont="1" applyFill="1" applyBorder="1" applyAlignment="1">
      <alignment horizontal="center" vertical="center" wrapText="1"/>
    </xf>
    <xf numFmtId="176" fontId="69" fillId="5" borderId="3" xfId="21" applyNumberFormat="1" applyFont="1" applyFill="1" applyBorder="1" applyAlignment="1">
      <alignment horizontal="center" vertical="center" wrapText="1"/>
    </xf>
    <xf numFmtId="176" fontId="69" fillId="5" borderId="4" xfId="21" applyNumberFormat="1" applyFont="1" applyFill="1" applyBorder="1" applyAlignment="1">
      <alignment horizontal="center" vertical="center" wrapText="1"/>
    </xf>
    <xf numFmtId="176" fontId="69" fillId="5" borderId="5" xfId="21" applyNumberFormat="1" applyFont="1" applyFill="1" applyBorder="1" applyAlignment="1">
      <alignment horizontal="center" vertical="center" wrapText="1"/>
    </xf>
    <xf numFmtId="176" fontId="69" fillId="0" borderId="6" xfId="21" applyNumberFormat="1" applyFont="1" applyBorder="1" applyAlignment="1">
      <alignment horizontal="center" vertical="center" wrapText="1"/>
    </xf>
    <xf numFmtId="176" fontId="69" fillId="0" borderId="0" xfId="21" applyNumberFormat="1" applyFont="1" applyBorder="1" applyAlignment="1">
      <alignment horizontal="center" vertical="center" wrapText="1"/>
    </xf>
    <xf numFmtId="0" fontId="63" fillId="0" borderId="61" xfId="21" applyNumberFormat="1" applyFont="1" applyBorder="1" applyAlignment="1">
      <alignment horizontal="center" vertical="center" textRotation="255" shrinkToFit="1"/>
    </xf>
    <xf numFmtId="0" fontId="63" fillId="0" borderId="10" xfId="21" applyNumberFormat="1" applyFont="1" applyBorder="1" applyAlignment="1">
      <alignment horizontal="center" vertical="center" textRotation="255" shrinkToFit="1"/>
    </xf>
    <xf numFmtId="176" fontId="63" fillId="0" borderId="0" xfId="21" applyNumberFormat="1" applyFont="1" applyBorder="1" applyAlignment="1">
      <alignment horizontal="left" wrapText="1"/>
    </xf>
    <xf numFmtId="176" fontId="63" fillId="0" borderId="0" xfId="21" applyNumberFormat="1" applyFont="1" applyBorder="1" applyAlignment="1">
      <alignment horizontal="left" vertical="center" wrapText="1"/>
    </xf>
    <xf numFmtId="176" fontId="63" fillId="0" borderId="7" xfId="21" applyNumberFormat="1" applyFont="1" applyBorder="1" applyAlignment="1">
      <alignment horizontal="left" vertical="center" wrapText="1"/>
    </xf>
    <xf numFmtId="0" fontId="73" fillId="0" borderId="6" xfId="0" applyFont="1" applyBorder="1" applyAlignment="1">
      <alignment horizontal="left" vertical="center"/>
    </xf>
    <xf numFmtId="0" fontId="73" fillId="0" borderId="0" xfId="0" applyFont="1" applyAlignment="1">
      <alignment horizontal="left" vertical="center"/>
    </xf>
    <xf numFmtId="0" fontId="63" fillId="0" borderId="0" xfId="21" applyFont="1" applyBorder="1" applyAlignment="1">
      <alignment horizontal="left" vertical="center"/>
    </xf>
    <xf numFmtId="176" fontId="64" fillId="0" borderId="0" xfId="21" applyNumberFormat="1" applyFont="1" applyBorder="1" applyAlignment="1">
      <alignment horizontal="center" vertical="center" shrinkToFit="1"/>
    </xf>
    <xf numFmtId="0" fontId="63" fillId="0" borderId="62" xfId="21" applyNumberFormat="1" applyFont="1" applyBorder="1" applyAlignment="1">
      <alignment horizontal="center" vertical="center" textRotation="255" shrinkToFit="1"/>
    </xf>
    <xf numFmtId="0" fontId="147" fillId="0" borderId="16" xfId="21" applyFont="1" applyBorder="1" applyAlignment="1">
      <alignment horizontal="center" vertical="center"/>
    </xf>
    <xf numFmtId="1" fontId="69" fillId="0" borderId="6" xfId="21" applyNumberFormat="1" applyFont="1" applyBorder="1" applyAlignment="1">
      <alignment horizontal="center" vertical="center" wrapText="1"/>
    </xf>
    <xf numFmtId="1" fontId="69" fillId="0" borderId="0" xfId="21" applyNumberFormat="1" applyFont="1" applyBorder="1" applyAlignment="1">
      <alignment horizontal="center" vertical="center" wrapText="1"/>
    </xf>
    <xf numFmtId="176" fontId="69" fillId="4" borderId="47" xfId="21" applyNumberFormat="1" applyFont="1" applyFill="1" applyBorder="1" applyAlignment="1" applyProtection="1">
      <alignment horizontal="center" vertical="center" wrapText="1"/>
      <protection locked="0"/>
    </xf>
    <xf numFmtId="176" fontId="69" fillId="4" borderId="13" xfId="21" applyNumberFormat="1" applyFont="1" applyFill="1" applyBorder="1" applyAlignment="1" applyProtection="1">
      <alignment horizontal="center" vertical="center" wrapText="1"/>
      <protection locked="0"/>
    </xf>
    <xf numFmtId="176" fontId="69" fillId="4" borderId="44" xfId="21" applyNumberFormat="1" applyFont="1" applyFill="1" applyBorder="1" applyAlignment="1" applyProtection="1">
      <alignment horizontal="center" vertical="center" wrapText="1"/>
      <protection locked="0"/>
    </xf>
    <xf numFmtId="0" fontId="63" fillId="5" borderId="70" xfId="21" applyFont="1" applyFill="1" applyBorder="1" applyAlignment="1">
      <alignment horizontal="center" vertical="center" wrapText="1"/>
    </xf>
    <xf numFmtId="0" fontId="63" fillId="5" borderId="71" xfId="21" applyFont="1" applyFill="1" applyBorder="1" applyAlignment="1">
      <alignment horizontal="center" vertical="center" wrapText="1"/>
    </xf>
    <xf numFmtId="0" fontId="63" fillId="0" borderId="12" xfId="21" applyFont="1" applyBorder="1" applyAlignment="1">
      <alignment horizontal="center" vertical="center" wrapText="1"/>
    </xf>
    <xf numFmtId="0" fontId="63" fillId="0" borderId="14" xfId="21" applyFont="1" applyBorder="1" applyAlignment="1">
      <alignment horizontal="center" vertical="center" wrapText="1"/>
    </xf>
    <xf numFmtId="0" fontId="63" fillId="5" borderId="12" xfId="21" applyFont="1" applyFill="1" applyBorder="1" applyAlignment="1">
      <alignment horizontal="center" vertical="center" wrapText="1"/>
    </xf>
    <xf numFmtId="0" fontId="63" fillId="5" borderId="14" xfId="21" applyFont="1" applyFill="1" applyBorder="1" applyAlignment="1">
      <alignment horizontal="center" vertical="center" wrapText="1"/>
    </xf>
    <xf numFmtId="176" fontId="69" fillId="5" borderId="71" xfId="21" applyNumberFormat="1" applyFont="1" applyFill="1" applyBorder="1" applyAlignment="1">
      <alignment horizontal="center" vertical="center" wrapText="1"/>
    </xf>
    <xf numFmtId="0" fontId="71" fillId="0" borderId="61" xfId="21" applyFont="1" applyBorder="1" applyAlignment="1">
      <alignment horizontal="center" vertical="center" wrapText="1"/>
    </xf>
    <xf numFmtId="0" fontId="71" fillId="0" borderId="62" xfId="21" applyFont="1" applyBorder="1" applyAlignment="1">
      <alignment horizontal="center" vertical="center" wrapText="1"/>
    </xf>
    <xf numFmtId="0" fontId="2" fillId="0" borderId="62" xfId="21" applyFont="1" applyBorder="1" applyAlignment="1">
      <alignment horizontal="center" vertical="center" wrapText="1"/>
    </xf>
    <xf numFmtId="0" fontId="2" fillId="0" borderId="10" xfId="21" applyFont="1" applyBorder="1" applyAlignment="1">
      <alignment horizontal="center" vertical="center" wrapText="1"/>
    </xf>
    <xf numFmtId="176" fontId="69" fillId="5" borderId="68" xfId="21" applyNumberFormat="1" applyFont="1" applyFill="1" applyBorder="1" applyAlignment="1">
      <alignment horizontal="center" vertical="center" wrapText="1"/>
    </xf>
    <xf numFmtId="176" fontId="69" fillId="5" borderId="39" xfId="21" applyNumberFormat="1" applyFont="1" applyFill="1" applyBorder="1" applyAlignment="1">
      <alignment horizontal="center" vertical="center" wrapText="1"/>
    </xf>
    <xf numFmtId="176" fontId="69" fillId="5" borderId="33" xfId="21" applyNumberFormat="1" applyFont="1" applyFill="1" applyBorder="1" applyAlignment="1">
      <alignment horizontal="center" vertical="center" wrapText="1"/>
    </xf>
    <xf numFmtId="176" fontId="147" fillId="0" borderId="0" xfId="21" applyNumberFormat="1" applyFont="1" applyBorder="1" applyAlignment="1">
      <alignment horizontal="left" vertical="center" wrapText="1"/>
    </xf>
    <xf numFmtId="0" fontId="2" fillId="0" borderId="0" xfId="21" applyFont="1" applyAlignment="1">
      <alignment horizontal="left" vertical="center"/>
    </xf>
    <xf numFmtId="176" fontId="63" fillId="0" borderId="12" xfId="21" applyNumberFormat="1" applyFont="1" applyBorder="1" applyAlignment="1">
      <alignment horizontal="center" vertical="center" wrapText="1"/>
    </xf>
    <xf numFmtId="176" fontId="63" fillId="0" borderId="14" xfId="21" applyNumberFormat="1" applyFont="1" applyBorder="1" applyAlignment="1">
      <alignment horizontal="center" vertical="center" wrapText="1"/>
    </xf>
    <xf numFmtId="0" fontId="63" fillId="0" borderId="69" xfId="21" applyNumberFormat="1" applyFont="1" applyBorder="1" applyAlignment="1">
      <alignment horizontal="center" vertical="center" textRotation="255" shrinkToFit="1"/>
    </xf>
    <xf numFmtId="0" fontId="64" fillId="0" borderId="6" xfId="21" applyFont="1" applyBorder="1" applyAlignment="1">
      <alignment horizontal="center" vertical="center" wrapText="1"/>
    </xf>
    <xf numFmtId="0" fontId="64" fillId="0" borderId="0" xfId="21" applyFont="1" applyBorder="1" applyAlignment="1">
      <alignment horizontal="center" vertical="center" wrapText="1"/>
    </xf>
    <xf numFmtId="0" fontId="2" fillId="0" borderId="0" xfId="21" applyFont="1" applyBorder="1" applyAlignment="1">
      <alignment vertical="center" wrapText="1"/>
    </xf>
    <xf numFmtId="1" fontId="69" fillId="5" borderId="14" xfId="21" applyNumberFormat="1" applyFont="1" applyFill="1" applyBorder="1" applyAlignment="1">
      <alignment horizontal="center" vertical="center" wrapText="1"/>
    </xf>
    <xf numFmtId="0" fontId="63" fillId="0" borderId="8" xfId="21" applyFont="1" applyBorder="1" applyAlignment="1">
      <alignment horizontal="center" vertical="center" wrapText="1"/>
    </xf>
    <xf numFmtId="0" fontId="63" fillId="0" borderId="9" xfId="21" applyFont="1" applyBorder="1" applyAlignment="1">
      <alignment horizontal="center" vertical="center" wrapText="1"/>
    </xf>
    <xf numFmtId="176" fontId="69" fillId="0" borderId="7" xfId="21" applyNumberFormat="1" applyFont="1" applyBorder="1" applyAlignment="1">
      <alignment horizontal="center" vertical="center" wrapText="1"/>
    </xf>
    <xf numFmtId="176" fontId="69" fillId="0" borderId="3" xfId="21" applyNumberFormat="1" applyFont="1" applyBorder="1" applyAlignment="1">
      <alignment horizontal="center" vertical="center" wrapText="1"/>
    </xf>
    <xf numFmtId="176" fontId="69" fillId="0" borderId="4" xfId="21" applyNumberFormat="1" applyFont="1" applyBorder="1" applyAlignment="1">
      <alignment horizontal="center" vertical="center" wrapText="1"/>
    </xf>
    <xf numFmtId="176" fontId="69" fillId="0" borderId="5" xfId="21" applyNumberFormat="1" applyFont="1" applyBorder="1" applyAlignment="1">
      <alignment horizontal="center" vertical="center" wrapText="1"/>
    </xf>
    <xf numFmtId="176" fontId="68" fillId="0" borderId="3" xfId="21" applyNumberFormat="1" applyFont="1" applyBorder="1" applyAlignment="1">
      <alignment horizontal="center" vertical="center" wrapText="1"/>
    </xf>
    <xf numFmtId="176" fontId="68" fillId="0" borderId="4" xfId="21" applyNumberFormat="1" applyFont="1" applyBorder="1" applyAlignment="1">
      <alignment horizontal="center" vertical="center" wrapText="1"/>
    </xf>
    <xf numFmtId="176" fontId="68" fillId="0" borderId="6" xfId="21" applyNumberFormat="1" applyFont="1" applyBorder="1" applyAlignment="1">
      <alignment horizontal="center" vertical="center" wrapText="1"/>
    </xf>
    <xf numFmtId="176" fontId="68" fillId="0" borderId="0" xfId="21" applyNumberFormat="1" applyFont="1" applyBorder="1" applyAlignment="1">
      <alignment horizontal="center" vertical="center" wrapText="1"/>
    </xf>
    <xf numFmtId="176" fontId="68" fillId="0" borderId="5" xfId="21" applyNumberFormat="1" applyFont="1" applyBorder="1" applyAlignment="1">
      <alignment horizontal="center" vertical="center" wrapText="1"/>
    </xf>
    <xf numFmtId="176" fontId="68" fillId="0" borderId="7" xfId="21" applyNumberFormat="1" applyFont="1" applyBorder="1" applyAlignment="1">
      <alignment horizontal="center" vertical="center" wrapText="1"/>
    </xf>
    <xf numFmtId="1" fontId="69" fillId="0" borderId="8" xfId="21" applyNumberFormat="1" applyFont="1" applyBorder="1" applyAlignment="1">
      <alignment horizontal="center" vertical="center" wrapText="1"/>
    </xf>
    <xf numFmtId="1" fontId="69" fillId="0" borderId="1" xfId="21" applyNumberFormat="1" applyFont="1" applyBorder="1" applyAlignment="1">
      <alignment horizontal="center" vertical="center" wrapText="1"/>
    </xf>
    <xf numFmtId="1" fontId="69" fillId="0" borderId="29" xfId="21" applyNumberFormat="1" applyFont="1" applyBorder="1" applyAlignment="1">
      <alignment horizontal="center" vertical="center" wrapText="1"/>
    </xf>
    <xf numFmtId="0" fontId="58" fillId="0" borderId="0" xfId="21" applyFont="1" applyBorder="1" applyAlignment="1">
      <alignment horizontal="justify" vertical="center"/>
    </xf>
    <xf numFmtId="0" fontId="80" fillId="0" borderId="0" xfId="21" applyBorder="1" applyAlignment="1">
      <alignment vertical="center"/>
    </xf>
    <xf numFmtId="0" fontId="64" fillId="0" borderId="13" xfId="21" applyFont="1" applyBorder="1" applyAlignment="1">
      <alignment horizontal="center" vertical="center" wrapText="1"/>
    </xf>
    <xf numFmtId="176" fontId="68" fillId="0" borderId="12" xfId="21" applyNumberFormat="1" applyFont="1" applyBorder="1" applyAlignment="1">
      <alignment horizontal="center" vertical="center" wrapText="1"/>
    </xf>
    <xf numFmtId="176" fontId="68" fillId="0" borderId="13" xfId="21" applyNumberFormat="1" applyFont="1" applyBorder="1" applyAlignment="1">
      <alignment horizontal="center" vertical="center" wrapText="1"/>
    </xf>
    <xf numFmtId="176" fontId="68" fillId="0" borderId="44" xfId="21" applyNumberFormat="1" applyFont="1" applyBorder="1" applyAlignment="1">
      <alignment horizontal="center" vertical="center" wrapText="1"/>
    </xf>
    <xf numFmtId="176" fontId="68" fillId="0" borderId="18" xfId="21" applyNumberFormat="1" applyFont="1" applyBorder="1" applyAlignment="1">
      <alignment horizontal="center" vertical="center" wrapText="1"/>
    </xf>
    <xf numFmtId="176" fontId="68" fillId="0" borderId="25" xfId="21" applyNumberFormat="1" applyFont="1" applyBorder="1" applyAlignment="1">
      <alignment horizontal="center" vertical="center" wrapText="1"/>
    </xf>
    <xf numFmtId="176" fontId="68" fillId="0" borderId="1" xfId="21" applyNumberFormat="1" applyFont="1" applyBorder="1" applyAlignment="1">
      <alignment horizontal="center" vertical="center" wrapText="1"/>
    </xf>
    <xf numFmtId="176" fontId="68" fillId="0" borderId="2" xfId="21" applyNumberFormat="1" applyFont="1" applyBorder="1" applyAlignment="1">
      <alignment horizontal="center" vertical="center" wrapText="1"/>
    </xf>
    <xf numFmtId="176" fontId="68" fillId="0" borderId="38" xfId="21" applyNumberFormat="1" applyFont="1" applyBorder="1" applyAlignment="1">
      <alignment horizontal="center" vertical="center"/>
    </xf>
    <xf numFmtId="176" fontId="68" fillId="0" borderId="22" xfId="21" applyNumberFormat="1" applyFont="1" applyBorder="1" applyAlignment="1">
      <alignment horizontal="center" vertical="center"/>
    </xf>
    <xf numFmtId="176" fontId="68" fillId="0" borderId="23" xfId="21" applyNumberFormat="1" applyFont="1" applyBorder="1" applyAlignment="1">
      <alignment horizontal="center" vertical="center"/>
    </xf>
    <xf numFmtId="176" fontId="69" fillId="0" borderId="1" xfId="21" applyNumberFormat="1" applyFont="1" applyBorder="1" applyAlignment="1">
      <alignment horizontal="center" vertical="center" wrapText="1"/>
    </xf>
    <xf numFmtId="176" fontId="69" fillId="0" borderId="29" xfId="21" applyNumberFormat="1" applyFont="1" applyBorder="1" applyAlignment="1">
      <alignment horizontal="center" vertical="center" wrapText="1"/>
    </xf>
    <xf numFmtId="176" fontId="68" fillId="0" borderId="15" xfId="21" applyNumberFormat="1" applyFont="1" applyBorder="1" applyAlignment="1">
      <alignment horizontal="center" vertical="center" wrapText="1"/>
    </xf>
    <xf numFmtId="176" fontId="68" fillId="0" borderId="16" xfId="21" applyNumberFormat="1" applyFont="1" applyBorder="1" applyAlignment="1">
      <alignment horizontal="center" vertical="center" wrapText="1"/>
    </xf>
    <xf numFmtId="176" fontId="68" fillId="0" borderId="17" xfId="21" applyNumberFormat="1" applyFont="1" applyBorder="1" applyAlignment="1">
      <alignment horizontal="center" vertical="center" wrapText="1"/>
    </xf>
    <xf numFmtId="176" fontId="68" fillId="0" borderId="29" xfId="21" applyNumberFormat="1" applyFont="1" applyBorder="1" applyAlignment="1">
      <alignment horizontal="center" vertical="center" wrapText="1"/>
    </xf>
    <xf numFmtId="176" fontId="68" fillId="0" borderId="15" xfId="21" applyNumberFormat="1" applyFont="1" applyBorder="1" applyAlignment="1">
      <alignment horizontal="center" vertical="center"/>
    </xf>
    <xf numFmtId="176" fontId="68" fillId="0" borderId="16" xfId="21" applyNumberFormat="1" applyFont="1" applyBorder="1" applyAlignment="1">
      <alignment horizontal="center" vertical="center"/>
    </xf>
    <xf numFmtId="176" fontId="68" fillId="0" borderId="17" xfId="21" applyNumberFormat="1" applyFont="1" applyBorder="1" applyAlignment="1">
      <alignment horizontal="center" vertical="center"/>
    </xf>
    <xf numFmtId="176" fontId="68" fillId="0" borderId="25" xfId="21" applyNumberFormat="1" applyFont="1" applyBorder="1" applyAlignment="1">
      <alignment horizontal="center" vertical="center"/>
    </xf>
    <xf numFmtId="176" fontId="68" fillId="0" borderId="1" xfId="21" applyNumberFormat="1" applyFont="1" applyBorder="1" applyAlignment="1">
      <alignment horizontal="center" vertical="center"/>
    </xf>
    <xf numFmtId="176" fontId="68" fillId="0" borderId="29" xfId="21" applyNumberFormat="1" applyFont="1" applyBorder="1" applyAlignment="1">
      <alignment horizontal="center" vertical="center"/>
    </xf>
    <xf numFmtId="0" fontId="64" fillId="0" borderId="6" xfId="21" applyFont="1" applyBorder="1" applyAlignment="1">
      <alignment horizontal="right" vertical="center" wrapText="1"/>
    </xf>
    <xf numFmtId="0" fontId="64" fillId="0" borderId="0" xfId="21" applyFont="1" applyBorder="1" applyAlignment="1">
      <alignment horizontal="right" vertical="center" wrapText="1"/>
    </xf>
    <xf numFmtId="176" fontId="69" fillId="11" borderId="25" xfId="21" applyNumberFormat="1" applyFont="1" applyFill="1" applyBorder="1" applyAlignment="1">
      <alignment horizontal="center" vertical="center" wrapText="1"/>
    </xf>
    <xf numFmtId="176" fontId="69" fillId="11" borderId="1" xfId="21" applyNumberFormat="1" applyFont="1" applyFill="1" applyBorder="1" applyAlignment="1">
      <alignment horizontal="center" vertical="center" wrapText="1"/>
    </xf>
    <xf numFmtId="176" fontId="69" fillId="11" borderId="29" xfId="21" applyNumberFormat="1" applyFont="1" applyFill="1" applyBorder="1" applyAlignment="1">
      <alignment horizontal="center" vertical="center" wrapText="1"/>
    </xf>
    <xf numFmtId="176" fontId="69" fillId="5" borderId="35" xfId="21" applyNumberFormat="1" applyFont="1" applyFill="1" applyBorder="1" applyAlignment="1">
      <alignment horizontal="center" vertical="center" wrapText="1"/>
    </xf>
    <xf numFmtId="176" fontId="69" fillId="13" borderId="72" xfId="21" applyNumberFormat="1" applyFont="1" applyFill="1" applyBorder="1" applyAlignment="1" applyProtection="1">
      <alignment horizontal="center" vertical="center" wrapText="1"/>
      <protection locked="0"/>
    </xf>
    <xf numFmtId="176" fontId="69" fillId="13" borderId="67" xfId="21" applyNumberFormat="1" applyFont="1" applyFill="1" applyBorder="1" applyAlignment="1" applyProtection="1">
      <alignment horizontal="center" vertical="center" wrapText="1"/>
      <protection locked="0"/>
    </xf>
    <xf numFmtId="176" fontId="63" fillId="0" borderId="12" xfId="21" applyNumberFormat="1" applyFont="1" applyBorder="1" applyAlignment="1">
      <alignment horizontal="right" vertical="center" shrinkToFit="1"/>
    </xf>
    <xf numFmtId="176" fontId="63" fillId="0" borderId="13" xfId="21" applyNumberFormat="1" applyFont="1" applyBorder="1" applyAlignment="1">
      <alignment horizontal="right" vertical="center" shrinkToFit="1"/>
    </xf>
    <xf numFmtId="0" fontId="64" fillId="0" borderId="3" xfId="21" applyFont="1" applyBorder="1" applyAlignment="1">
      <alignment horizontal="right" vertical="center" wrapText="1"/>
    </xf>
    <xf numFmtId="0" fontId="64" fillId="0" borderId="4" xfId="21" applyFont="1" applyBorder="1" applyAlignment="1">
      <alignment horizontal="right" vertical="center" wrapText="1"/>
    </xf>
    <xf numFmtId="176" fontId="69" fillId="13" borderId="68" xfId="21" applyNumberFormat="1" applyFont="1" applyFill="1" applyBorder="1" applyAlignment="1" applyProtection="1">
      <alignment horizontal="center" vertical="center" wrapText="1"/>
      <protection locked="0"/>
    </xf>
    <xf numFmtId="176" fontId="30" fillId="0" borderId="41" xfId="0" applyNumberFormat="1" applyFont="1" applyBorder="1" applyAlignment="1">
      <alignment horizontal="right" vertical="center" wrapText="1"/>
    </xf>
    <xf numFmtId="176" fontId="30" fillId="0" borderId="34" xfId="0" applyNumberFormat="1" applyFont="1" applyBorder="1" applyAlignment="1">
      <alignment horizontal="right" vertical="center" wrapText="1"/>
    </xf>
    <xf numFmtId="176" fontId="18" fillId="0" borderId="34" xfId="0" applyNumberFormat="1" applyFont="1" applyBorder="1" applyAlignment="1">
      <alignment horizontal="left" vertical="center" wrapText="1"/>
    </xf>
    <xf numFmtId="176" fontId="18" fillId="0" borderId="36" xfId="0" applyNumberFormat="1" applyFont="1" applyBorder="1" applyAlignment="1">
      <alignment horizontal="left" vertical="center" wrapText="1"/>
    </xf>
    <xf numFmtId="176" fontId="18" fillId="0" borderId="41" xfId="0" applyNumberFormat="1" applyFont="1" applyBorder="1" applyAlignment="1">
      <alignment horizontal="center" vertical="center"/>
    </xf>
    <xf numFmtId="176" fontId="18" fillId="0" borderId="34" xfId="0" applyNumberFormat="1" applyFont="1" applyBorder="1" applyAlignment="1">
      <alignment horizontal="center" vertical="center"/>
    </xf>
    <xf numFmtId="176" fontId="18" fillId="0" borderId="40" xfId="0" applyNumberFormat="1" applyFont="1" applyBorder="1" applyAlignment="1">
      <alignment horizontal="center" vertical="center"/>
    </xf>
    <xf numFmtId="176" fontId="18" fillId="0" borderId="12" xfId="0" applyNumberFormat="1" applyFont="1" applyBorder="1" applyAlignment="1">
      <alignment horizontal="center" vertical="center"/>
    </xf>
    <xf numFmtId="176" fontId="18" fillId="0" borderId="13" xfId="0" applyNumberFormat="1" applyFont="1" applyBorder="1" applyAlignment="1">
      <alignment horizontal="center" vertical="center"/>
    </xf>
    <xf numFmtId="176" fontId="18" fillId="0" borderId="14" xfId="0" applyNumberFormat="1" applyFont="1" applyBorder="1" applyAlignment="1">
      <alignment horizontal="center" vertical="center"/>
    </xf>
    <xf numFmtId="0" fontId="18" fillId="0" borderId="24" xfId="0" applyFont="1" applyBorder="1" applyAlignment="1">
      <alignment horizontal="center" vertical="center" wrapText="1"/>
    </xf>
    <xf numFmtId="0" fontId="18"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42" xfId="0" applyFont="1" applyBorder="1" applyAlignment="1">
      <alignment horizontal="center" vertical="center" wrapText="1"/>
    </xf>
    <xf numFmtId="176" fontId="18" fillId="0" borderId="12" xfId="0" applyNumberFormat="1" applyFont="1" applyBorder="1" applyAlignment="1">
      <alignment horizontal="left" vertical="center" wrapText="1"/>
    </xf>
    <xf numFmtId="176" fontId="18" fillId="0" borderId="13" xfId="0" applyNumberFormat="1" applyFont="1" applyBorder="1" applyAlignment="1">
      <alignment horizontal="left" vertical="center" wrapText="1"/>
    </xf>
    <xf numFmtId="0" fontId="83" fillId="0" borderId="22" xfId="0" applyFont="1" applyBorder="1" applyAlignment="1">
      <alignment horizontal="center" vertical="center" wrapText="1"/>
    </xf>
    <xf numFmtId="0" fontId="83" fillId="0" borderId="42" xfId="0" applyFont="1" applyBorder="1" applyAlignment="1">
      <alignment horizontal="center" vertical="center" wrapText="1"/>
    </xf>
    <xf numFmtId="176" fontId="18" fillId="0" borderId="41" xfId="0" applyNumberFormat="1" applyFont="1" applyBorder="1" applyAlignment="1">
      <alignment horizontal="right" vertical="center"/>
    </xf>
    <xf numFmtId="176" fontId="18" fillId="0" borderId="34" xfId="0" applyNumberFormat="1" applyFont="1" applyBorder="1" applyAlignment="1">
      <alignment horizontal="right" vertical="center"/>
    </xf>
    <xf numFmtId="176" fontId="18" fillId="0" borderId="34" xfId="0" applyNumberFormat="1" applyFont="1" applyBorder="1" applyAlignment="1">
      <alignment horizontal="left" vertical="center"/>
    </xf>
    <xf numFmtId="176" fontId="18" fillId="0" borderId="40" xfId="0" applyNumberFormat="1" applyFont="1" applyBorder="1" applyAlignment="1">
      <alignment horizontal="left" vertical="center"/>
    </xf>
    <xf numFmtId="176" fontId="18" fillId="0" borderId="45" xfId="0" applyNumberFormat="1" applyFont="1" applyBorder="1" applyAlignment="1">
      <alignment horizontal="center" vertical="center"/>
    </xf>
    <xf numFmtId="176" fontId="18" fillId="0" borderId="33" xfId="0" applyNumberFormat="1" applyFont="1" applyBorder="1" applyAlignment="1">
      <alignment horizontal="center" vertical="center"/>
    </xf>
    <xf numFmtId="176" fontId="18" fillId="0" borderId="46" xfId="0" applyNumberFormat="1" applyFont="1" applyBorder="1" applyAlignment="1">
      <alignment horizontal="center" vertical="center"/>
    </xf>
    <xf numFmtId="0" fontId="129" fillId="4" borderId="8" xfId="0" applyFont="1" applyFill="1" applyBorder="1" applyAlignment="1" applyProtection="1">
      <alignment vertical="center" wrapText="1"/>
      <protection locked="0"/>
    </xf>
    <xf numFmtId="0" fontId="129" fillId="4" borderId="1" xfId="0" applyFont="1" applyFill="1" applyBorder="1" applyAlignment="1" applyProtection="1">
      <alignment vertical="center" wrapText="1"/>
      <protection locked="0"/>
    </xf>
    <xf numFmtId="0" fontId="129" fillId="4" borderId="9" xfId="0" applyFont="1" applyFill="1" applyBorder="1" applyAlignment="1" applyProtection="1">
      <alignment vertical="center" wrapText="1"/>
      <protection locked="0"/>
    </xf>
    <xf numFmtId="0" fontId="129" fillId="4" borderId="12" xfId="0" applyFont="1" applyFill="1" applyBorder="1" applyAlignment="1" applyProtection="1">
      <alignment vertical="center" wrapText="1"/>
      <protection locked="0"/>
    </xf>
    <xf numFmtId="0" fontId="129" fillId="4" borderId="13" xfId="0" applyFont="1" applyFill="1" applyBorder="1" applyAlignment="1" applyProtection="1">
      <alignment vertical="center" wrapText="1"/>
      <protection locked="0"/>
    </xf>
    <xf numFmtId="0" fontId="129" fillId="4" borderId="14" xfId="0" applyFont="1" applyFill="1" applyBorder="1" applyAlignment="1" applyProtection="1">
      <alignment vertical="center" wrapText="1"/>
      <protection locked="0"/>
    </xf>
    <xf numFmtId="0" fontId="129" fillId="4" borderId="45" xfId="0" applyFont="1" applyFill="1" applyBorder="1" applyAlignment="1" applyProtection="1">
      <alignment vertical="center" wrapText="1"/>
      <protection locked="0"/>
    </xf>
    <xf numFmtId="0" fontId="129" fillId="4" borderId="33" xfId="0" applyFont="1" applyFill="1" applyBorder="1" applyAlignment="1" applyProtection="1">
      <alignment vertical="center" wrapText="1"/>
      <protection locked="0"/>
    </xf>
    <xf numFmtId="0" fontId="129" fillId="4" borderId="46" xfId="0" applyFont="1" applyFill="1" applyBorder="1" applyAlignment="1" applyProtection="1">
      <alignment vertical="center" wrapText="1"/>
      <protection locked="0"/>
    </xf>
    <xf numFmtId="176" fontId="129" fillId="0" borderId="33" xfId="0" applyNumberFormat="1" applyFont="1" applyBorder="1" applyAlignment="1">
      <alignment horizontal="center" vertical="center"/>
    </xf>
    <xf numFmtId="176" fontId="129" fillId="0" borderId="46" xfId="0" applyNumberFormat="1" applyFont="1" applyBorder="1" applyAlignment="1">
      <alignment horizontal="center" vertical="center"/>
    </xf>
    <xf numFmtId="176" fontId="129" fillId="0" borderId="1" xfId="0" applyNumberFormat="1" applyFont="1" applyBorder="1" applyAlignment="1">
      <alignment horizontal="center" vertical="center"/>
    </xf>
    <xf numFmtId="176" fontId="129" fillId="0" borderId="9" xfId="0" applyNumberFormat="1" applyFont="1" applyBorder="1" applyAlignment="1">
      <alignment horizontal="center" vertical="center"/>
    </xf>
    <xf numFmtId="176" fontId="129" fillId="0" borderId="13" xfId="0" applyNumberFormat="1" applyFont="1" applyBorder="1" applyAlignment="1">
      <alignment horizontal="center" vertical="center"/>
    </xf>
    <xf numFmtId="176" fontId="129" fillId="0" borderId="14" xfId="0" applyNumberFormat="1" applyFont="1" applyBorder="1" applyAlignment="1">
      <alignment horizontal="center" vertical="center"/>
    </xf>
    <xf numFmtId="176" fontId="16" fillId="0" borderId="27" xfId="0" applyNumberFormat="1" applyFont="1" applyBorder="1" applyAlignment="1">
      <alignment horizontal="left" vertical="top" wrapText="1"/>
    </xf>
    <xf numFmtId="176" fontId="16" fillId="0" borderId="11" xfId="0" applyNumberFormat="1" applyFont="1" applyBorder="1" applyAlignment="1">
      <alignment horizontal="left" vertical="top" wrapText="1"/>
    </xf>
    <xf numFmtId="176" fontId="16" fillId="0" borderId="21" xfId="0" applyNumberFormat="1" applyFont="1" applyBorder="1" applyAlignment="1">
      <alignment horizontal="left" vertical="top" wrapText="1"/>
    </xf>
    <xf numFmtId="176" fontId="20" fillId="0" borderId="45" xfId="0" applyNumberFormat="1" applyFont="1" applyBorder="1" applyAlignment="1">
      <alignment horizontal="left" vertical="center" wrapText="1"/>
    </xf>
    <xf numFmtId="176" fontId="20" fillId="0" borderId="33" xfId="0" applyNumberFormat="1" applyFont="1" applyBorder="1" applyAlignment="1">
      <alignment horizontal="left" vertical="center" wrapText="1"/>
    </xf>
    <xf numFmtId="176" fontId="20" fillId="0" borderId="35" xfId="0" applyNumberFormat="1" applyFont="1" applyBorder="1" applyAlignment="1">
      <alignment horizontal="left" vertical="center" wrapText="1"/>
    </xf>
    <xf numFmtId="176" fontId="129" fillId="0" borderId="1" xfId="0" applyNumberFormat="1" applyFont="1" applyFill="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left" vertical="top"/>
    </xf>
    <xf numFmtId="0" fontId="21" fillId="0" borderId="0" xfId="0" applyFont="1" applyAlignment="1">
      <alignment horizontal="left" wrapText="1"/>
    </xf>
    <xf numFmtId="0" fontId="19" fillId="0" borderId="1" xfId="0" applyFont="1" applyBorder="1" applyAlignment="1">
      <alignment horizontal="left" wrapText="1"/>
    </xf>
    <xf numFmtId="0" fontId="19" fillId="0" borderId="13" xfId="0" applyFont="1" applyBorder="1" applyAlignment="1">
      <alignment horizontal="left" wrapText="1"/>
    </xf>
    <xf numFmtId="0" fontId="18" fillId="0" borderId="23" xfId="0" applyFont="1" applyBorder="1" applyAlignment="1">
      <alignment horizontal="center" vertical="center" wrapText="1"/>
    </xf>
    <xf numFmtId="0" fontId="19" fillId="0" borderId="11" xfId="0" applyFont="1" applyBorder="1" applyAlignment="1">
      <alignment horizontal="left" vertical="center" wrapText="1"/>
    </xf>
    <xf numFmtId="0" fontId="18" fillId="0" borderId="37"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6" xfId="0" applyFont="1" applyBorder="1" applyAlignment="1">
      <alignment horizontal="center" vertical="center" wrapText="1"/>
    </xf>
    <xf numFmtId="176" fontId="34" fillId="4" borderId="13" xfId="0" applyNumberFormat="1" applyFont="1" applyFill="1" applyBorder="1" applyAlignment="1" applyProtection="1">
      <alignment horizontal="left" wrapText="1"/>
      <protection locked="0"/>
    </xf>
    <xf numFmtId="176" fontId="16" fillId="0" borderId="48" xfId="0" applyNumberFormat="1" applyFont="1" applyBorder="1" applyAlignment="1">
      <alignment horizontal="left" vertical="top" wrapText="1"/>
    </xf>
    <xf numFmtId="176" fontId="16" fillId="0" borderId="16" xfId="0" applyNumberFormat="1" applyFont="1" applyBorder="1" applyAlignment="1">
      <alignment horizontal="left" vertical="top" wrapText="1"/>
    </xf>
    <xf numFmtId="176" fontId="16" fillId="0" borderId="17" xfId="0" applyNumberFormat="1" applyFont="1" applyBorder="1" applyAlignment="1">
      <alignment horizontal="left" vertical="top" wrapText="1"/>
    </xf>
    <xf numFmtId="176" fontId="16" fillId="0" borderId="6" xfId="0" applyNumberFormat="1" applyFont="1" applyBorder="1" applyAlignment="1">
      <alignment horizontal="left" vertical="top" wrapText="1"/>
    </xf>
    <xf numFmtId="176" fontId="16" fillId="0" borderId="0" xfId="0" applyNumberFormat="1" applyFont="1" applyBorder="1" applyAlignment="1">
      <alignment horizontal="left" vertical="top" wrapText="1"/>
    </xf>
    <xf numFmtId="176" fontId="16" fillId="0" borderId="19" xfId="0" applyNumberFormat="1" applyFont="1" applyBorder="1" applyAlignment="1">
      <alignment horizontal="left" vertical="top" wrapText="1"/>
    </xf>
    <xf numFmtId="176" fontId="18" fillId="0" borderId="45" xfId="0" applyNumberFormat="1" applyFont="1" applyBorder="1" applyAlignment="1">
      <alignment horizontal="left" vertical="center" wrapText="1"/>
    </xf>
    <xf numFmtId="176" fontId="18" fillId="0" borderId="33" xfId="0" applyNumberFormat="1" applyFont="1" applyBorder="1" applyAlignment="1">
      <alignment horizontal="left" vertical="center" wrapText="1"/>
    </xf>
    <xf numFmtId="0" fontId="18" fillId="0" borderId="42" xfId="0" applyFont="1" applyBorder="1" applyAlignment="1">
      <alignment horizontal="center" vertical="center" wrapText="1"/>
    </xf>
    <xf numFmtId="0" fontId="34" fillId="0" borderId="13" xfId="0" applyNumberFormat="1" applyFont="1" applyBorder="1" applyAlignment="1">
      <alignment horizontal="left" vertical="center" wrapText="1"/>
    </xf>
    <xf numFmtId="0" fontId="34" fillId="0" borderId="14" xfId="0" applyNumberFormat="1" applyFont="1" applyBorder="1" applyAlignment="1">
      <alignment horizontal="left" vertical="center" wrapText="1"/>
    </xf>
    <xf numFmtId="0" fontId="34" fillId="0" borderId="1" xfId="0" applyNumberFormat="1" applyFont="1" applyBorder="1" applyAlignment="1">
      <alignment horizontal="center" vertical="center" wrapText="1"/>
    </xf>
    <xf numFmtId="176" fontId="94" fillId="0" borderId="4" xfId="0" applyNumberFormat="1" applyFont="1" applyBorder="1" applyAlignment="1">
      <alignment horizontal="center" vertical="center" wrapText="1"/>
    </xf>
    <xf numFmtId="176" fontId="87" fillId="0" borderId="4" xfId="0" applyNumberFormat="1" applyFont="1" applyBorder="1" applyAlignment="1">
      <alignment horizontal="center" vertical="center" wrapText="1"/>
    </xf>
    <xf numFmtId="0" fontId="27" fillId="0" borderId="4" xfId="0" applyFont="1" applyBorder="1" applyAlignment="1">
      <alignment horizontal="center" vertical="center" wrapText="1"/>
    </xf>
    <xf numFmtId="176" fontId="16" fillId="0" borderId="4" xfId="0" applyNumberFormat="1" applyFont="1" applyBorder="1" applyAlignment="1">
      <alignment horizontal="center" vertical="center" wrapText="1"/>
    </xf>
    <xf numFmtId="0" fontId="34" fillId="0" borderId="13" xfId="0" applyNumberFormat="1" applyFont="1" applyBorder="1" applyAlignment="1">
      <alignment horizontal="right" vertical="center" wrapText="1"/>
    </xf>
    <xf numFmtId="0" fontId="34" fillId="0" borderId="13" xfId="0" applyNumberFormat="1" applyFont="1" applyBorder="1" applyAlignment="1">
      <alignment horizontal="center" vertical="center" wrapText="1"/>
    </xf>
    <xf numFmtId="176" fontId="19" fillId="0" borderId="12" xfId="0" applyNumberFormat="1" applyFont="1" applyBorder="1" applyAlignment="1">
      <alignment horizontal="left" vertical="center" shrinkToFit="1"/>
    </xf>
    <xf numFmtId="176" fontId="19" fillId="0" borderId="13" xfId="0" applyNumberFormat="1" applyFont="1" applyBorder="1" applyAlignment="1">
      <alignment horizontal="left" vertical="center" shrinkToFit="1"/>
    </xf>
    <xf numFmtId="176" fontId="19" fillId="0" borderId="14" xfId="0" applyNumberFormat="1" applyFont="1" applyBorder="1" applyAlignment="1">
      <alignment horizontal="left" vertical="center" shrinkToFit="1"/>
    </xf>
    <xf numFmtId="176" fontId="26" fillId="0" borderId="12" xfId="0" applyNumberFormat="1" applyFont="1" applyBorder="1" applyAlignment="1">
      <alignment horizontal="center" vertical="center" wrapText="1"/>
    </xf>
    <xf numFmtId="176" fontId="26" fillId="0" borderId="13" xfId="0" applyNumberFormat="1" applyFont="1" applyBorder="1" applyAlignment="1">
      <alignment horizontal="center" vertical="center" wrapText="1"/>
    </xf>
    <xf numFmtId="176" fontId="16" fillId="0" borderId="5" xfId="0" applyNumberFormat="1" applyFont="1" applyBorder="1" applyAlignment="1">
      <alignment horizontal="center" vertical="center" wrapText="1"/>
    </xf>
    <xf numFmtId="176" fontId="34" fillId="0" borderId="12" xfId="0" applyNumberFormat="1" applyFont="1" applyBorder="1" applyAlignment="1">
      <alignment horizontal="right" vertical="center" wrapText="1"/>
    </xf>
    <xf numFmtId="176" fontId="34" fillId="0" borderId="13" xfId="0" applyNumberFormat="1" applyFont="1" applyBorder="1" applyAlignment="1">
      <alignment horizontal="right" vertical="center" wrapText="1"/>
    </xf>
    <xf numFmtId="183" fontId="34" fillId="0" borderId="13" xfId="0" applyNumberFormat="1" applyFont="1" applyBorder="1" applyAlignment="1">
      <alignment horizontal="right" vertical="center" wrapText="1"/>
    </xf>
    <xf numFmtId="176" fontId="30" fillId="0" borderId="0" xfId="0" applyNumberFormat="1" applyFont="1" applyBorder="1" applyAlignment="1">
      <alignment horizontal="center" vertical="center" wrapText="1"/>
    </xf>
    <xf numFmtId="176" fontId="16" fillId="0" borderId="0" xfId="0" applyNumberFormat="1" applyFont="1" applyBorder="1" applyAlignment="1">
      <alignment horizontal="center" vertical="center"/>
    </xf>
    <xf numFmtId="176" fontId="93" fillId="0" borderId="6" xfId="1" applyNumberFormat="1" applyFont="1" applyBorder="1" applyAlignment="1">
      <alignment horizontal="center" vertical="top"/>
    </xf>
    <xf numFmtId="176" fontId="93" fillId="0" borderId="7" xfId="1" applyNumberFormat="1" applyFont="1" applyBorder="1" applyAlignment="1">
      <alignment horizontal="center" vertical="top"/>
    </xf>
    <xf numFmtId="184" fontId="93" fillId="0" borderId="6" xfId="1" applyNumberFormat="1" applyFont="1" applyBorder="1" applyAlignment="1">
      <alignment horizontal="center"/>
    </xf>
    <xf numFmtId="184" fontId="93" fillId="0" borderId="7" xfId="1" applyNumberFormat="1" applyFont="1" applyBorder="1" applyAlignment="1">
      <alignment horizontal="center"/>
    </xf>
    <xf numFmtId="185" fontId="93" fillId="0" borderId="6" xfId="1" applyNumberFormat="1" applyFont="1" applyBorder="1" applyAlignment="1">
      <alignment horizontal="center" vertical="center" textRotation="255"/>
    </xf>
    <xf numFmtId="185" fontId="93" fillId="0" borderId="0" xfId="1" applyNumberFormat="1" applyFont="1" applyBorder="1" applyAlignment="1">
      <alignment horizontal="center" vertical="center" textRotation="255"/>
    </xf>
    <xf numFmtId="185" fontId="93" fillId="0" borderId="223" xfId="1" applyNumberFormat="1" applyFont="1" applyBorder="1" applyAlignment="1">
      <alignment horizontal="center" vertical="center" textRotation="255"/>
    </xf>
    <xf numFmtId="185" fontId="93" fillId="0" borderId="175" xfId="1" applyNumberFormat="1" applyFont="1" applyBorder="1" applyAlignment="1">
      <alignment horizontal="center" vertical="center" textRotation="255"/>
    </xf>
    <xf numFmtId="183" fontId="93" fillId="0" borderId="6" xfId="1" applyNumberFormat="1" applyFont="1" applyBorder="1" applyAlignment="1">
      <alignment horizontal="center"/>
    </xf>
    <xf numFmtId="183" fontId="93" fillId="0" borderId="7" xfId="1" applyNumberFormat="1" applyFont="1" applyBorder="1" applyAlignment="1">
      <alignment horizontal="center"/>
    </xf>
    <xf numFmtId="0" fontId="88" fillId="0" borderId="77" xfId="1" applyFont="1" applyBorder="1" applyAlignment="1">
      <alignment horizontal="center" vertical="center"/>
    </xf>
    <xf numFmtId="0" fontId="88" fillId="0" borderId="78" xfId="1" applyFont="1" applyBorder="1" applyAlignment="1">
      <alignment horizontal="center" vertical="center"/>
    </xf>
    <xf numFmtId="0" fontId="88" fillId="0" borderId="76" xfId="1" applyFont="1" applyBorder="1" applyAlignment="1">
      <alignment horizontal="center" vertical="center"/>
    </xf>
    <xf numFmtId="0" fontId="88" fillId="0" borderId="8" xfId="1" applyFont="1" applyBorder="1" applyAlignment="1">
      <alignment horizontal="center" vertical="center"/>
    </xf>
    <xf numFmtId="0" fontId="88" fillId="0" borderId="1" xfId="1" applyFont="1" applyBorder="1" applyAlignment="1">
      <alignment horizontal="center" vertical="center"/>
    </xf>
    <xf numFmtId="0" fontId="88" fillId="0" borderId="9" xfId="1" applyFont="1" applyBorder="1" applyAlignment="1">
      <alignment horizontal="center"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88" fillId="0" borderId="3" xfId="1" applyFont="1" applyBorder="1" applyAlignment="1">
      <alignment horizontal="center" vertical="center"/>
    </xf>
    <xf numFmtId="0" fontId="88" fillId="0" borderId="4" xfId="1" applyFont="1" applyBorder="1" applyAlignment="1">
      <alignment horizontal="center" vertical="center"/>
    </xf>
    <xf numFmtId="0" fontId="88" fillId="0" borderId="5" xfId="1" applyFont="1" applyBorder="1" applyAlignment="1">
      <alignment horizontal="center" vertical="center"/>
    </xf>
    <xf numFmtId="0" fontId="88" fillId="0" borderId="6" xfId="1" applyFont="1" applyBorder="1" applyAlignment="1">
      <alignment horizontal="center" vertical="center"/>
    </xf>
    <xf numFmtId="0" fontId="88" fillId="0" borderId="0" xfId="1" applyFont="1" applyBorder="1" applyAlignment="1">
      <alignment horizontal="center" vertical="center"/>
    </xf>
    <xf numFmtId="0" fontId="88" fillId="0" borderId="7" xfId="1" applyFont="1" applyBorder="1" applyAlignment="1">
      <alignment horizontal="center" vertical="center"/>
    </xf>
    <xf numFmtId="0" fontId="88" fillId="0" borderId="223" xfId="1" applyFont="1" applyBorder="1" applyAlignment="1">
      <alignment horizontal="center" vertical="center"/>
    </xf>
    <xf numFmtId="0" fontId="88" fillId="0" borderId="175" xfId="1" applyFont="1" applyBorder="1" applyAlignment="1">
      <alignment horizontal="center" vertical="center"/>
    </xf>
    <xf numFmtId="0" fontId="88" fillId="0" borderId="225" xfId="1" applyFont="1" applyBorder="1" applyAlignment="1">
      <alignment horizontal="center" vertical="center"/>
    </xf>
    <xf numFmtId="176" fontId="93" fillId="0" borderId="6" xfId="1" applyNumberFormat="1" applyFont="1" applyBorder="1" applyAlignment="1">
      <alignment horizontal="center" vertical="center" textRotation="255"/>
    </xf>
    <xf numFmtId="176" fontId="93" fillId="0" borderId="0" xfId="1" applyNumberFormat="1" applyFont="1" applyBorder="1" applyAlignment="1">
      <alignment horizontal="center" vertical="center" textRotation="255"/>
    </xf>
    <xf numFmtId="176" fontId="93" fillId="0" borderId="223" xfId="1" applyNumberFormat="1" applyFont="1" applyBorder="1" applyAlignment="1">
      <alignment horizontal="center" vertical="center" textRotation="255"/>
    </xf>
    <xf numFmtId="176" fontId="93" fillId="0" borderId="175" xfId="1" applyNumberFormat="1" applyFont="1" applyBorder="1" applyAlignment="1">
      <alignment horizontal="center" vertical="center" textRotation="255"/>
    </xf>
    <xf numFmtId="0" fontId="90" fillId="0" borderId="12" xfId="1" applyFont="1" applyBorder="1" applyAlignment="1">
      <alignment horizontal="center" vertical="center"/>
    </xf>
    <xf numFmtId="0" fontId="90" fillId="0" borderId="13" xfId="1" applyFont="1" applyBorder="1" applyAlignment="1">
      <alignment horizontal="center" vertical="center"/>
    </xf>
    <xf numFmtId="0" fontId="90" fillId="0" borderId="14" xfId="1" applyFont="1" applyBorder="1" applyAlignment="1">
      <alignment horizontal="center" vertical="center"/>
    </xf>
    <xf numFmtId="0" fontId="89" fillId="0" borderId="223" xfId="1" applyFont="1" applyBorder="1" applyAlignment="1">
      <alignment horizontal="center" vertical="center" wrapText="1"/>
    </xf>
    <xf numFmtId="0" fontId="89" fillId="0" borderId="175" xfId="1" applyFont="1" applyBorder="1" applyAlignment="1">
      <alignment horizontal="center" vertical="center" wrapText="1"/>
    </xf>
    <xf numFmtId="0" fontId="89" fillId="0" borderId="225" xfId="1" applyFont="1" applyBorder="1" applyAlignment="1">
      <alignment horizontal="center" vertical="center" wrapText="1"/>
    </xf>
    <xf numFmtId="0" fontId="89" fillId="0" borderId="3" xfId="1" applyFont="1" applyBorder="1" applyAlignment="1">
      <alignment horizontal="center" vertical="center" wrapText="1"/>
    </xf>
    <xf numFmtId="0" fontId="89" fillId="0" borderId="4" xfId="1" applyFont="1" applyBorder="1" applyAlignment="1">
      <alignment horizontal="center" vertical="center" wrapText="1"/>
    </xf>
    <xf numFmtId="0" fontId="89" fillId="0" borderId="5" xfId="1" applyFont="1" applyBorder="1" applyAlignment="1">
      <alignment horizontal="center" vertical="center" wrapText="1"/>
    </xf>
    <xf numFmtId="0" fontId="89" fillId="0" borderId="3" xfId="1" applyFont="1" applyBorder="1" applyAlignment="1">
      <alignment horizontal="center" vertical="center"/>
    </xf>
    <xf numFmtId="0" fontId="89" fillId="0" borderId="4" xfId="1" applyFont="1" applyBorder="1" applyAlignment="1">
      <alignment horizontal="center" vertical="center"/>
    </xf>
    <xf numFmtId="0" fontId="89" fillId="0" borderId="5" xfId="1" applyFont="1" applyBorder="1" applyAlignment="1">
      <alignment horizontal="center" vertical="center"/>
    </xf>
    <xf numFmtId="176" fontId="91" fillId="0" borderId="62" xfId="1" applyNumberFormat="1" applyFont="1" applyBorder="1" applyAlignment="1">
      <alignment horizontal="center" vertical="center" wrapText="1"/>
    </xf>
    <xf numFmtId="176" fontId="92" fillId="0" borderId="6" xfId="1" applyNumberFormat="1" applyFont="1" applyBorder="1" applyAlignment="1">
      <alignment horizontal="center"/>
    </xf>
    <xf numFmtId="176" fontId="92" fillId="0" borderId="0" xfId="1" applyNumberFormat="1" applyFont="1" applyBorder="1" applyAlignment="1">
      <alignment horizontal="center"/>
    </xf>
    <xf numFmtId="176" fontId="92" fillId="0" borderId="7" xfId="1" applyNumberFormat="1" applyFont="1" applyBorder="1" applyAlignment="1">
      <alignment horizontal="center"/>
    </xf>
    <xf numFmtId="176" fontId="89" fillId="0" borderId="62" xfId="1" applyNumberFormat="1" applyFont="1" applyBorder="1" applyAlignment="1">
      <alignment horizontal="center" vertical="center" wrapText="1"/>
    </xf>
    <xf numFmtId="176" fontId="89" fillId="0" borderId="69" xfId="1" applyNumberFormat="1" applyFont="1" applyBorder="1" applyAlignment="1">
      <alignment horizontal="center" vertical="center" wrapText="1"/>
    </xf>
    <xf numFmtId="176" fontId="138" fillId="0" borderId="222" xfId="1" applyNumberFormat="1" applyFont="1" applyFill="1" applyBorder="1" applyAlignment="1">
      <alignment horizontal="center" vertical="center" wrapText="1"/>
    </xf>
    <xf numFmtId="176" fontId="138" fillId="0" borderId="32" xfId="1" applyNumberFormat="1" applyFont="1" applyFill="1" applyBorder="1" applyAlignment="1">
      <alignment horizontal="center" vertical="center" wrapText="1"/>
    </xf>
    <xf numFmtId="176" fontId="92" fillId="0" borderId="48" xfId="1" applyNumberFormat="1" applyFont="1" applyFill="1" applyBorder="1" applyAlignment="1">
      <alignment horizontal="center"/>
    </xf>
    <xf numFmtId="176" fontId="92" fillId="0" borderId="16" xfId="1" applyNumberFormat="1" applyFont="1" applyFill="1" applyBorder="1" applyAlignment="1">
      <alignment horizontal="center"/>
    </xf>
    <xf numFmtId="176" fontId="92" fillId="0" borderId="43" xfId="1" applyNumberFormat="1" applyFont="1" applyFill="1" applyBorder="1" applyAlignment="1">
      <alignment horizontal="center"/>
    </xf>
    <xf numFmtId="176" fontId="92" fillId="0" borderId="27" xfId="1" applyNumberFormat="1" applyFont="1" applyFill="1" applyBorder="1" applyAlignment="1">
      <alignment horizontal="center"/>
    </xf>
    <xf numFmtId="176" fontId="92" fillId="0" borderId="11" xfId="1" applyNumberFormat="1" applyFont="1" applyFill="1" applyBorder="1" applyAlignment="1">
      <alignment horizontal="center"/>
    </xf>
    <xf numFmtId="176" fontId="92" fillId="0" borderId="26" xfId="1" applyNumberFormat="1" applyFont="1" applyFill="1" applyBorder="1" applyAlignment="1">
      <alignment horizontal="center"/>
    </xf>
    <xf numFmtId="0" fontId="89" fillId="0" borderId="149" xfId="1" applyFont="1" applyBorder="1" applyAlignment="1">
      <alignment horizontal="center" vertical="center" wrapText="1"/>
    </xf>
    <xf numFmtId="176" fontId="91" fillId="0" borderId="6" xfId="1" applyNumberFormat="1" applyFont="1" applyBorder="1" applyAlignment="1">
      <alignment horizontal="right"/>
    </xf>
    <xf numFmtId="176" fontId="91" fillId="0" borderId="0" xfId="1" applyNumberFormat="1" applyFont="1" applyBorder="1" applyAlignment="1">
      <alignment horizontal="right"/>
    </xf>
    <xf numFmtId="176" fontId="91" fillId="0" borderId="7" xfId="1" applyNumberFormat="1" applyFont="1" applyBorder="1" applyAlignment="1">
      <alignment horizontal="right"/>
    </xf>
    <xf numFmtId="176" fontId="91" fillId="0" borderId="50" xfId="1" applyNumberFormat="1" applyFont="1" applyBorder="1" applyAlignment="1">
      <alignment horizontal="right"/>
    </xf>
    <xf numFmtId="176" fontId="91" fillId="0" borderId="52" xfId="1" applyNumberFormat="1" applyFont="1" applyBorder="1" applyAlignment="1">
      <alignment horizontal="right"/>
    </xf>
    <xf numFmtId="176" fontId="128" fillId="0" borderId="154" xfId="1" applyNumberFormat="1" applyFont="1" applyBorder="1" applyAlignment="1">
      <alignment horizontal="center" vertical="center"/>
    </xf>
    <xf numFmtId="176" fontId="128" fillId="0" borderId="150" xfId="1" applyNumberFormat="1" applyFont="1" applyBorder="1" applyAlignment="1">
      <alignment horizontal="center" vertical="center"/>
    </xf>
    <xf numFmtId="176" fontId="128" fillId="0" borderId="151" xfId="1" applyNumberFormat="1" applyFont="1" applyBorder="1" applyAlignment="1">
      <alignment horizontal="center" vertical="center"/>
    </xf>
    <xf numFmtId="176" fontId="128" fillId="0" borderId="155" xfId="1" applyNumberFormat="1" applyFont="1" applyBorder="1" applyAlignment="1">
      <alignment horizontal="center" vertical="center"/>
    </xf>
    <xf numFmtId="176" fontId="128" fillId="0" borderId="152" xfId="1" applyNumberFormat="1" applyFont="1" applyBorder="1" applyAlignment="1">
      <alignment horizontal="center" vertical="center"/>
    </xf>
    <xf numFmtId="176" fontId="128" fillId="0" borderId="153" xfId="1" applyNumberFormat="1" applyFont="1" applyBorder="1" applyAlignment="1">
      <alignment horizontal="center" vertical="center"/>
    </xf>
    <xf numFmtId="176" fontId="92" fillId="0" borderId="56" xfId="1" applyNumberFormat="1" applyFont="1" applyFill="1" applyBorder="1" applyAlignment="1">
      <alignment horizontal="center"/>
    </xf>
    <xf numFmtId="176" fontId="92" fillId="0" borderId="49" xfId="1" applyNumberFormat="1" applyFont="1" applyFill="1" applyBorder="1" applyAlignment="1">
      <alignment horizontal="center"/>
    </xf>
    <xf numFmtId="176" fontId="92" fillId="0" borderId="50" xfId="1" applyNumberFormat="1" applyFont="1" applyBorder="1" applyAlignment="1">
      <alignment horizontal="center"/>
    </xf>
    <xf numFmtId="176" fontId="92" fillId="0" borderId="52" xfId="1" applyNumberFormat="1" applyFont="1" applyBorder="1" applyAlignment="1">
      <alignment horizontal="center"/>
    </xf>
    <xf numFmtId="176" fontId="85" fillId="0" borderId="305" xfId="1" applyNumberFormat="1" applyFont="1" applyBorder="1" applyAlignment="1">
      <alignment horizontal="center" vertical="center"/>
    </xf>
    <xf numFmtId="176" fontId="85" fillId="0" borderId="169" xfId="1" applyNumberFormat="1" applyFont="1" applyBorder="1" applyAlignment="1">
      <alignment horizontal="center" vertical="center"/>
    </xf>
    <xf numFmtId="176" fontId="85" fillId="0" borderId="48" xfId="1" applyNumberFormat="1" applyFont="1" applyBorder="1" applyAlignment="1">
      <alignment horizontal="center" vertical="center"/>
    </xf>
    <xf numFmtId="176" fontId="85" fillId="0" borderId="470" xfId="1" applyNumberFormat="1" applyFont="1" applyBorder="1" applyAlignment="1">
      <alignment horizontal="center" vertical="center"/>
    </xf>
    <xf numFmtId="176" fontId="85" fillId="0" borderId="69" xfId="1" applyNumberFormat="1" applyFont="1" applyBorder="1" applyAlignment="1">
      <alignment horizontal="center" vertical="center"/>
    </xf>
    <xf numFmtId="176" fontId="85" fillId="0" borderId="223" xfId="1" applyNumberFormat="1" applyFont="1" applyBorder="1" applyAlignment="1">
      <alignment horizontal="center" vertical="center"/>
    </xf>
    <xf numFmtId="0" fontId="85" fillId="0" borderId="0" xfId="0" applyFont="1" applyBorder="1" applyAlignment="1">
      <alignment horizontal="left" wrapText="1"/>
    </xf>
    <xf numFmtId="0" fontId="90" fillId="0" borderId="73" xfId="1" applyFont="1" applyBorder="1" applyAlignment="1">
      <alignment horizontal="center" vertical="center"/>
    </xf>
    <xf numFmtId="0" fontId="90" fillId="0" borderId="74" xfId="1" applyFont="1" applyBorder="1" applyAlignment="1">
      <alignment horizontal="center" vertical="center"/>
    </xf>
    <xf numFmtId="0" fontId="207" fillId="0" borderId="0" xfId="0" applyFont="1" applyBorder="1" applyAlignment="1">
      <alignment horizontal="right" vertical="center" wrapText="1"/>
    </xf>
    <xf numFmtId="176" fontId="207" fillId="0" borderId="0" xfId="0" applyNumberFormat="1" applyFont="1" applyBorder="1" applyAlignment="1">
      <alignment horizontal="center" vertical="center" wrapText="1"/>
    </xf>
    <xf numFmtId="0" fontId="28" fillId="0" borderId="0" xfId="0" applyFont="1" applyBorder="1" applyAlignment="1">
      <alignment horizontal="left" vertical="center"/>
    </xf>
    <xf numFmtId="176" fontId="19" fillId="0" borderId="1" xfId="0" applyNumberFormat="1" applyFont="1" applyBorder="1" applyAlignment="1">
      <alignment horizontal="center" wrapText="1"/>
    </xf>
    <xf numFmtId="176" fontId="129" fillId="0" borderId="1" xfId="0" applyNumberFormat="1" applyFont="1" applyFill="1" applyBorder="1" applyAlignment="1">
      <alignment horizontal="left" wrapText="1"/>
    </xf>
    <xf numFmtId="176" fontId="34" fillId="0" borderId="1" xfId="0" applyNumberFormat="1" applyFont="1" applyBorder="1" applyAlignment="1">
      <alignment horizontal="right" vertical="center" wrapText="1"/>
    </xf>
    <xf numFmtId="0" fontId="34" fillId="0" borderId="1" xfId="0" applyNumberFormat="1" applyFont="1" applyBorder="1" applyAlignment="1">
      <alignment horizontal="left" vertical="center" wrapText="1"/>
    </xf>
    <xf numFmtId="176" fontId="80" fillId="0" borderId="1" xfId="0" applyNumberFormat="1" applyFont="1" applyBorder="1" applyAlignment="1">
      <alignment horizontal="right" vertical="center"/>
    </xf>
    <xf numFmtId="183" fontId="34" fillId="0" borderId="13" xfId="0" applyNumberFormat="1" applyFont="1" applyBorder="1" applyAlignment="1">
      <alignment horizontal="left" vertical="center" wrapText="1"/>
    </xf>
    <xf numFmtId="184" fontId="80" fillId="0" borderId="1" xfId="0" applyNumberFormat="1" applyFont="1" applyBorder="1" applyAlignment="1">
      <alignment horizontal="right" vertical="center"/>
    </xf>
    <xf numFmtId="0" fontId="207" fillId="0" borderId="0" xfId="0" applyFont="1" applyBorder="1" applyAlignment="1">
      <alignment horizontal="left" vertical="center"/>
    </xf>
    <xf numFmtId="0" fontId="207" fillId="0" borderId="0" xfId="0" applyFont="1" applyBorder="1" applyAlignment="1">
      <alignment horizontal="center" vertical="center" wrapText="1"/>
    </xf>
    <xf numFmtId="176" fontId="34" fillId="0" borderId="8" xfId="0" applyNumberFormat="1" applyFont="1" applyBorder="1" applyAlignment="1">
      <alignment horizontal="left" vertical="center" shrinkToFit="1"/>
    </xf>
    <xf numFmtId="176" fontId="34" fillId="0" borderId="1" xfId="0" applyNumberFormat="1" applyFont="1" applyBorder="1" applyAlignment="1">
      <alignment horizontal="left" vertical="center" shrinkToFit="1"/>
    </xf>
    <xf numFmtId="176" fontId="34" fillId="0" borderId="9" xfId="0" applyNumberFormat="1" applyFont="1" applyBorder="1" applyAlignment="1">
      <alignment horizontal="left" vertical="center" shrinkToFit="1"/>
    </xf>
    <xf numFmtId="176" fontId="17" fillId="0" borderId="6" xfId="0" applyNumberFormat="1" applyFont="1" applyBorder="1" applyAlignment="1">
      <alignment horizontal="center" vertical="center" wrapText="1"/>
    </xf>
    <xf numFmtId="176" fontId="17" fillId="0" borderId="0" xfId="0" applyNumberFormat="1" applyFont="1" applyBorder="1" applyAlignment="1">
      <alignment horizontal="center" vertical="center" wrapText="1"/>
    </xf>
    <xf numFmtId="0" fontId="90" fillId="0" borderId="3" xfId="1" applyFont="1" applyBorder="1" applyAlignment="1">
      <alignment horizontal="center" vertical="center" wrapText="1"/>
    </xf>
    <xf numFmtId="0" fontId="90" fillId="0" borderId="4" xfId="1" applyFont="1" applyBorder="1" applyAlignment="1">
      <alignment horizontal="center" vertical="center" wrapText="1"/>
    </xf>
    <xf numFmtId="0" fontId="90" fillId="0" borderId="75" xfId="1" applyFont="1" applyBorder="1" applyAlignment="1">
      <alignment horizontal="center" vertical="center" wrapText="1"/>
    </xf>
    <xf numFmtId="0" fontId="90" fillId="0" borderId="6" xfId="1" applyFont="1" applyBorder="1" applyAlignment="1">
      <alignment horizontal="center" vertical="center" wrapText="1"/>
    </xf>
    <xf numFmtId="0" fontId="90" fillId="0" borderId="0" xfId="1" applyFont="1" applyBorder="1" applyAlignment="1">
      <alignment horizontal="center" vertical="center" wrapText="1"/>
    </xf>
    <xf numFmtId="0" fontId="90" fillId="0" borderId="50" xfId="1" applyFont="1" applyBorder="1" applyAlignment="1">
      <alignment horizontal="center" vertical="center" wrapText="1"/>
    </xf>
    <xf numFmtId="0" fontId="90" fillId="0" borderId="5" xfId="1" applyFont="1" applyBorder="1" applyAlignment="1">
      <alignment horizontal="center" vertical="center" wrapText="1"/>
    </xf>
    <xf numFmtId="0" fontId="90" fillId="0" borderId="7" xfId="1" applyFont="1" applyBorder="1" applyAlignment="1">
      <alignment horizontal="center" vertical="center" wrapText="1"/>
    </xf>
    <xf numFmtId="0" fontId="89" fillId="0" borderId="54" xfId="1" applyFont="1" applyBorder="1" applyAlignment="1">
      <alignment horizontal="center" vertical="center" wrapText="1"/>
    </xf>
    <xf numFmtId="0" fontId="28" fillId="0" borderId="1" xfId="0" applyFont="1" applyBorder="1" applyAlignment="1">
      <alignment horizontal="left" vertical="center"/>
    </xf>
    <xf numFmtId="0" fontId="207" fillId="0" borderId="1" xfId="0" applyFont="1" applyBorder="1" applyAlignment="1">
      <alignment horizontal="right" vertical="center" wrapText="1"/>
    </xf>
    <xf numFmtId="0" fontId="207" fillId="0" borderId="1" xfId="0" applyFont="1" applyBorder="1" applyAlignment="1">
      <alignment horizontal="left" vertical="center"/>
    </xf>
    <xf numFmtId="176" fontId="207" fillId="0" borderId="1" xfId="0" applyNumberFormat="1" applyFont="1" applyBorder="1" applyAlignment="1">
      <alignment horizontal="center" vertical="center" wrapText="1"/>
    </xf>
    <xf numFmtId="0" fontId="207" fillId="0" borderId="1" xfId="0" applyFont="1" applyBorder="1" applyAlignment="1">
      <alignment horizontal="center" vertical="center"/>
    </xf>
    <xf numFmtId="0" fontId="90" fillId="0" borderId="4" xfId="1" applyFont="1" applyBorder="1" applyAlignment="1">
      <alignment horizontal="center" vertical="center"/>
    </xf>
    <xf numFmtId="0" fontId="90" fillId="0" borderId="5" xfId="1" applyFont="1" applyBorder="1" applyAlignment="1">
      <alignment horizontal="center" vertical="center"/>
    </xf>
    <xf numFmtId="176" fontId="92" fillId="0" borderId="8" xfId="1" applyNumberFormat="1" applyFont="1" applyBorder="1" applyAlignment="1">
      <alignment horizontal="center"/>
    </xf>
    <xf numFmtId="0" fontId="92" fillId="0" borderId="1" xfId="1" applyFont="1" applyBorder="1" applyAlignment="1">
      <alignment horizontal="center"/>
    </xf>
    <xf numFmtId="0" fontId="92" fillId="0" borderId="9" xfId="1" applyFont="1" applyBorder="1" applyAlignment="1">
      <alignment horizontal="center"/>
    </xf>
    <xf numFmtId="176" fontId="91" fillId="0" borderId="3" xfId="1" applyNumberFormat="1" applyFont="1" applyBorder="1" applyAlignment="1">
      <alignment horizontal="right"/>
    </xf>
    <xf numFmtId="176" fontId="91" fillId="0" borderId="4" xfId="1" applyNumberFormat="1" applyFont="1" applyBorder="1" applyAlignment="1">
      <alignment horizontal="right"/>
    </xf>
    <xf numFmtId="176" fontId="91" fillId="0" borderId="5" xfId="1" applyNumberFormat="1" applyFont="1" applyBorder="1" applyAlignment="1">
      <alignment horizontal="right"/>
    </xf>
    <xf numFmtId="176" fontId="91" fillId="0" borderId="75" xfId="1" applyNumberFormat="1" applyFont="1" applyBorder="1" applyAlignment="1">
      <alignment horizontal="right"/>
    </xf>
    <xf numFmtId="0" fontId="92" fillId="0" borderId="51" xfId="1" applyFont="1" applyBorder="1" applyAlignment="1">
      <alignment horizontal="center"/>
    </xf>
    <xf numFmtId="0" fontId="91" fillId="0" borderId="12" xfId="1" applyFont="1" applyBorder="1" applyAlignment="1">
      <alignment horizontal="center" vertical="center"/>
    </xf>
    <xf numFmtId="0" fontId="91" fillId="0" borderId="14" xfId="1" applyFont="1" applyBorder="1" applyAlignment="1">
      <alignment horizontal="center" vertical="center"/>
    </xf>
    <xf numFmtId="0" fontId="360" fillId="0" borderId="3" xfId="1" applyFont="1" applyBorder="1" applyAlignment="1">
      <alignment horizontal="left" vertical="center"/>
    </xf>
    <xf numFmtId="0" fontId="360" fillId="0" borderId="4" xfId="1" applyFont="1" applyBorder="1" applyAlignment="1">
      <alignment horizontal="left" vertical="center"/>
    </xf>
    <xf numFmtId="0" fontId="95" fillId="0" borderId="0" xfId="1" applyFont="1" applyBorder="1" applyAlignment="1">
      <alignment horizontal="left" vertical="top" wrapText="1"/>
    </xf>
    <xf numFmtId="0" fontId="95" fillId="0" borderId="7" xfId="1" applyFont="1" applyBorder="1" applyAlignment="1">
      <alignment horizontal="left" vertical="top" wrapText="1"/>
    </xf>
    <xf numFmtId="0" fontId="95" fillId="0" borderId="1" xfId="1" applyFont="1" applyBorder="1" applyAlignment="1">
      <alignment horizontal="left" vertical="top" wrapText="1"/>
    </xf>
    <xf numFmtId="0" fontId="95" fillId="0" borderId="9" xfId="1" applyFont="1" applyBorder="1" applyAlignment="1">
      <alignment horizontal="left" vertical="top" wrapText="1"/>
    </xf>
    <xf numFmtId="0" fontId="90" fillId="0" borderId="12" xfId="1" applyFont="1" applyBorder="1" applyAlignment="1">
      <alignment horizontal="right" vertical="center"/>
    </xf>
    <xf numFmtId="0" fontId="90" fillId="0" borderId="13" xfId="1" applyFont="1" applyBorder="1" applyAlignment="1">
      <alignment horizontal="right" vertical="center"/>
    </xf>
    <xf numFmtId="176" fontId="7" fillId="0" borderId="13" xfId="1" applyNumberFormat="1" applyBorder="1" applyAlignment="1">
      <alignment horizontal="center" vertical="center"/>
    </xf>
    <xf numFmtId="0" fontId="7" fillId="0" borderId="13" xfId="1" applyBorder="1" applyAlignment="1">
      <alignment horizontal="left" vertical="center"/>
    </xf>
    <xf numFmtId="0" fontId="7" fillId="0" borderId="14" xfId="1" applyBorder="1" applyAlignment="1">
      <alignment horizontal="left" vertical="center"/>
    </xf>
    <xf numFmtId="0" fontId="91" fillId="4" borderId="4" xfId="1" applyFont="1" applyFill="1" applyBorder="1" applyAlignment="1" applyProtection="1">
      <alignment horizontal="left" vertical="top" wrapText="1"/>
      <protection locked="0"/>
    </xf>
    <xf numFmtId="0" fontId="91" fillId="4" borderId="5" xfId="1" applyFont="1" applyFill="1" applyBorder="1" applyAlignment="1" applyProtection="1">
      <alignment horizontal="left" vertical="top" wrapText="1"/>
      <protection locked="0"/>
    </xf>
    <xf numFmtId="176" fontId="91" fillId="0" borderId="12" xfId="1" applyNumberFormat="1" applyFont="1" applyBorder="1" applyAlignment="1">
      <alignment horizontal="left" vertical="center"/>
    </xf>
    <xf numFmtId="176" fontId="91" fillId="0" borderId="13" xfId="1" applyNumberFormat="1" applyFont="1" applyBorder="1" applyAlignment="1">
      <alignment horizontal="left" vertical="center"/>
    </xf>
    <xf numFmtId="176" fontId="91" fillId="0" borderId="14" xfId="1" applyNumberFormat="1" applyFont="1" applyBorder="1" applyAlignment="1">
      <alignment horizontal="left" vertical="center"/>
    </xf>
    <xf numFmtId="0" fontId="91" fillId="4" borderId="0" xfId="1" applyFont="1" applyFill="1" applyBorder="1" applyAlignment="1" applyProtection="1">
      <alignment horizontal="left" vertical="top" wrapText="1"/>
      <protection locked="0"/>
    </xf>
    <xf numFmtId="0" fontId="91" fillId="4" borderId="7" xfId="1" applyFont="1" applyFill="1" applyBorder="1" applyAlignment="1" applyProtection="1">
      <alignment horizontal="left" vertical="top" wrapText="1"/>
      <protection locked="0"/>
    </xf>
    <xf numFmtId="176" fontId="91" fillId="0" borderId="8" xfId="1" applyNumberFormat="1" applyFont="1" applyBorder="1" applyAlignment="1">
      <alignment horizontal="center" vertical="center"/>
    </xf>
    <xf numFmtId="176" fontId="91" fillId="0" borderId="1" xfId="1" applyNumberFormat="1" applyFont="1" applyBorder="1" applyAlignment="1">
      <alignment horizontal="center" vertical="center"/>
    </xf>
    <xf numFmtId="176" fontId="91" fillId="0" borderId="12" xfId="1" applyNumberFormat="1" applyFont="1" applyBorder="1" applyAlignment="1">
      <alignment horizontal="center" vertical="center"/>
    </xf>
    <xf numFmtId="176" fontId="91" fillId="0" borderId="14" xfId="1" applyNumberFormat="1" applyFont="1" applyBorder="1" applyAlignment="1">
      <alignment horizontal="center" vertical="center"/>
    </xf>
    <xf numFmtId="0" fontId="95" fillId="0" borderId="6" xfId="1" applyFont="1" applyBorder="1" applyAlignment="1">
      <alignment horizontal="left" vertical="top" wrapText="1"/>
    </xf>
    <xf numFmtId="0" fontId="95" fillId="0" borderId="8" xfId="1" applyFont="1" applyBorder="1" applyAlignment="1">
      <alignment horizontal="left" vertical="top" wrapText="1"/>
    </xf>
    <xf numFmtId="0" fontId="91" fillId="4" borderId="8" xfId="1" applyFont="1" applyFill="1" applyBorder="1" applyAlignment="1" applyProtection="1">
      <alignment horizontal="left" vertical="top" wrapText="1"/>
      <protection locked="0"/>
    </xf>
    <xf numFmtId="0" fontId="91" fillId="4" borderId="1" xfId="1" applyFont="1" applyFill="1" applyBorder="1" applyAlignment="1" applyProtection="1">
      <alignment horizontal="left" vertical="top" wrapText="1"/>
      <protection locked="0"/>
    </xf>
    <xf numFmtId="0" fontId="91" fillId="4" borderId="9" xfId="1" applyFont="1" applyFill="1" applyBorder="1" applyAlignment="1" applyProtection="1">
      <alignment horizontal="left" vertical="top" wrapText="1"/>
      <protection locked="0"/>
    </xf>
    <xf numFmtId="0" fontId="91" fillId="0" borderId="13" xfId="1" applyFont="1" applyBorder="1" applyAlignment="1">
      <alignment horizontal="center" vertical="center"/>
    </xf>
    <xf numFmtId="176" fontId="92" fillId="0" borderId="27" xfId="1" applyNumberFormat="1" applyFont="1" applyBorder="1" applyAlignment="1">
      <alignment horizontal="center"/>
    </xf>
    <xf numFmtId="176" fontId="92" fillId="0" borderId="11" xfId="1" applyNumberFormat="1" applyFont="1" applyBorder="1" applyAlignment="1">
      <alignment horizontal="center"/>
    </xf>
    <xf numFmtId="176" fontId="92" fillId="0" borderId="26" xfId="1" applyNumberFormat="1" applyFont="1" applyBorder="1" applyAlignment="1">
      <alignment horizontal="center"/>
    </xf>
    <xf numFmtId="176" fontId="92" fillId="0" borderId="17" xfId="1" applyNumberFormat="1" applyFont="1" applyFill="1" applyBorder="1" applyAlignment="1">
      <alignment horizontal="center"/>
    </xf>
    <xf numFmtId="176" fontId="92" fillId="0" borderId="21" xfId="1" applyNumberFormat="1" applyFont="1" applyFill="1" applyBorder="1" applyAlignment="1">
      <alignment horizontal="center"/>
    </xf>
    <xf numFmtId="176" fontId="128" fillId="0" borderId="48" xfId="1" applyNumberFormat="1" applyFont="1" applyBorder="1" applyAlignment="1">
      <alignment horizontal="center" vertical="center"/>
    </xf>
    <xf numFmtId="176" fontId="128" fillId="0" borderId="16" xfId="1" applyNumberFormat="1" applyFont="1" applyBorder="1" applyAlignment="1">
      <alignment horizontal="center" vertical="center"/>
    </xf>
    <xf numFmtId="176" fontId="128" fillId="0" borderId="223" xfId="1" applyNumberFormat="1" applyFont="1" applyBorder="1" applyAlignment="1">
      <alignment horizontal="center" vertical="center"/>
    </xf>
    <xf numFmtId="176" fontId="128" fillId="0" borderId="175" xfId="1" applyNumberFormat="1" applyFont="1" applyBorder="1" applyAlignment="1">
      <alignment horizontal="center" vertical="center"/>
    </xf>
    <xf numFmtId="176" fontId="85" fillId="0" borderId="43" xfId="1" applyNumberFormat="1" applyFont="1" applyBorder="1" applyAlignment="1">
      <alignment horizontal="center" vertical="center"/>
    </xf>
    <xf numFmtId="176" fontId="85" fillId="0" borderId="225" xfId="1" applyNumberFormat="1" applyFont="1" applyBorder="1" applyAlignment="1">
      <alignment horizontal="center" vertical="center"/>
    </xf>
    <xf numFmtId="176" fontId="92" fillId="0" borderId="49" xfId="1" applyNumberFormat="1" applyFont="1" applyBorder="1" applyAlignment="1">
      <alignment horizontal="center"/>
    </xf>
    <xf numFmtId="176" fontId="92" fillId="0" borderId="55" xfId="1" applyNumberFormat="1" applyFont="1" applyBorder="1" applyAlignment="1">
      <alignment horizontal="center"/>
    </xf>
    <xf numFmtId="176" fontId="138" fillId="0" borderId="15" xfId="1" applyNumberFormat="1" applyFont="1" applyFill="1" applyBorder="1" applyAlignment="1">
      <alignment horizontal="center" vertical="center" wrapText="1"/>
    </xf>
    <xf numFmtId="176" fontId="138" fillId="0" borderId="20" xfId="1" applyNumberFormat="1" applyFont="1" applyFill="1" applyBorder="1" applyAlignment="1">
      <alignment horizontal="center" vertical="center" wrapText="1"/>
    </xf>
    <xf numFmtId="176" fontId="128" fillId="0" borderId="169" xfId="1" applyNumberFormat="1" applyFont="1" applyBorder="1" applyAlignment="1">
      <alignment horizontal="center" vertical="center"/>
    </xf>
    <xf numFmtId="176" fontId="128" fillId="0" borderId="69" xfId="1" applyNumberFormat="1" applyFont="1" applyBorder="1" applyAlignment="1">
      <alignment horizontal="center" vertical="center"/>
    </xf>
    <xf numFmtId="176" fontId="89" fillId="0" borderId="10" xfId="1" applyNumberFormat="1" applyFont="1" applyBorder="1" applyAlignment="1">
      <alignment horizontal="center" vertical="center" wrapText="1"/>
    </xf>
    <xf numFmtId="176" fontId="128" fillId="0" borderId="43" xfId="1" applyNumberFormat="1" applyFont="1" applyBorder="1" applyAlignment="1">
      <alignment horizontal="center" vertical="center"/>
    </xf>
    <xf numFmtId="176" fontId="128" fillId="0" borderId="225" xfId="1" applyNumberFormat="1" applyFont="1" applyBorder="1" applyAlignment="1">
      <alignment horizontal="center" vertical="center"/>
    </xf>
    <xf numFmtId="176" fontId="128" fillId="0" borderId="56" xfId="1" applyNumberFormat="1" applyFont="1" applyBorder="1" applyAlignment="1">
      <alignment horizontal="center" vertical="center"/>
    </xf>
    <xf numFmtId="176" fontId="128" fillId="0" borderId="224" xfId="1" applyNumberFormat="1" applyFont="1" applyBorder="1" applyAlignment="1">
      <alignment horizontal="center" vertical="center"/>
    </xf>
    <xf numFmtId="176" fontId="128" fillId="0" borderId="469" xfId="1" applyNumberFormat="1" applyFont="1" applyBorder="1" applyAlignment="1">
      <alignment horizontal="center" vertical="center"/>
    </xf>
    <xf numFmtId="176" fontId="128" fillId="0" borderId="471" xfId="1" applyNumberFormat="1" applyFont="1" applyBorder="1" applyAlignment="1">
      <alignment horizontal="center" vertical="center"/>
    </xf>
    <xf numFmtId="0" fontId="97" fillId="0" borderId="0" xfId="0" applyFont="1" applyAlignment="1">
      <alignment horizontal="right" wrapText="1"/>
    </xf>
    <xf numFmtId="176" fontId="103" fillId="0" borderId="41" xfId="0" applyNumberFormat="1" applyFont="1" applyBorder="1" applyAlignment="1">
      <alignment horizontal="right" vertical="center"/>
    </xf>
    <xf numFmtId="176" fontId="103" fillId="0" borderId="34" xfId="0" applyNumberFormat="1" applyFont="1" applyBorder="1" applyAlignment="1">
      <alignment horizontal="right" vertical="center"/>
    </xf>
    <xf numFmtId="176" fontId="103" fillId="0" borderId="34" xfId="0" applyNumberFormat="1" applyFont="1" applyBorder="1" applyAlignment="1">
      <alignment horizontal="center" vertical="center"/>
    </xf>
    <xf numFmtId="176" fontId="18" fillId="0" borderId="39" xfId="0" applyNumberFormat="1" applyFont="1" applyBorder="1" applyAlignment="1">
      <alignment horizontal="center" vertical="center"/>
    </xf>
    <xf numFmtId="176" fontId="56" fillId="0" borderId="0" xfId="0" applyNumberFormat="1" applyFont="1" applyBorder="1" applyAlignment="1">
      <alignment horizontal="left" vertical="top" wrapText="1"/>
    </xf>
    <xf numFmtId="176" fontId="56" fillId="0" borderId="19" xfId="0" applyNumberFormat="1" applyFont="1" applyBorder="1" applyAlignment="1">
      <alignment horizontal="left" vertical="top" wrapText="1"/>
    </xf>
    <xf numFmtId="176" fontId="56" fillId="0" borderId="4" xfId="0" applyNumberFormat="1" applyFont="1" applyBorder="1" applyAlignment="1">
      <alignment horizontal="left" vertical="top" wrapText="1"/>
    </xf>
    <xf numFmtId="176" fontId="56" fillId="0" borderId="30" xfId="0" applyNumberFormat="1" applyFont="1" applyBorder="1" applyAlignment="1">
      <alignment horizontal="left" vertical="top" wrapText="1"/>
    </xf>
    <xf numFmtId="176" fontId="56" fillId="0" borderId="45" xfId="0" applyNumberFormat="1" applyFont="1" applyBorder="1" applyAlignment="1">
      <alignment horizontal="left" vertical="top" wrapText="1"/>
    </xf>
    <xf numFmtId="176" fontId="56" fillId="0" borderId="33" xfId="0" applyNumberFormat="1" applyFont="1" applyBorder="1" applyAlignment="1">
      <alignment horizontal="left" vertical="top" wrapText="1"/>
    </xf>
    <xf numFmtId="176" fontId="56" fillId="0" borderId="35" xfId="0" applyNumberFormat="1" applyFont="1" applyBorder="1" applyAlignment="1">
      <alignment horizontal="left" vertical="top" wrapText="1"/>
    </xf>
    <xf numFmtId="176" fontId="18" fillId="0" borderId="25" xfId="0" applyNumberFormat="1" applyFont="1" applyBorder="1" applyAlignment="1">
      <alignment horizontal="center" vertical="center"/>
    </xf>
    <xf numFmtId="176" fontId="18" fillId="0" borderId="1" xfId="0" applyNumberFormat="1" applyFont="1" applyBorder="1" applyAlignment="1">
      <alignment horizontal="center" vertical="center"/>
    </xf>
    <xf numFmtId="176" fontId="18" fillId="0" borderId="9" xfId="0" applyNumberFormat="1" applyFont="1" applyBorder="1" applyAlignment="1">
      <alignment horizontal="center" vertical="center"/>
    </xf>
    <xf numFmtId="176" fontId="18" fillId="0" borderId="47" xfId="0" applyNumberFormat="1" applyFont="1" applyBorder="1" applyAlignment="1">
      <alignment horizontal="center" vertical="center"/>
    </xf>
    <xf numFmtId="176" fontId="30" fillId="0" borderId="12" xfId="0" applyNumberFormat="1" applyFont="1" applyBorder="1" applyAlignment="1">
      <alignment horizontal="left" vertical="center"/>
    </xf>
    <xf numFmtId="176" fontId="30" fillId="0" borderId="13" xfId="0" applyNumberFormat="1" applyFont="1" applyBorder="1" applyAlignment="1">
      <alignment horizontal="left" vertical="center"/>
    </xf>
    <xf numFmtId="176" fontId="30" fillId="0" borderId="14" xfId="0" applyNumberFormat="1" applyFont="1" applyBorder="1" applyAlignment="1">
      <alignment horizontal="left" vertical="center"/>
    </xf>
    <xf numFmtId="176" fontId="30" fillId="0" borderId="27" xfId="0" applyNumberFormat="1" applyFont="1" applyBorder="1" applyAlignment="1">
      <alignment horizontal="left" vertical="center"/>
    </xf>
    <xf numFmtId="176" fontId="30" fillId="0" borderId="11" xfId="0" applyNumberFormat="1" applyFont="1" applyBorder="1" applyAlignment="1">
      <alignment horizontal="left" vertical="center"/>
    </xf>
    <xf numFmtId="176" fontId="30" fillId="0" borderId="26" xfId="0" applyNumberFormat="1" applyFont="1" applyBorder="1" applyAlignment="1">
      <alignment horizontal="left" vertical="center"/>
    </xf>
    <xf numFmtId="0" fontId="99" fillId="0" borderId="4" xfId="0" applyFont="1" applyBorder="1" applyAlignment="1" applyProtection="1">
      <alignment horizontal="center" wrapText="1"/>
    </xf>
    <xf numFmtId="176" fontId="54" fillId="0" borderId="12" xfId="0" applyNumberFormat="1" applyFont="1" applyBorder="1" applyAlignment="1">
      <alignment horizontal="left" vertical="center" shrinkToFit="1"/>
    </xf>
    <xf numFmtId="176" fontId="54" fillId="0" borderId="13" xfId="0" applyNumberFormat="1" applyFont="1" applyBorder="1" applyAlignment="1">
      <alignment horizontal="left" vertical="center" shrinkToFit="1"/>
    </xf>
    <xf numFmtId="176" fontId="54" fillId="0" borderId="14" xfId="0" applyNumberFormat="1" applyFont="1" applyBorder="1" applyAlignment="1">
      <alignment horizontal="left" vertical="center" shrinkToFit="1"/>
    </xf>
    <xf numFmtId="176" fontId="34" fillId="0" borderId="12" xfId="0" applyNumberFormat="1" applyFont="1" applyBorder="1" applyAlignment="1">
      <alignment horizontal="right" vertical="center"/>
    </xf>
    <xf numFmtId="176" fontId="34" fillId="0" borderId="14" xfId="0" applyNumberFormat="1" applyFont="1" applyBorder="1" applyAlignment="1">
      <alignment horizontal="right" vertical="center"/>
    </xf>
    <xf numFmtId="177" fontId="34" fillId="0" borderId="12" xfId="0" applyNumberFormat="1" applyFont="1" applyBorder="1" applyAlignment="1">
      <alignment horizontal="right" vertical="center"/>
    </xf>
    <xf numFmtId="177" fontId="34" fillId="0" borderId="13" xfId="0" applyNumberFormat="1" applyFont="1" applyBorder="1" applyAlignment="1">
      <alignment horizontal="right" vertical="center"/>
    </xf>
    <xf numFmtId="177" fontId="34" fillId="0" borderId="14" xfId="0" applyNumberFormat="1" applyFont="1" applyBorder="1" applyAlignment="1">
      <alignment horizontal="right" vertical="center"/>
    </xf>
    <xf numFmtId="177" fontId="34" fillId="0" borderId="12" xfId="0" applyNumberFormat="1" applyFont="1" applyBorder="1" applyAlignment="1">
      <alignment horizontal="right" vertical="center" wrapText="1"/>
    </xf>
    <xf numFmtId="177" fontId="34" fillId="0" borderId="13" xfId="0" applyNumberFormat="1" applyFont="1" applyBorder="1" applyAlignment="1">
      <alignment horizontal="right" vertical="center" wrapText="1"/>
    </xf>
    <xf numFmtId="177" fontId="34" fillId="0" borderId="44" xfId="0" applyNumberFormat="1" applyFont="1" applyBorder="1" applyAlignment="1">
      <alignment horizontal="right" vertical="center" wrapText="1"/>
    </xf>
    <xf numFmtId="0" fontId="21" fillId="0" borderId="0" xfId="0" applyFont="1" applyBorder="1" applyAlignment="1">
      <alignment horizontal="left" vertical="center" wrapText="1"/>
    </xf>
    <xf numFmtId="176" fontId="129" fillId="0" borderId="1" xfId="0" applyNumberFormat="1" applyFont="1" applyFill="1" applyBorder="1" applyAlignment="1" applyProtection="1">
      <alignment horizontal="center" wrapText="1"/>
    </xf>
    <xf numFmtId="176" fontId="34" fillId="0" borderId="4" xfId="0" applyNumberFormat="1" applyFont="1" applyFill="1" applyBorder="1" applyAlignment="1" applyProtection="1">
      <alignment horizontal="left" wrapText="1"/>
    </xf>
    <xf numFmtId="176" fontId="25" fillId="0" borderId="24" xfId="0" applyNumberFormat="1" applyFont="1" applyBorder="1" applyAlignment="1">
      <alignment horizontal="center" vertical="center"/>
    </xf>
    <xf numFmtId="176" fontId="25" fillId="0" borderId="22" xfId="0" applyNumberFormat="1" applyFont="1" applyBorder="1" applyAlignment="1">
      <alignment horizontal="center" vertical="center"/>
    </xf>
    <xf numFmtId="176" fontId="25" fillId="0" borderId="42" xfId="0" applyNumberFormat="1" applyFont="1" applyBorder="1" applyAlignment="1">
      <alignment horizontal="center" vertical="center"/>
    </xf>
    <xf numFmtId="176" fontId="18" fillId="0" borderId="38" xfId="0" applyNumberFormat="1" applyFont="1" applyBorder="1" applyAlignment="1">
      <alignment horizontal="center" vertical="center"/>
    </xf>
    <xf numFmtId="176" fontId="18" fillId="0" borderId="22" xfId="0" applyNumberFormat="1" applyFont="1" applyBorder="1" applyAlignment="1">
      <alignment horizontal="center" vertical="center"/>
    </xf>
    <xf numFmtId="176" fontId="18" fillId="0" borderId="42" xfId="0" applyNumberFormat="1" applyFont="1" applyBorder="1" applyAlignment="1">
      <alignment horizontal="center" vertical="center"/>
    </xf>
    <xf numFmtId="176" fontId="18" fillId="0" borderId="15" xfId="0" applyNumberFormat="1" applyFont="1" applyBorder="1" applyAlignment="1">
      <alignment horizontal="left" vertical="center" wrapText="1"/>
    </xf>
    <xf numFmtId="176" fontId="18" fillId="0" borderId="16" xfId="0" applyNumberFormat="1" applyFont="1" applyBorder="1" applyAlignment="1">
      <alignment horizontal="left" vertical="center" wrapText="1"/>
    </xf>
    <xf numFmtId="176" fontId="18" fillId="0" borderId="43" xfId="0" applyNumberFormat="1" applyFont="1" applyBorder="1" applyAlignment="1">
      <alignment horizontal="left" vertical="center" wrapText="1"/>
    </xf>
    <xf numFmtId="176" fontId="18" fillId="0" borderId="18" xfId="0" applyNumberFormat="1" applyFont="1" applyBorder="1" applyAlignment="1">
      <alignment horizontal="left" vertical="center" wrapText="1"/>
    </xf>
    <xf numFmtId="176" fontId="18" fillId="0" borderId="0" xfId="0" applyNumberFormat="1" applyFont="1" applyBorder="1" applyAlignment="1">
      <alignment horizontal="left" vertical="center" wrapText="1"/>
    </xf>
    <xf numFmtId="176" fontId="18" fillId="0" borderId="7" xfId="0" applyNumberFormat="1" applyFont="1" applyBorder="1" applyAlignment="1">
      <alignment horizontal="left" vertical="center" wrapText="1"/>
    </xf>
    <xf numFmtId="176" fontId="18" fillId="0" borderId="25" xfId="0" applyNumberFormat="1" applyFont="1" applyBorder="1" applyAlignment="1">
      <alignment horizontal="left" vertical="center" wrapText="1"/>
    </xf>
    <xf numFmtId="176" fontId="18" fillId="0" borderId="1" xfId="0" applyNumberFormat="1" applyFont="1" applyBorder="1" applyAlignment="1">
      <alignment horizontal="left" vertical="center" wrapText="1"/>
    </xf>
    <xf numFmtId="176" fontId="18" fillId="0" borderId="9" xfId="0" applyNumberFormat="1" applyFont="1" applyBorder="1" applyAlignment="1">
      <alignment horizontal="left" vertical="center" wrapText="1"/>
    </xf>
    <xf numFmtId="183" fontId="30" fillId="0" borderId="48" xfId="0" applyNumberFormat="1" applyFont="1" applyBorder="1" applyAlignment="1">
      <alignment horizontal="right" vertical="center"/>
    </xf>
    <xf numFmtId="183" fontId="30" fillId="0" borderId="6" xfId="0" applyNumberFormat="1" applyFont="1" applyBorder="1" applyAlignment="1">
      <alignment horizontal="right" vertical="center"/>
    </xf>
    <xf numFmtId="184" fontId="30" fillId="0" borderId="16" xfId="0" applyNumberFormat="1" applyFont="1" applyBorder="1" applyAlignment="1">
      <alignment horizontal="right" vertical="center"/>
    </xf>
    <xf numFmtId="184" fontId="30" fillId="0" borderId="0" xfId="0" applyNumberFormat="1" applyFont="1" applyBorder="1" applyAlignment="1">
      <alignment horizontal="right" vertical="center"/>
    </xf>
    <xf numFmtId="176" fontId="54" fillId="0" borderId="41" xfId="0" applyNumberFormat="1" applyFont="1" applyBorder="1" applyAlignment="1">
      <alignment horizontal="left" vertical="center" shrinkToFit="1"/>
    </xf>
    <xf numFmtId="176" fontId="54" fillId="0" borderId="34" xfId="0" applyNumberFormat="1" applyFont="1" applyBorder="1" applyAlignment="1">
      <alignment horizontal="left" vertical="center" shrinkToFit="1"/>
    </xf>
    <xf numFmtId="176" fontId="54" fillId="0" borderId="40" xfId="0" applyNumberFormat="1" applyFont="1" applyBorder="1" applyAlignment="1">
      <alignment horizontal="left" vertical="center" shrinkToFit="1"/>
    </xf>
    <xf numFmtId="176" fontId="19" fillId="0" borderId="18" xfId="0" applyNumberFormat="1" applyFont="1" applyBorder="1" applyAlignment="1">
      <alignment horizontal="left"/>
    </xf>
    <xf numFmtId="176" fontId="19" fillId="0" borderId="0" xfId="0" applyNumberFormat="1" applyFont="1" applyBorder="1" applyAlignment="1">
      <alignment horizontal="left"/>
    </xf>
    <xf numFmtId="176" fontId="19" fillId="0" borderId="7" xfId="0" applyNumberFormat="1" applyFont="1" applyBorder="1" applyAlignment="1">
      <alignment horizontal="left"/>
    </xf>
    <xf numFmtId="176" fontId="18" fillId="4" borderId="18" xfId="0" applyNumberFormat="1" applyFont="1" applyFill="1" applyBorder="1" applyAlignment="1" applyProtection="1">
      <alignment horizontal="center" vertical="center"/>
      <protection locked="0"/>
    </xf>
    <xf numFmtId="176" fontId="18" fillId="4" borderId="0" xfId="0" applyNumberFormat="1" applyFont="1" applyFill="1" applyBorder="1" applyAlignment="1" applyProtection="1">
      <alignment horizontal="center" vertical="center"/>
      <protection locked="0"/>
    </xf>
    <xf numFmtId="176" fontId="18" fillId="4" borderId="7" xfId="0" applyNumberFormat="1" applyFont="1" applyFill="1" applyBorder="1" applyAlignment="1" applyProtection="1">
      <alignment horizontal="center" vertical="center"/>
      <protection locked="0"/>
    </xf>
    <xf numFmtId="176" fontId="30" fillId="0" borderId="6" xfId="0" applyNumberFormat="1" applyFont="1" applyBorder="1" applyAlignment="1">
      <alignment horizontal="right" vertical="center"/>
    </xf>
    <xf numFmtId="176" fontId="30" fillId="0" borderId="27" xfId="0" applyNumberFormat="1" applyFont="1" applyBorder="1" applyAlignment="1">
      <alignment horizontal="right" vertical="center"/>
    </xf>
    <xf numFmtId="176" fontId="18" fillId="0" borderId="11" xfId="0" applyNumberFormat="1" applyFont="1" applyBorder="1" applyAlignment="1">
      <alignment horizontal="left" vertical="center" wrapText="1"/>
    </xf>
    <xf numFmtId="176" fontId="30" fillId="0" borderId="0" xfId="0" applyNumberFormat="1" applyFont="1" applyBorder="1" applyAlignment="1">
      <alignment horizontal="right" vertical="center"/>
    </xf>
    <xf numFmtId="176" fontId="30" fillId="0" borderId="11" xfId="0" applyNumberFormat="1" applyFont="1" applyBorder="1" applyAlignment="1">
      <alignment horizontal="right" vertical="center"/>
    </xf>
    <xf numFmtId="176" fontId="18" fillId="0" borderId="26" xfId="0" applyNumberFormat="1" applyFont="1" applyBorder="1" applyAlignment="1">
      <alignment horizontal="left" vertical="center" wrapText="1"/>
    </xf>
    <xf numFmtId="0" fontId="101" fillId="0" borderId="24" xfId="0" applyFont="1" applyBorder="1" applyAlignment="1">
      <alignment horizontal="center" vertical="center"/>
    </xf>
    <xf numFmtId="0" fontId="101" fillId="0" borderId="22" xfId="0" applyFont="1" applyBorder="1" applyAlignment="1">
      <alignment horizontal="center" vertical="center"/>
    </xf>
    <xf numFmtId="0" fontId="101" fillId="0" borderId="42" xfId="0" applyFont="1" applyBorder="1" applyAlignment="1">
      <alignment horizontal="center" vertical="center"/>
    </xf>
    <xf numFmtId="176" fontId="34" fillId="0" borderId="41" xfId="0" applyNumberFormat="1" applyFont="1" applyBorder="1" applyAlignment="1">
      <alignment horizontal="right" vertical="center"/>
    </xf>
    <xf numFmtId="176" fontId="34" fillId="0" borderId="40" xfId="0" applyNumberFormat="1" applyFont="1" applyBorder="1" applyAlignment="1">
      <alignment horizontal="right" vertical="center"/>
    </xf>
    <xf numFmtId="177" fontId="34" fillId="0" borderId="41" xfId="0" applyNumberFormat="1" applyFont="1" applyBorder="1" applyAlignment="1">
      <alignment horizontal="right" vertical="center"/>
    </xf>
    <xf numFmtId="177" fontId="34" fillId="0" borderId="34" xfId="0" applyNumberFormat="1" applyFont="1" applyBorder="1" applyAlignment="1">
      <alignment horizontal="right" vertical="center"/>
    </xf>
    <xf numFmtId="177" fontId="34" fillId="0" borderId="40" xfId="0" applyNumberFormat="1" applyFont="1" applyBorder="1" applyAlignment="1">
      <alignment horizontal="right" vertical="center"/>
    </xf>
    <xf numFmtId="177" fontId="34" fillId="0" borderId="41" xfId="0" applyNumberFormat="1" applyFont="1" applyBorder="1" applyAlignment="1">
      <alignment horizontal="right" vertical="center" wrapText="1"/>
    </xf>
    <xf numFmtId="177" fontId="34" fillId="0" borderId="34" xfId="0" applyNumberFormat="1" applyFont="1" applyBorder="1" applyAlignment="1">
      <alignment horizontal="right" vertical="center" wrapText="1"/>
    </xf>
    <xf numFmtId="177" fontId="34" fillId="0" borderId="36" xfId="0" applyNumberFormat="1" applyFont="1" applyBorder="1" applyAlignment="1">
      <alignment horizontal="right" vertical="center" wrapText="1"/>
    </xf>
    <xf numFmtId="176" fontId="54" fillId="0" borderId="3" xfId="0" applyNumberFormat="1" applyFont="1" applyBorder="1" applyAlignment="1">
      <alignment horizontal="left" vertical="center" shrinkToFit="1"/>
    </xf>
    <xf numFmtId="176" fontId="54" fillId="0" borderId="4" xfId="0" applyNumberFormat="1" applyFont="1" applyBorder="1" applyAlignment="1">
      <alignment horizontal="left" vertical="center" shrinkToFit="1"/>
    </xf>
    <xf numFmtId="176" fontId="54" fillId="0" borderId="5" xfId="0" applyNumberFormat="1" applyFont="1" applyBorder="1" applyAlignment="1">
      <alignment horizontal="left" vertical="center" shrinkToFit="1"/>
    </xf>
    <xf numFmtId="176" fontId="54" fillId="0" borderId="8" xfId="0" applyNumberFormat="1" applyFont="1" applyBorder="1" applyAlignment="1">
      <alignment horizontal="left" vertical="center" shrinkToFit="1"/>
    </xf>
    <xf numFmtId="176" fontId="54" fillId="0" borderId="1" xfId="0" applyNumberFormat="1" applyFont="1" applyBorder="1" applyAlignment="1">
      <alignment horizontal="left" vertical="center" shrinkToFit="1"/>
    </xf>
    <xf numFmtId="176" fontId="54" fillId="0" borderId="9" xfId="0" applyNumberFormat="1" applyFont="1" applyBorder="1" applyAlignment="1">
      <alignment horizontal="left" vertical="center" shrinkToFit="1"/>
    </xf>
    <xf numFmtId="176" fontId="34" fillId="0" borderId="3" xfId="0" applyNumberFormat="1" applyFont="1" applyBorder="1" applyAlignment="1">
      <alignment horizontal="right" vertical="center"/>
    </xf>
    <xf numFmtId="176" fontId="34" fillId="0" borderId="5" xfId="0" applyNumberFormat="1" applyFont="1" applyBorder="1" applyAlignment="1">
      <alignment horizontal="right" vertical="center"/>
    </xf>
    <xf numFmtId="176" fontId="34" fillId="0" borderId="8" xfId="0" applyNumberFormat="1" applyFont="1" applyBorder="1" applyAlignment="1">
      <alignment horizontal="right" vertical="center"/>
    </xf>
    <xf numFmtId="176" fontId="34" fillId="0" borderId="9" xfId="0" applyNumberFormat="1" applyFont="1" applyBorder="1" applyAlignment="1">
      <alignment horizontal="right" vertical="center"/>
    </xf>
    <xf numFmtId="177" fontId="34" fillId="0" borderId="3" xfId="0" applyNumberFormat="1" applyFont="1" applyBorder="1" applyAlignment="1">
      <alignment horizontal="right" vertical="center"/>
    </xf>
    <xf numFmtId="177" fontId="34" fillId="0" borderId="4" xfId="0" applyNumberFormat="1" applyFont="1" applyBorder="1" applyAlignment="1">
      <alignment horizontal="right" vertical="center"/>
    </xf>
    <xf numFmtId="177" fontId="34" fillId="0" borderId="5" xfId="0" applyNumberFormat="1" applyFont="1" applyBorder="1" applyAlignment="1">
      <alignment horizontal="right" vertical="center"/>
    </xf>
    <xf numFmtId="177" fontId="34" fillId="0" borderId="8" xfId="0" applyNumberFormat="1" applyFont="1" applyBorder="1" applyAlignment="1">
      <alignment horizontal="right" vertical="center"/>
    </xf>
    <xf numFmtId="177" fontId="34" fillId="0" borderId="1" xfId="0" applyNumberFormat="1" applyFont="1" applyBorder="1" applyAlignment="1">
      <alignment horizontal="right" vertical="center"/>
    </xf>
    <xf numFmtId="177" fontId="34" fillId="0" borderId="9" xfId="0" applyNumberFormat="1" applyFont="1" applyBorder="1" applyAlignment="1">
      <alignment horizontal="right" vertical="center"/>
    </xf>
    <xf numFmtId="177" fontId="34" fillId="0" borderId="3" xfId="0" applyNumberFormat="1" applyFont="1" applyBorder="1" applyAlignment="1">
      <alignment horizontal="right" vertical="center" wrapText="1"/>
    </xf>
    <xf numFmtId="177" fontId="34" fillId="0" borderId="4" xfId="0" applyNumberFormat="1" applyFont="1" applyBorder="1" applyAlignment="1">
      <alignment horizontal="right" vertical="center" wrapText="1"/>
    </xf>
    <xf numFmtId="177" fontId="34" fillId="0" borderId="30" xfId="0" applyNumberFormat="1" applyFont="1" applyBorder="1" applyAlignment="1">
      <alignment horizontal="right" vertical="center" wrapText="1"/>
    </xf>
    <xf numFmtId="177" fontId="34" fillId="0" borderId="8" xfId="0" applyNumberFormat="1" applyFont="1" applyBorder="1" applyAlignment="1">
      <alignment horizontal="right" vertical="center" wrapText="1"/>
    </xf>
    <xf numFmtId="177" fontId="34" fillId="0" borderId="1" xfId="0" applyNumberFormat="1" applyFont="1" applyBorder="1" applyAlignment="1">
      <alignment horizontal="right" vertical="center" wrapText="1"/>
    </xf>
    <xf numFmtId="177" fontId="34" fillId="0" borderId="29" xfId="0" applyNumberFormat="1" applyFont="1" applyBorder="1" applyAlignment="1">
      <alignment horizontal="right" vertical="center" wrapText="1"/>
    </xf>
    <xf numFmtId="3" fontId="40" fillId="0" borderId="22" xfId="0" applyNumberFormat="1" applyFont="1" applyBorder="1" applyAlignment="1">
      <alignment horizontal="right" vertical="center"/>
    </xf>
    <xf numFmtId="3" fontId="40" fillId="0" borderId="23" xfId="0" applyNumberFormat="1" applyFont="1" applyBorder="1" applyAlignment="1">
      <alignment horizontal="right" vertical="center"/>
    </xf>
    <xf numFmtId="176" fontId="29" fillId="0" borderId="16" xfId="0" applyNumberFormat="1" applyFont="1" applyBorder="1" applyAlignment="1">
      <alignment horizontal="left" wrapText="1"/>
    </xf>
    <xf numFmtId="176" fontId="26" fillId="0" borderId="0" xfId="0" applyNumberFormat="1" applyFont="1" applyBorder="1" applyAlignment="1">
      <alignment horizontal="right" vertical="center"/>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27" xfId="0" applyFont="1" applyBorder="1" applyAlignment="1">
      <alignment horizontal="center" vertical="center" wrapText="1"/>
    </xf>
    <xf numFmtId="176" fontId="129" fillId="0" borderId="45" xfId="0" applyNumberFormat="1" applyFont="1" applyBorder="1" applyAlignment="1">
      <alignment horizontal="left" vertical="center" wrapText="1"/>
    </xf>
    <xf numFmtId="176" fontId="129" fillId="0" borderId="33" xfId="0" applyNumberFormat="1" applyFont="1" applyBorder="1" applyAlignment="1">
      <alignment horizontal="left" vertical="center" wrapText="1"/>
    </xf>
    <xf numFmtId="176" fontId="129" fillId="0" borderId="35" xfId="0" applyNumberFormat="1" applyFont="1" applyBorder="1" applyAlignment="1">
      <alignment horizontal="left" vertical="center" wrapText="1"/>
    </xf>
    <xf numFmtId="176" fontId="102" fillId="0" borderId="34" xfId="0" applyNumberFormat="1" applyFont="1" applyBorder="1" applyAlignment="1">
      <alignment horizontal="left" vertical="center" wrapText="1"/>
    </xf>
    <xf numFmtId="176" fontId="102" fillId="0" borderId="36" xfId="0" applyNumberFormat="1" applyFont="1" applyBorder="1" applyAlignment="1">
      <alignment horizontal="left" vertical="center" wrapText="1"/>
    </xf>
    <xf numFmtId="0" fontId="28" fillId="0" borderId="41"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6" xfId="0" applyFont="1" applyBorder="1" applyAlignment="1">
      <alignment horizontal="center" vertical="center" wrapText="1"/>
    </xf>
    <xf numFmtId="0" fontId="18" fillId="0" borderId="26" xfId="0" applyFont="1" applyBorder="1" applyAlignment="1">
      <alignment horizontal="center" vertical="center" wrapText="1"/>
    </xf>
    <xf numFmtId="0" fontId="29" fillId="0" borderId="21" xfId="0" applyFont="1" applyBorder="1" applyAlignment="1">
      <alignment horizontal="center" vertical="center" wrapText="1"/>
    </xf>
    <xf numFmtId="0" fontId="28" fillId="0" borderId="0" xfId="0" applyFont="1" applyAlignment="1">
      <alignment horizontal="left"/>
    </xf>
    <xf numFmtId="0" fontId="28" fillId="0" borderId="0" xfId="0" applyFont="1" applyBorder="1" applyAlignment="1">
      <alignment horizontal="left"/>
    </xf>
    <xf numFmtId="0" fontId="28" fillId="0" borderId="0" xfId="0" applyFont="1" applyAlignment="1">
      <alignment horizontal="center"/>
    </xf>
    <xf numFmtId="0" fontId="28" fillId="0" borderId="0" xfId="0" applyFont="1" applyBorder="1" applyAlignment="1">
      <alignment horizontal="center"/>
    </xf>
    <xf numFmtId="0" fontId="100" fillId="0" borderId="0" xfId="0" applyFont="1" applyAlignment="1">
      <alignment horizontal="left"/>
    </xf>
    <xf numFmtId="176" fontId="34" fillId="0" borderId="41" xfId="0" applyNumberFormat="1" applyFont="1" applyBorder="1" applyAlignment="1">
      <alignment horizontal="right" vertical="center" wrapText="1"/>
    </xf>
    <xf numFmtId="176" fontId="34" fillId="0" borderId="34" xfId="0" applyNumberFormat="1" applyFont="1" applyBorder="1" applyAlignment="1">
      <alignment horizontal="right" vertical="center" wrapText="1"/>
    </xf>
    <xf numFmtId="176" fontId="34" fillId="0" borderId="34" xfId="0" applyNumberFormat="1" applyFont="1" applyBorder="1" applyAlignment="1">
      <alignment horizontal="left" vertical="center" wrapText="1"/>
    </xf>
    <xf numFmtId="0" fontId="51" fillId="0" borderId="0" xfId="0" applyFont="1" applyAlignment="1">
      <alignment horizontal="right" vertical="center"/>
    </xf>
    <xf numFmtId="0" fontId="51" fillId="0" borderId="0" xfId="0" applyFont="1" applyAlignment="1">
      <alignment horizontal="left" vertical="center"/>
    </xf>
    <xf numFmtId="176" fontId="34" fillId="4" borderId="4" xfId="0" applyNumberFormat="1" applyFont="1" applyFill="1" applyBorder="1" applyAlignment="1" applyProtection="1">
      <alignment horizontal="left" wrapText="1"/>
      <protection locked="0"/>
    </xf>
    <xf numFmtId="0" fontId="26" fillId="0" borderId="39"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6" xfId="0" applyFont="1" applyBorder="1" applyAlignment="1">
      <alignment horizontal="center" vertical="center" wrapText="1"/>
    </xf>
    <xf numFmtId="0" fontId="28" fillId="0" borderId="0" xfId="0" applyFont="1" applyBorder="1" applyAlignment="1">
      <alignment horizontal="left" wrapText="1"/>
    </xf>
    <xf numFmtId="0" fontId="26" fillId="0" borderId="37"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40" xfId="0" applyFont="1" applyBorder="1" applyAlignment="1">
      <alignment horizontal="center" vertical="center" wrapText="1"/>
    </xf>
    <xf numFmtId="176" fontId="34" fillId="0" borderId="34" xfId="0" applyNumberFormat="1" applyFont="1" applyBorder="1" applyAlignment="1">
      <alignment horizontal="center" vertical="center" wrapText="1"/>
    </xf>
    <xf numFmtId="0" fontId="151" fillId="0" borderId="0" xfId="0" applyFont="1" applyAlignment="1">
      <alignment horizontal="left" vertical="center" wrapText="1"/>
    </xf>
    <xf numFmtId="0" fontId="26" fillId="0" borderId="15"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0" fontId="26" fillId="0" borderId="43"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0" fontId="26" fillId="0" borderId="11"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6" fillId="0" borderId="48"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28" fillId="0" borderId="41" xfId="0" applyFont="1" applyBorder="1" applyAlignment="1" applyProtection="1">
      <alignment horizontal="center" vertical="center" wrapText="1"/>
    </xf>
    <xf numFmtId="0" fontId="28" fillId="0" borderId="34" xfId="0" applyFont="1" applyBorder="1" applyAlignment="1" applyProtection="1">
      <alignment horizontal="center" vertical="center" wrapText="1"/>
    </xf>
    <xf numFmtId="0" fontId="28" fillId="0" borderId="36" xfId="0" applyFont="1" applyBorder="1" applyAlignment="1" applyProtection="1">
      <alignment horizontal="center" vertical="center" wrapText="1"/>
    </xf>
    <xf numFmtId="0" fontId="29" fillId="0" borderId="27"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9" fillId="0" borderId="26" xfId="0" applyFont="1" applyBorder="1" applyAlignment="1" applyProtection="1">
      <alignment horizontal="center" vertical="center" wrapText="1"/>
    </xf>
    <xf numFmtId="0" fontId="18" fillId="0" borderId="26"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176" fontId="26" fillId="0" borderId="38" xfId="0" applyNumberFormat="1" applyFont="1" applyBorder="1" applyAlignment="1">
      <alignment horizontal="center" vertical="center" wrapText="1"/>
    </xf>
    <xf numFmtId="176" fontId="26" fillId="0" borderId="22" xfId="0" applyNumberFormat="1" applyFont="1" applyBorder="1" applyAlignment="1">
      <alignment horizontal="center" vertical="center" wrapText="1"/>
    </xf>
    <xf numFmtId="176" fontId="26" fillId="0" borderId="42" xfId="0" applyNumberFormat="1" applyFont="1" applyBorder="1" applyAlignment="1">
      <alignment horizontal="center" vertical="center" wrapText="1"/>
    </xf>
    <xf numFmtId="176" fontId="29" fillId="0" borderId="0" xfId="0" applyNumberFormat="1" applyFont="1" applyBorder="1" applyAlignment="1">
      <alignment horizontal="left" wrapText="1"/>
    </xf>
    <xf numFmtId="176" fontId="25" fillId="0" borderId="23" xfId="0" applyNumberFormat="1" applyFont="1" applyBorder="1" applyAlignment="1">
      <alignment horizontal="center" vertical="center"/>
    </xf>
    <xf numFmtId="0" fontId="28" fillId="0" borderId="0" xfId="0" applyFont="1" applyBorder="1" applyAlignment="1" applyProtection="1">
      <alignment horizontal="left" wrapText="1"/>
    </xf>
    <xf numFmtId="0" fontId="28" fillId="0" borderId="0" xfId="0" applyFont="1" applyAlignment="1" applyProtection="1">
      <alignment horizontal="left"/>
    </xf>
    <xf numFmtId="0" fontId="28" fillId="0" borderId="0" xfId="0" applyFont="1" applyAlignment="1" applyProtection="1">
      <alignment horizontal="center"/>
    </xf>
    <xf numFmtId="0" fontId="100" fillId="0" borderId="0" xfId="0" applyFont="1" applyAlignment="1" applyProtection="1">
      <alignment horizontal="left"/>
    </xf>
    <xf numFmtId="176" fontId="18" fillId="0" borderId="15" xfId="0" applyNumberFormat="1" applyFont="1" applyBorder="1" applyAlignment="1" applyProtection="1">
      <alignment horizontal="left" vertical="center" wrapText="1"/>
    </xf>
    <xf numFmtId="176" fontId="18" fillId="0" borderId="16" xfId="0" applyNumberFormat="1" applyFont="1" applyBorder="1" applyAlignment="1" applyProtection="1">
      <alignment horizontal="left" vertical="center" wrapText="1"/>
    </xf>
    <xf numFmtId="176" fontId="18" fillId="0" borderId="43" xfId="0" applyNumberFormat="1" applyFont="1" applyBorder="1" applyAlignment="1" applyProtection="1">
      <alignment horizontal="left" vertical="center" wrapText="1"/>
    </xf>
    <xf numFmtId="176" fontId="18" fillId="0" borderId="18" xfId="0" applyNumberFormat="1" applyFont="1" applyBorder="1" applyAlignment="1" applyProtection="1">
      <alignment horizontal="left" vertical="center" wrapText="1"/>
    </xf>
    <xf numFmtId="176" fontId="18" fillId="0" borderId="0" xfId="0" applyNumberFormat="1" applyFont="1" applyBorder="1" applyAlignment="1" applyProtection="1">
      <alignment horizontal="left" vertical="center" wrapText="1"/>
    </xf>
    <xf numFmtId="176" fontId="18" fillId="0" borderId="7" xfId="0" applyNumberFormat="1" applyFont="1" applyBorder="1" applyAlignment="1" applyProtection="1">
      <alignment horizontal="left" vertical="center" wrapText="1"/>
    </xf>
    <xf numFmtId="176" fontId="18" fillId="0" borderId="25" xfId="0" applyNumberFormat="1" applyFont="1" applyBorder="1" applyAlignment="1" applyProtection="1">
      <alignment horizontal="left" vertical="center" wrapText="1"/>
    </xf>
    <xf numFmtId="176" fontId="18" fillId="0" borderId="1" xfId="0" applyNumberFormat="1" applyFont="1" applyBorder="1" applyAlignment="1" applyProtection="1">
      <alignment horizontal="left" vertical="center" wrapText="1"/>
    </xf>
    <xf numFmtId="176" fontId="18" fillId="0" borderId="9" xfId="0" applyNumberFormat="1" applyFont="1" applyBorder="1" applyAlignment="1" applyProtection="1">
      <alignment horizontal="left" vertical="center" wrapText="1"/>
    </xf>
    <xf numFmtId="176" fontId="54" fillId="0" borderId="41" xfId="0" applyNumberFormat="1" applyFont="1" applyBorder="1" applyAlignment="1" applyProtection="1">
      <alignment horizontal="left" vertical="center"/>
    </xf>
    <xf numFmtId="176" fontId="54" fillId="0" borderId="34" xfId="0" applyNumberFormat="1" applyFont="1" applyBorder="1" applyAlignment="1" applyProtection="1">
      <alignment horizontal="left" vertical="center"/>
    </xf>
    <xf numFmtId="176" fontId="54" fillId="0" borderId="40" xfId="0" applyNumberFormat="1" applyFont="1" applyBorder="1" applyAlignment="1" applyProtection="1">
      <alignment horizontal="left" vertical="center"/>
    </xf>
    <xf numFmtId="176" fontId="34" fillId="0" borderId="41" xfId="0" applyNumberFormat="1" applyFont="1" applyBorder="1" applyAlignment="1" applyProtection="1">
      <alignment horizontal="right" vertical="center"/>
    </xf>
    <xf numFmtId="176" fontId="34" fillId="0" borderId="40" xfId="0" applyNumberFormat="1" applyFont="1" applyBorder="1" applyAlignment="1" applyProtection="1">
      <alignment horizontal="right" vertical="center"/>
    </xf>
    <xf numFmtId="177" fontId="34" fillId="0" borderId="41" xfId="0" applyNumberFormat="1" applyFont="1" applyBorder="1" applyAlignment="1" applyProtection="1">
      <alignment horizontal="right" vertical="center"/>
    </xf>
    <xf numFmtId="177" fontId="34" fillId="0" borderId="34" xfId="0" applyNumberFormat="1" applyFont="1" applyBorder="1" applyAlignment="1" applyProtection="1">
      <alignment horizontal="right" vertical="center"/>
    </xf>
    <xf numFmtId="177" fontId="34" fillId="0" borderId="40" xfId="0" applyNumberFormat="1" applyFont="1" applyBorder="1" applyAlignment="1" applyProtection="1">
      <alignment horizontal="right" vertical="center"/>
    </xf>
    <xf numFmtId="177" fontId="34" fillId="0" borderId="41" xfId="0" applyNumberFormat="1" applyFont="1" applyBorder="1" applyAlignment="1" applyProtection="1">
      <alignment horizontal="right" vertical="center" wrapText="1"/>
    </xf>
    <xf numFmtId="177" fontId="34" fillId="0" borderId="34" xfId="0" applyNumberFormat="1" applyFont="1" applyBorder="1" applyAlignment="1" applyProtection="1">
      <alignment horizontal="right" vertical="center" wrapText="1"/>
    </xf>
    <xf numFmtId="177" fontId="34" fillId="0" borderId="36" xfId="0" applyNumberFormat="1" applyFont="1" applyBorder="1" applyAlignment="1" applyProtection="1">
      <alignment horizontal="right" vertical="center" wrapText="1"/>
    </xf>
    <xf numFmtId="176" fontId="54" fillId="0" borderId="12" xfId="0" applyNumberFormat="1" applyFont="1" applyBorder="1" applyAlignment="1" applyProtection="1">
      <alignment horizontal="left" vertical="center"/>
    </xf>
    <xf numFmtId="176" fontId="54" fillId="0" borderId="13" xfId="0" applyNumberFormat="1" applyFont="1" applyBorder="1" applyAlignment="1" applyProtection="1">
      <alignment horizontal="left" vertical="center"/>
    </xf>
    <xf numFmtId="176" fontId="54" fillId="0" borderId="14" xfId="0" applyNumberFormat="1" applyFont="1" applyBorder="1" applyAlignment="1" applyProtection="1">
      <alignment horizontal="left" vertical="center"/>
    </xf>
    <xf numFmtId="176" fontId="34" fillId="0" borderId="12" xfId="0" applyNumberFormat="1" applyFont="1" applyBorder="1" applyAlignment="1" applyProtection="1">
      <alignment horizontal="right" vertical="center"/>
    </xf>
    <xf numFmtId="176" fontId="34" fillId="0" borderId="14" xfId="0" applyNumberFormat="1" applyFont="1" applyBorder="1" applyAlignment="1" applyProtection="1">
      <alignment horizontal="right" vertical="center"/>
    </xf>
    <xf numFmtId="177" fontId="34" fillId="0" borderId="12" xfId="0" applyNumberFormat="1" applyFont="1" applyBorder="1" applyAlignment="1" applyProtection="1">
      <alignment horizontal="right" vertical="center"/>
    </xf>
    <xf numFmtId="177" fontId="34" fillId="0" borderId="13" xfId="0" applyNumberFormat="1" applyFont="1" applyBorder="1" applyAlignment="1" applyProtection="1">
      <alignment horizontal="right" vertical="center"/>
    </xf>
    <xf numFmtId="177" fontId="34" fillId="0" borderId="14" xfId="0" applyNumberFormat="1" applyFont="1" applyBorder="1" applyAlignment="1" applyProtection="1">
      <alignment horizontal="right" vertical="center"/>
    </xf>
    <xf numFmtId="177" fontId="34" fillId="0" borderId="12" xfId="0" applyNumberFormat="1" applyFont="1" applyBorder="1" applyAlignment="1" applyProtection="1">
      <alignment horizontal="right" vertical="center" wrapText="1"/>
    </xf>
    <xf numFmtId="177" fontId="34" fillId="0" borderId="13" xfId="0" applyNumberFormat="1" applyFont="1" applyBorder="1" applyAlignment="1" applyProtection="1">
      <alignment horizontal="right" vertical="center" wrapText="1"/>
    </xf>
    <xf numFmtId="177" fontId="34" fillId="0" borderId="44" xfId="0" applyNumberFormat="1" applyFont="1" applyBorder="1" applyAlignment="1" applyProtection="1">
      <alignment horizontal="right" vertical="center" wrapText="1"/>
    </xf>
    <xf numFmtId="176" fontId="19" fillId="0" borderId="18" xfId="0" applyNumberFormat="1" applyFont="1" applyBorder="1" applyAlignment="1" applyProtection="1">
      <alignment horizontal="left"/>
    </xf>
    <xf numFmtId="176" fontId="19" fillId="0" borderId="0" xfId="0" applyNumberFormat="1" applyFont="1" applyBorder="1" applyAlignment="1" applyProtection="1">
      <alignment horizontal="left"/>
    </xf>
    <xf numFmtId="176" fontId="19" fillId="0" borderId="7" xfId="0" applyNumberFormat="1" applyFont="1" applyBorder="1" applyAlignment="1" applyProtection="1">
      <alignment horizontal="left"/>
    </xf>
    <xf numFmtId="176" fontId="54" fillId="0" borderId="3" xfId="0" applyNumberFormat="1" applyFont="1" applyBorder="1" applyAlignment="1" applyProtection="1">
      <alignment horizontal="left" vertical="center"/>
    </xf>
    <xf numFmtId="176" fontId="54" fillId="0" borderId="4" xfId="0" applyNumberFormat="1" applyFont="1" applyBorder="1" applyAlignment="1" applyProtection="1">
      <alignment horizontal="left" vertical="center"/>
    </xf>
    <xf numFmtId="176" fontId="54" fillId="0" borderId="5" xfId="0" applyNumberFormat="1" applyFont="1" applyBorder="1" applyAlignment="1" applyProtection="1">
      <alignment horizontal="left" vertical="center"/>
    </xf>
    <xf numFmtId="176" fontId="54" fillId="0" borderId="8" xfId="0" applyNumberFormat="1" applyFont="1" applyBorder="1" applyAlignment="1" applyProtection="1">
      <alignment horizontal="left" vertical="center"/>
    </xf>
    <xf numFmtId="176" fontId="54" fillId="0" borderId="1" xfId="0" applyNumberFormat="1" applyFont="1" applyBorder="1" applyAlignment="1" applyProtection="1">
      <alignment horizontal="left" vertical="center"/>
    </xf>
    <xf numFmtId="176" fontId="54" fillId="0" borderId="9" xfId="0" applyNumberFormat="1" applyFont="1" applyBorder="1" applyAlignment="1" applyProtection="1">
      <alignment horizontal="left" vertical="center"/>
    </xf>
    <xf numFmtId="176" fontId="34" fillId="0" borderId="3" xfId="0" applyNumberFormat="1" applyFont="1" applyBorder="1" applyAlignment="1" applyProtection="1">
      <alignment horizontal="right" vertical="center"/>
    </xf>
    <xf numFmtId="176" fontId="34" fillId="0" borderId="5" xfId="0" applyNumberFormat="1" applyFont="1" applyBorder="1" applyAlignment="1" applyProtection="1">
      <alignment horizontal="right" vertical="center"/>
    </xf>
    <xf numFmtId="176" fontId="34" fillId="0" borderId="8" xfId="0" applyNumberFormat="1" applyFont="1" applyBorder="1" applyAlignment="1" applyProtection="1">
      <alignment horizontal="right" vertical="center"/>
    </xf>
    <xf numFmtId="176" fontId="34" fillId="0" borderId="9" xfId="0" applyNumberFormat="1" applyFont="1" applyBorder="1" applyAlignment="1" applyProtection="1">
      <alignment horizontal="right" vertical="center"/>
    </xf>
    <xf numFmtId="177" fontId="34" fillId="0" borderId="3" xfId="0" applyNumberFormat="1" applyFont="1" applyBorder="1" applyAlignment="1" applyProtection="1">
      <alignment horizontal="right" vertical="center"/>
    </xf>
    <xf numFmtId="177" fontId="34" fillId="0" borderId="4" xfId="0" applyNumberFormat="1" applyFont="1" applyBorder="1" applyAlignment="1" applyProtection="1">
      <alignment horizontal="right" vertical="center"/>
    </xf>
    <xf numFmtId="177" fontId="34" fillId="0" borderId="5" xfId="0" applyNumberFormat="1" applyFont="1" applyBorder="1" applyAlignment="1" applyProtection="1">
      <alignment horizontal="right" vertical="center"/>
    </xf>
    <xf numFmtId="177" fontId="34" fillId="0" borderId="8" xfId="0" applyNumberFormat="1" applyFont="1" applyBorder="1" applyAlignment="1" applyProtection="1">
      <alignment horizontal="right" vertical="center"/>
    </xf>
    <xf numFmtId="177" fontId="34" fillId="0" borderId="1" xfId="0" applyNumberFormat="1" applyFont="1" applyBorder="1" applyAlignment="1" applyProtection="1">
      <alignment horizontal="right" vertical="center"/>
    </xf>
    <xf numFmtId="177" fontId="34" fillId="0" borderId="9" xfId="0" applyNumberFormat="1" applyFont="1" applyBorder="1" applyAlignment="1" applyProtection="1">
      <alignment horizontal="right" vertical="center"/>
    </xf>
    <xf numFmtId="176" fontId="18" fillId="0" borderId="38" xfId="0" applyNumberFormat="1" applyFont="1" applyBorder="1" applyAlignment="1" applyProtection="1">
      <alignment horizontal="right" vertical="center"/>
    </xf>
    <xf numFmtId="176" fontId="18" fillId="0" borderId="22" xfId="0" applyNumberFormat="1" applyFont="1" applyBorder="1" applyAlignment="1" applyProtection="1">
      <alignment horizontal="right" vertical="center"/>
    </xf>
    <xf numFmtId="176" fontId="18" fillId="0" borderId="42" xfId="0" applyNumberFormat="1" applyFont="1" applyBorder="1" applyAlignment="1" applyProtection="1">
      <alignment horizontal="right" vertical="center"/>
    </xf>
    <xf numFmtId="0" fontId="101" fillId="0" borderId="24" xfId="0" applyFont="1" applyBorder="1" applyAlignment="1" applyProtection="1">
      <alignment horizontal="center" vertical="center"/>
    </xf>
    <xf numFmtId="0" fontId="101" fillId="0" borderId="22" xfId="0" applyFont="1" applyBorder="1" applyAlignment="1" applyProtection="1">
      <alignment horizontal="center" vertical="center"/>
    </xf>
    <xf numFmtId="0" fontId="101" fillId="0" borderId="42" xfId="0" applyFont="1" applyBorder="1" applyAlignment="1" applyProtection="1">
      <alignment horizontal="center" vertical="center"/>
    </xf>
    <xf numFmtId="3" fontId="40" fillId="0" borderId="22" xfId="0" applyNumberFormat="1" applyFont="1" applyBorder="1" applyAlignment="1" applyProtection="1">
      <alignment horizontal="right" vertical="center"/>
    </xf>
    <xf numFmtId="3" fontId="40" fillId="0" borderId="23" xfId="0" applyNumberFormat="1" applyFont="1" applyBorder="1" applyAlignment="1" applyProtection="1">
      <alignment horizontal="right" vertical="center"/>
    </xf>
    <xf numFmtId="177" fontId="34" fillId="0" borderId="3" xfId="0" applyNumberFormat="1" applyFont="1" applyBorder="1" applyAlignment="1" applyProtection="1">
      <alignment horizontal="right" vertical="center" wrapText="1"/>
    </xf>
    <xf numFmtId="177" fontId="34" fillId="0" borderId="4" xfId="0" applyNumberFormat="1" applyFont="1" applyBorder="1" applyAlignment="1" applyProtection="1">
      <alignment horizontal="right" vertical="center" wrapText="1"/>
    </xf>
    <xf numFmtId="177" fontId="34" fillId="0" borderId="30" xfId="0" applyNumberFormat="1" applyFont="1" applyBorder="1" applyAlignment="1" applyProtection="1">
      <alignment horizontal="right" vertical="center" wrapText="1"/>
    </xf>
    <xf numFmtId="177" fontId="34" fillId="0" borderId="8" xfId="0" applyNumberFormat="1" applyFont="1" applyBorder="1" applyAlignment="1" applyProtection="1">
      <alignment horizontal="right" vertical="center" wrapText="1"/>
    </xf>
    <xf numFmtId="177" fontId="34" fillId="0" borderId="1" xfId="0" applyNumberFormat="1" applyFont="1" applyBorder="1" applyAlignment="1" applyProtection="1">
      <alignment horizontal="right" vertical="center" wrapText="1"/>
    </xf>
    <xf numFmtId="177" fontId="34" fillId="0" borderId="29" xfId="0" applyNumberFormat="1" applyFont="1" applyBorder="1" applyAlignment="1" applyProtection="1">
      <alignment horizontal="right" vertical="center" wrapText="1"/>
    </xf>
    <xf numFmtId="0" fontId="28" fillId="0" borderId="0" xfId="0" applyFont="1" applyBorder="1" applyAlignment="1" applyProtection="1">
      <alignment horizontal="left"/>
    </xf>
    <xf numFmtId="0" fontId="28" fillId="0" borderId="0" xfId="0" applyFont="1" applyBorder="1" applyAlignment="1" applyProtection="1">
      <alignment horizontal="center"/>
    </xf>
    <xf numFmtId="0" fontId="38" fillId="0" borderId="4" xfId="21" applyNumberFormat="1" applyFont="1" applyBorder="1" applyAlignment="1">
      <alignment horizontal="right" vertical="center"/>
    </xf>
    <xf numFmtId="0" fontId="219" fillId="0" borderId="86" xfId="21" applyFont="1" applyBorder="1" applyAlignment="1">
      <alignment horizontal="right" vertical="center"/>
    </xf>
    <xf numFmtId="0" fontId="219" fillId="0" borderId="4" xfId="21" applyFont="1" applyBorder="1" applyAlignment="1">
      <alignment horizontal="right" vertical="center"/>
    </xf>
    <xf numFmtId="0" fontId="219" fillId="0" borderId="20" xfId="21" applyFont="1" applyBorder="1" applyAlignment="1">
      <alignment horizontal="right" vertical="center"/>
    </xf>
    <xf numFmtId="0" fontId="219" fillId="0" borderId="11" xfId="21" applyFont="1" applyBorder="1" applyAlignment="1">
      <alignment horizontal="right" vertical="center"/>
    </xf>
    <xf numFmtId="176" fontId="237" fillId="0" borderId="86" xfId="21" applyNumberFormat="1" applyFont="1" applyFill="1" applyBorder="1" applyAlignment="1" applyProtection="1">
      <alignment horizontal="left" vertical="top" wrapText="1" shrinkToFit="1"/>
    </xf>
    <xf numFmtId="176" fontId="237" fillId="0" borderId="4" xfId="21" applyNumberFormat="1" applyFont="1" applyFill="1" applyBorder="1" applyAlignment="1" applyProtection="1">
      <alignment horizontal="left" vertical="top" wrapText="1" shrinkToFit="1"/>
    </xf>
    <xf numFmtId="176" fontId="237" fillId="0" borderId="30" xfId="21" applyNumberFormat="1" applyFont="1" applyFill="1" applyBorder="1" applyAlignment="1" applyProtection="1">
      <alignment horizontal="left" vertical="top" wrapText="1" shrinkToFit="1"/>
    </xf>
    <xf numFmtId="176" fontId="237" fillId="0" borderId="20" xfId="21" applyNumberFormat="1" applyFont="1" applyFill="1" applyBorder="1" applyAlignment="1" applyProtection="1">
      <alignment horizontal="left" vertical="top" wrapText="1" shrinkToFit="1"/>
    </xf>
    <xf numFmtId="176" fontId="237" fillId="0" borderId="11" xfId="21" applyNumberFormat="1" applyFont="1" applyFill="1" applyBorder="1" applyAlignment="1" applyProtection="1">
      <alignment horizontal="left" vertical="top" wrapText="1" shrinkToFit="1"/>
    </xf>
    <xf numFmtId="176" fontId="237" fillId="0" borderId="21" xfId="21" applyNumberFormat="1" applyFont="1" applyFill="1" applyBorder="1" applyAlignment="1" applyProtection="1">
      <alignment horizontal="left" vertical="top" wrapText="1" shrinkToFit="1"/>
    </xf>
    <xf numFmtId="176" fontId="171" fillId="0" borderId="20" xfId="21" applyNumberFormat="1" applyFont="1" applyBorder="1" applyAlignment="1">
      <alignment horizontal="left" vertical="center" shrinkToFit="1"/>
    </xf>
    <xf numFmtId="176" fontId="171" fillId="0" borderId="11" xfId="21" applyNumberFormat="1" applyFont="1" applyBorder="1" applyAlignment="1">
      <alignment horizontal="left" vertical="center" shrinkToFit="1"/>
    </xf>
    <xf numFmtId="176" fontId="171" fillId="0" borderId="21" xfId="21" applyNumberFormat="1" applyFont="1" applyBorder="1" applyAlignment="1">
      <alignment horizontal="left" vertical="center" shrinkToFit="1"/>
    </xf>
    <xf numFmtId="176" fontId="171" fillId="0" borderId="25" xfId="21" applyNumberFormat="1" applyFont="1" applyBorder="1" applyAlignment="1">
      <alignment horizontal="left" vertical="center" shrinkToFit="1"/>
    </xf>
    <xf numFmtId="176" fontId="171" fillId="0" borderId="1" xfId="21" applyNumberFormat="1" applyFont="1" applyBorder="1" applyAlignment="1">
      <alignment horizontal="left" vertical="center" shrinkToFit="1"/>
    </xf>
    <xf numFmtId="176" fontId="171" fillId="0" borderId="29" xfId="21" applyNumberFormat="1" applyFont="1" applyBorder="1" applyAlignment="1">
      <alignment horizontal="left" vertical="center" shrinkToFit="1"/>
    </xf>
    <xf numFmtId="0" fontId="229" fillId="0" borderId="148" xfId="21" applyFont="1" applyBorder="1" applyAlignment="1">
      <alignment horizontal="center" vertical="center"/>
    </xf>
    <xf numFmtId="0" fontId="229" fillId="0" borderId="32" xfId="21" applyFont="1" applyBorder="1" applyAlignment="1">
      <alignment horizontal="center" vertical="center"/>
    </xf>
    <xf numFmtId="176" fontId="134" fillId="0" borderId="3" xfId="21" applyNumberFormat="1" applyFont="1" applyBorder="1" applyAlignment="1">
      <alignment horizontal="center" vertical="center"/>
    </xf>
    <xf numFmtId="176" fontId="134" fillId="0" borderId="5" xfId="21" applyNumberFormat="1" applyFont="1" applyBorder="1" applyAlignment="1">
      <alignment horizontal="center" vertical="center"/>
    </xf>
    <xf numFmtId="176" fontId="134" fillId="0" borderId="27" xfId="21" applyNumberFormat="1" applyFont="1" applyBorder="1" applyAlignment="1">
      <alignment horizontal="center" vertical="center"/>
    </xf>
    <xf numFmtId="176" fontId="134" fillId="0" borderId="26" xfId="21" applyNumberFormat="1" applyFont="1" applyBorder="1" applyAlignment="1">
      <alignment horizontal="center" vertical="center"/>
    </xf>
    <xf numFmtId="176" fontId="134" fillId="0" borderId="61" xfId="21" applyNumberFormat="1" applyFont="1" applyFill="1" applyBorder="1" applyAlignment="1">
      <alignment horizontal="center" vertical="center"/>
    </xf>
    <xf numFmtId="176" fontId="134" fillId="0" borderId="170" xfId="21" applyNumberFormat="1" applyFont="1" applyFill="1" applyBorder="1" applyAlignment="1">
      <alignment horizontal="center" vertical="center"/>
    </xf>
    <xf numFmtId="176" fontId="134" fillId="0" borderId="96" xfId="21" applyNumberFormat="1" applyFont="1" applyFill="1" applyBorder="1" applyAlignment="1">
      <alignment horizontal="center" vertical="center"/>
    </xf>
    <xf numFmtId="176" fontId="134" fillId="0" borderId="85" xfId="21" applyNumberFormat="1" applyFont="1" applyFill="1" applyBorder="1" applyAlignment="1">
      <alignment horizontal="center" vertical="center"/>
    </xf>
    <xf numFmtId="176" fontId="134" fillId="0" borderId="95" xfId="21" applyNumberFormat="1" applyFont="1" applyFill="1" applyBorder="1" applyAlignment="1">
      <alignment horizontal="center" vertical="center"/>
    </xf>
    <xf numFmtId="176" fontId="134" fillId="0" borderId="84" xfId="21" applyNumberFormat="1" applyFont="1" applyFill="1" applyBorder="1" applyAlignment="1">
      <alignment horizontal="center" vertical="center"/>
    </xf>
    <xf numFmtId="176" fontId="229" fillId="11" borderId="86" xfId="21" applyNumberFormat="1" applyFont="1" applyFill="1" applyBorder="1" applyAlignment="1">
      <alignment horizontal="center" vertical="center" shrinkToFit="1"/>
    </xf>
    <xf numFmtId="176" fontId="229" fillId="11" borderId="321" xfId="21" applyNumberFormat="1" applyFont="1" applyFill="1" applyBorder="1" applyAlignment="1">
      <alignment horizontal="center" vertical="center" shrinkToFit="1"/>
    </xf>
    <xf numFmtId="176" fontId="229" fillId="11" borderId="20" xfId="21" applyNumberFormat="1" applyFont="1" applyFill="1" applyBorder="1" applyAlignment="1">
      <alignment horizontal="center" vertical="center" shrinkToFit="1"/>
    </xf>
    <xf numFmtId="176" fontId="229" fillId="11" borderId="322" xfId="21" applyNumberFormat="1" applyFont="1" applyFill="1" applyBorder="1" applyAlignment="1">
      <alignment horizontal="center" vertical="center" shrinkToFit="1"/>
    </xf>
    <xf numFmtId="176" fontId="134" fillId="0" borderId="325" xfId="21" applyNumberFormat="1" applyFont="1" applyBorder="1" applyAlignment="1">
      <alignment horizontal="center" vertical="center"/>
    </xf>
    <xf numFmtId="176" fontId="134" fillId="0" borderId="328" xfId="21" applyNumberFormat="1" applyFont="1" applyBorder="1" applyAlignment="1">
      <alignment horizontal="center" vertical="center"/>
    </xf>
    <xf numFmtId="176" fontId="134" fillId="0" borderId="30" xfId="21" applyNumberFormat="1" applyFont="1" applyBorder="1" applyAlignment="1">
      <alignment horizontal="center" vertical="center"/>
    </xf>
    <xf numFmtId="176" fontId="134" fillId="0" borderId="21" xfId="21" applyNumberFormat="1" applyFont="1" applyBorder="1" applyAlignment="1">
      <alignment horizontal="center" vertical="center"/>
    </xf>
    <xf numFmtId="176" fontId="229" fillId="11" borderId="4" xfId="21" applyNumberFormat="1" applyFont="1" applyFill="1" applyBorder="1" applyAlignment="1">
      <alignment horizontal="center" vertical="center" shrinkToFit="1"/>
    </xf>
    <xf numFmtId="176" fontId="229" fillId="11" borderId="11" xfId="21" applyNumberFormat="1" applyFont="1" applyFill="1" applyBorder="1" applyAlignment="1">
      <alignment horizontal="center" vertical="center" shrinkToFit="1"/>
    </xf>
    <xf numFmtId="176" fontId="134" fillId="0" borderId="326" xfId="21" applyNumberFormat="1" applyFont="1" applyBorder="1" applyAlignment="1">
      <alignment horizontal="center" vertical="center"/>
    </xf>
    <xf numFmtId="176" fontId="134" fillId="0" borderId="29" xfId="21" applyNumberFormat="1" applyFont="1" applyBorder="1" applyAlignment="1">
      <alignment horizontal="center" vertical="center"/>
    </xf>
    <xf numFmtId="176" fontId="229" fillId="11" borderId="25" xfId="21" applyNumberFormat="1" applyFont="1" applyFill="1" applyBorder="1" applyAlignment="1">
      <alignment horizontal="center" vertical="center" shrinkToFit="1"/>
    </xf>
    <xf numFmtId="176" fontId="229" fillId="11" borderId="140" xfId="21" applyNumberFormat="1" applyFont="1" applyFill="1" applyBorder="1" applyAlignment="1">
      <alignment horizontal="center" vertical="center" shrinkToFit="1"/>
    </xf>
    <xf numFmtId="176" fontId="171" fillId="0" borderId="86" xfId="21" applyNumberFormat="1" applyFont="1" applyBorder="1" applyAlignment="1">
      <alignment horizontal="left" vertical="center" shrinkToFit="1"/>
    </xf>
    <xf numFmtId="176" fontId="171" fillId="0" borderId="4" xfId="21" applyNumberFormat="1" applyFont="1" applyBorder="1" applyAlignment="1">
      <alignment horizontal="left" vertical="center" shrinkToFit="1"/>
    </xf>
    <xf numFmtId="176" fontId="171" fillId="0" borderId="30" xfId="21" applyNumberFormat="1" applyFont="1" applyBorder="1" applyAlignment="1">
      <alignment horizontal="left" vertical="center" shrinkToFit="1"/>
    </xf>
    <xf numFmtId="176" fontId="237" fillId="0" borderId="25" xfId="21" applyNumberFormat="1" applyFont="1" applyFill="1" applyBorder="1" applyAlignment="1" applyProtection="1">
      <alignment horizontal="left" vertical="top" wrapText="1" shrinkToFit="1"/>
    </xf>
    <xf numFmtId="176" fontId="237" fillId="0" borderId="1" xfId="21" applyNumberFormat="1" applyFont="1" applyFill="1" applyBorder="1" applyAlignment="1" applyProtection="1">
      <alignment horizontal="left" vertical="top" wrapText="1" shrinkToFit="1"/>
    </xf>
    <xf numFmtId="176" fontId="237" fillId="0" borderId="29" xfId="21" applyNumberFormat="1" applyFont="1" applyFill="1" applyBorder="1" applyAlignment="1" applyProtection="1">
      <alignment horizontal="left" vertical="top" wrapText="1" shrinkToFit="1"/>
    </xf>
    <xf numFmtId="0" fontId="229" fillId="0" borderId="31" xfId="21" applyFont="1" applyBorder="1" applyAlignment="1">
      <alignment horizontal="center" vertical="center"/>
    </xf>
    <xf numFmtId="176" fontId="134" fillId="0" borderId="8" xfId="21" applyNumberFormat="1" applyFont="1" applyBorder="1" applyAlignment="1">
      <alignment horizontal="center" vertical="center"/>
    </xf>
    <xf numFmtId="176" fontId="134" fillId="0" borderId="9" xfId="21" applyNumberFormat="1" applyFont="1" applyBorder="1" applyAlignment="1">
      <alignment horizontal="center" vertical="center"/>
    </xf>
    <xf numFmtId="176" fontId="134" fillId="0" borderId="10" xfId="21" applyNumberFormat="1" applyFont="1" applyFill="1" applyBorder="1" applyAlignment="1">
      <alignment horizontal="center" vertical="center"/>
    </xf>
    <xf numFmtId="176" fontId="134" fillId="0" borderId="93" xfId="21" applyNumberFormat="1" applyFont="1" applyFill="1" applyBorder="1" applyAlignment="1">
      <alignment horizontal="center" vertical="center"/>
    </xf>
    <xf numFmtId="176" fontId="134" fillId="0" borderId="92" xfId="21" applyNumberFormat="1" applyFont="1" applyFill="1" applyBorder="1" applyAlignment="1">
      <alignment horizontal="center" vertical="center"/>
    </xf>
    <xf numFmtId="176" fontId="229" fillId="11" borderId="1" xfId="21" applyNumberFormat="1" applyFont="1" applyFill="1" applyBorder="1" applyAlignment="1">
      <alignment horizontal="center" vertical="center" shrinkToFit="1"/>
    </xf>
    <xf numFmtId="0" fontId="134" fillId="12" borderId="17" xfId="21" applyFont="1" applyFill="1" applyBorder="1" applyAlignment="1">
      <alignment horizontal="center" vertical="center"/>
    </xf>
    <xf numFmtId="0" fontId="134" fillId="12" borderId="29" xfId="21" applyFont="1" applyFill="1" applyBorder="1" applyAlignment="1">
      <alignment horizontal="center" vertical="center"/>
    </xf>
    <xf numFmtId="0" fontId="229" fillId="12" borderId="15" xfId="21" applyFont="1" applyFill="1" applyBorder="1" applyAlignment="1">
      <alignment horizontal="center" vertical="center" wrapText="1"/>
    </xf>
    <xf numFmtId="0" fontId="229" fillId="12" borderId="323" xfId="21" applyFont="1" applyFill="1" applyBorder="1" applyAlignment="1">
      <alignment horizontal="center" vertical="center" wrapText="1"/>
    </xf>
    <xf numFmtId="0" fontId="229" fillId="12" borderId="25" xfId="21" applyFont="1" applyFill="1" applyBorder="1" applyAlignment="1">
      <alignment horizontal="center" vertical="center" wrapText="1"/>
    </xf>
    <xf numFmtId="0" fontId="229" fillId="12" borderId="140" xfId="21" applyFont="1" applyFill="1" applyBorder="1" applyAlignment="1">
      <alignment horizontal="center" vertical="center" wrapText="1"/>
    </xf>
    <xf numFmtId="0" fontId="134" fillId="12" borderId="327" xfId="21" applyFont="1" applyFill="1" applyBorder="1" applyAlignment="1">
      <alignment horizontal="center" vertical="center"/>
    </xf>
    <xf numFmtId="0" fontId="134" fillId="12" borderId="326" xfId="21" applyFont="1" applyFill="1" applyBorder="1" applyAlignment="1">
      <alignment horizontal="center" vertical="center"/>
    </xf>
    <xf numFmtId="0" fontId="229" fillId="12" borderId="323" xfId="21" applyFont="1" applyFill="1" applyBorder="1" applyAlignment="1">
      <alignment horizontal="center" vertical="center" shrinkToFit="1"/>
    </xf>
    <xf numFmtId="0" fontId="229" fillId="12" borderId="140" xfId="21" applyFont="1" applyFill="1" applyBorder="1" applyAlignment="1">
      <alignment horizontal="center" vertical="center" shrinkToFit="1"/>
    </xf>
    <xf numFmtId="0" fontId="134" fillId="12" borderId="327" xfId="21" applyFont="1" applyFill="1" applyBorder="1" applyAlignment="1">
      <alignment horizontal="center" vertical="top"/>
    </xf>
    <xf numFmtId="0" fontId="134" fillId="12" borderId="326" xfId="21" applyFont="1" applyFill="1" applyBorder="1" applyAlignment="1">
      <alignment horizontal="center" vertical="top"/>
    </xf>
    <xf numFmtId="0" fontId="123" fillId="0" borderId="222" xfId="21" applyFont="1" applyBorder="1" applyAlignment="1">
      <alignment horizontal="center" vertical="center"/>
    </xf>
    <xf numFmtId="0" fontId="123" fillId="0" borderId="158" xfId="21" applyFont="1" applyBorder="1" applyAlignment="1">
      <alignment horizontal="center" vertical="center"/>
    </xf>
    <xf numFmtId="0" fontId="123" fillId="0" borderId="32" xfId="21" applyFont="1" applyBorder="1" applyAlignment="1">
      <alignment horizontal="center" vertical="center"/>
    </xf>
    <xf numFmtId="0" fontId="135" fillId="0" borderId="16" xfId="21" applyFont="1" applyBorder="1" applyAlignment="1">
      <alignment horizontal="center" vertical="center"/>
    </xf>
    <xf numFmtId="0" fontId="135" fillId="0" borderId="0" xfId="21" applyFont="1" applyBorder="1" applyAlignment="1">
      <alignment horizontal="center" vertical="center"/>
    </xf>
    <xf numFmtId="0" fontId="135" fillId="0" borderId="11" xfId="21" applyFont="1" applyBorder="1" applyAlignment="1">
      <alignment horizontal="center" vertical="center"/>
    </xf>
    <xf numFmtId="0" fontId="168" fillId="0" borderId="95" xfId="21" applyFont="1" applyBorder="1" applyAlignment="1">
      <alignment horizontal="center" vertical="center" wrapText="1"/>
    </xf>
    <xf numFmtId="0" fontId="168" fillId="0" borderId="84" xfId="21" applyFont="1" applyBorder="1" applyAlignment="1">
      <alignment horizontal="center" vertical="center" wrapText="1"/>
    </xf>
    <xf numFmtId="0" fontId="139" fillId="0" borderId="321" xfId="21" applyFont="1" applyBorder="1" applyAlignment="1">
      <alignment horizontal="center" vertical="center" wrapText="1"/>
    </xf>
    <xf numFmtId="0" fontId="139" fillId="0" borderId="322" xfId="21" applyFont="1" applyBorder="1" applyAlignment="1">
      <alignment horizontal="center" vertical="center" wrapText="1"/>
    </xf>
    <xf numFmtId="0" fontId="139" fillId="0" borderId="309" xfId="21" applyFont="1" applyFill="1" applyBorder="1" applyAlignment="1">
      <alignment horizontal="center" vertical="center" shrinkToFit="1"/>
    </xf>
    <xf numFmtId="0" fontId="139" fillId="0" borderId="324" xfId="21" applyFont="1" applyFill="1" applyBorder="1" applyAlignment="1">
      <alignment horizontal="center" vertical="center" shrinkToFit="1"/>
    </xf>
    <xf numFmtId="0" fontId="139" fillId="0" borderId="11" xfId="21" applyFont="1" applyBorder="1" applyAlignment="1">
      <alignment horizontal="center" vertical="center" wrapText="1"/>
    </xf>
    <xf numFmtId="0" fontId="139" fillId="0" borderId="121" xfId="21" applyFont="1" applyFill="1" applyBorder="1" applyAlignment="1">
      <alignment horizontal="center" vertical="center" shrinkToFit="1"/>
    </xf>
    <xf numFmtId="0" fontId="229" fillId="12" borderId="222" xfId="21" applyFont="1" applyFill="1" applyBorder="1" applyAlignment="1">
      <alignment horizontal="center" vertical="center"/>
    </xf>
    <xf numFmtId="0" fontId="229" fillId="12" borderId="31" xfId="21" applyFont="1" applyFill="1" applyBorder="1" applyAlignment="1">
      <alignment horizontal="center" vertical="center"/>
    </xf>
    <xf numFmtId="0" fontId="134" fillId="12" borderId="48" xfId="21" applyFont="1" applyFill="1" applyBorder="1" applyAlignment="1">
      <alignment horizontal="center" vertical="center"/>
    </xf>
    <xf numFmtId="0" fontId="134" fillId="12" borderId="43" xfId="21" applyFont="1" applyFill="1" applyBorder="1" applyAlignment="1">
      <alignment horizontal="center" vertical="center"/>
    </xf>
    <xf numFmtId="0" fontId="134" fillId="12" borderId="8" xfId="21" applyFont="1" applyFill="1" applyBorder="1" applyAlignment="1">
      <alignment horizontal="center" vertical="center"/>
    </xf>
    <xf numFmtId="0" fontId="134" fillId="12" borderId="9" xfId="21" applyFont="1" applyFill="1" applyBorder="1" applyAlignment="1">
      <alignment horizontal="center" vertical="center"/>
    </xf>
    <xf numFmtId="0" fontId="134" fillId="12" borderId="169" xfId="21" applyFont="1" applyFill="1" applyBorder="1" applyAlignment="1">
      <alignment horizontal="center" vertical="center"/>
    </xf>
    <xf numFmtId="0" fontId="134" fillId="12" borderId="10" xfId="21" applyFont="1" applyFill="1" applyBorder="1" applyAlignment="1">
      <alignment horizontal="center" vertical="center"/>
    </xf>
    <xf numFmtId="0" fontId="134" fillId="12" borderId="101" xfId="21" applyFont="1" applyFill="1" applyBorder="1" applyAlignment="1">
      <alignment horizontal="center" vertical="center"/>
    </xf>
    <xf numFmtId="0" fontId="134" fillId="12" borderId="93" xfId="21" applyFont="1" applyFill="1" applyBorder="1" applyAlignment="1">
      <alignment horizontal="center" vertical="center"/>
    </xf>
    <xf numFmtId="0" fontId="229" fillId="12" borderId="100" xfId="21" applyFont="1" applyFill="1" applyBorder="1" applyAlignment="1">
      <alignment horizontal="center" vertical="center"/>
    </xf>
    <xf numFmtId="0" fontId="229" fillId="12" borderId="92" xfId="21" applyFont="1" applyFill="1" applyBorder="1" applyAlignment="1">
      <alignment horizontal="center" vertical="center"/>
    </xf>
    <xf numFmtId="0" fontId="229" fillId="12" borderId="16" xfId="21" applyFont="1" applyFill="1" applyBorder="1" applyAlignment="1">
      <alignment horizontal="center" vertical="center" wrapText="1"/>
    </xf>
    <xf numFmtId="0" fontId="229" fillId="12" borderId="1" xfId="21" applyFont="1" applyFill="1" applyBorder="1" applyAlignment="1">
      <alignment horizontal="center" vertical="center" wrapText="1"/>
    </xf>
    <xf numFmtId="0" fontId="134" fillId="12" borderId="17" xfId="21" applyFont="1" applyFill="1" applyBorder="1" applyAlignment="1">
      <alignment horizontal="center" vertical="top"/>
    </xf>
    <xf numFmtId="0" fontId="134" fillId="12" borderId="29" xfId="21" applyFont="1" applyFill="1" applyBorder="1" applyAlignment="1">
      <alignment horizontal="center" vertical="top"/>
    </xf>
    <xf numFmtId="0" fontId="92" fillId="0" borderId="0" xfId="21" applyFont="1" applyBorder="1" applyAlignment="1">
      <alignment horizontal="center" vertical="center"/>
    </xf>
    <xf numFmtId="0" fontId="140" fillId="42" borderId="15" xfId="21" applyFont="1" applyFill="1" applyBorder="1" applyAlignment="1">
      <alignment horizontal="center" vertical="center"/>
    </xf>
    <xf numFmtId="0" fontId="140" fillId="42" borderId="43" xfId="21" applyFont="1" applyFill="1" applyBorder="1" applyAlignment="1">
      <alignment horizontal="center" vertical="center"/>
    </xf>
    <xf numFmtId="0" fontId="140" fillId="42" borderId="25" xfId="21" applyFont="1" applyFill="1" applyBorder="1" applyAlignment="1">
      <alignment horizontal="center" vertical="center"/>
    </xf>
    <xf numFmtId="0" fontId="140" fillId="42" borderId="9" xfId="21" applyFont="1" applyFill="1" applyBorder="1" applyAlignment="1">
      <alignment horizontal="center" vertical="center"/>
    </xf>
    <xf numFmtId="176" fontId="198" fillId="0" borderId="16" xfId="21" applyNumberFormat="1" applyFont="1" applyBorder="1" applyAlignment="1">
      <alignment horizontal="left" vertical="center" wrapText="1"/>
    </xf>
    <xf numFmtId="176" fontId="198" fillId="0" borderId="17" xfId="21" applyNumberFormat="1" applyFont="1" applyBorder="1" applyAlignment="1">
      <alignment horizontal="left" vertical="center" wrapText="1"/>
    </xf>
    <xf numFmtId="176" fontId="198" fillId="0" borderId="1" xfId="21" applyNumberFormat="1" applyFont="1" applyBorder="1" applyAlignment="1">
      <alignment horizontal="left" vertical="center" wrapText="1"/>
    </xf>
    <xf numFmtId="176" fontId="198" fillId="0" borderId="29" xfId="21" applyNumberFormat="1" applyFont="1" applyBorder="1" applyAlignment="1">
      <alignment horizontal="left" vertical="center" wrapText="1"/>
    </xf>
    <xf numFmtId="0" fontId="140" fillId="42" borderId="39" xfId="21" applyFont="1" applyFill="1" applyBorder="1" applyAlignment="1">
      <alignment horizontal="center" vertical="center"/>
    </xf>
    <xf numFmtId="0" fontId="140" fillId="42" borderId="46" xfId="21" applyFont="1" applyFill="1" applyBorder="1" applyAlignment="1">
      <alignment horizontal="center" vertical="center"/>
    </xf>
    <xf numFmtId="176" fontId="143" fillId="0" borderId="33" xfId="21" applyNumberFormat="1" applyFont="1" applyBorder="1" applyAlignment="1">
      <alignment horizontal="right" vertical="center"/>
    </xf>
    <xf numFmtId="176" fontId="143" fillId="0" borderId="33" xfId="21" applyNumberFormat="1" applyFont="1" applyBorder="1" applyAlignment="1">
      <alignment horizontal="center" vertical="center"/>
    </xf>
    <xf numFmtId="183" fontId="143" fillId="0" borderId="33" xfId="21" applyNumberFormat="1" applyFont="1" applyBorder="1" applyAlignment="1">
      <alignment horizontal="right" vertical="center"/>
    </xf>
    <xf numFmtId="184" fontId="143" fillId="0" borderId="33" xfId="21" applyNumberFormat="1" applyFont="1" applyBorder="1" applyAlignment="1">
      <alignment horizontal="right" vertical="center"/>
    </xf>
    <xf numFmtId="0" fontId="141" fillId="0" borderId="318" xfId="21" applyFont="1" applyBorder="1" applyAlignment="1">
      <alignment horizontal="center" vertical="center"/>
    </xf>
    <xf numFmtId="0" fontId="141" fillId="0" borderId="319" xfId="21" applyFont="1" applyBorder="1" applyAlignment="1">
      <alignment horizontal="center" vertical="center"/>
    </xf>
    <xf numFmtId="0" fontId="141" fillId="0" borderId="320" xfId="21" applyFont="1" applyBorder="1" applyAlignment="1">
      <alignment horizontal="center" vertical="center"/>
    </xf>
    <xf numFmtId="0" fontId="141" fillId="0" borderId="37" xfId="21" applyFont="1" applyBorder="1" applyAlignment="1">
      <alignment horizontal="center" vertical="center"/>
    </xf>
    <xf numFmtId="0" fontId="141" fillId="0" borderId="34" xfId="21" applyFont="1" applyBorder="1" applyAlignment="1">
      <alignment horizontal="center" vertical="center"/>
    </xf>
    <xf numFmtId="0" fontId="141" fillId="0" borderId="36" xfId="21" applyFont="1" applyBorder="1" applyAlignment="1">
      <alignment horizontal="center" vertical="center"/>
    </xf>
    <xf numFmtId="186" fontId="230" fillId="11" borderId="18" xfId="0" applyNumberFormat="1" applyFont="1" applyFill="1" applyBorder="1" applyAlignment="1">
      <alignment horizontal="center" vertical="center" shrinkToFit="1"/>
    </xf>
    <xf numFmtId="186" fontId="230" fillId="11" borderId="0" xfId="0" applyNumberFormat="1" applyFont="1" applyFill="1" applyBorder="1" applyAlignment="1">
      <alignment horizontal="center" vertical="center" shrinkToFit="1"/>
    </xf>
    <xf numFmtId="186" fontId="230" fillId="11" borderId="19" xfId="0" applyNumberFormat="1" applyFont="1" applyFill="1" applyBorder="1" applyAlignment="1">
      <alignment horizontal="center" vertical="center" shrinkToFit="1"/>
    </xf>
    <xf numFmtId="186" fontId="230" fillId="11" borderId="25" xfId="21" applyNumberFormat="1" applyFont="1" applyFill="1" applyBorder="1" applyAlignment="1">
      <alignment horizontal="center" vertical="center" shrinkToFit="1"/>
    </xf>
    <xf numFmtId="186" fontId="230" fillId="11" borderId="1" xfId="21" applyNumberFormat="1" applyFont="1" applyFill="1" applyBorder="1" applyAlignment="1">
      <alignment horizontal="center" vertical="center" shrinkToFit="1"/>
    </xf>
    <xf numFmtId="186" fontId="230" fillId="11" borderId="29" xfId="21" applyNumberFormat="1" applyFont="1" applyFill="1" applyBorder="1" applyAlignment="1">
      <alignment horizontal="center" vertical="center" shrinkToFit="1"/>
    </xf>
    <xf numFmtId="0" fontId="139" fillId="0" borderId="18" xfId="21" applyFont="1" applyBorder="1" applyAlignment="1">
      <alignment horizontal="left" vertical="center" wrapText="1" shrinkToFit="1"/>
    </xf>
    <xf numFmtId="0" fontId="139" fillId="0" borderId="0" xfId="21" applyFont="1" applyBorder="1" applyAlignment="1">
      <alignment horizontal="left" vertical="center" wrapText="1" shrinkToFit="1"/>
    </xf>
    <xf numFmtId="0" fontId="139" fillId="0" borderId="19" xfId="21" applyFont="1" applyBorder="1" applyAlignment="1">
      <alignment horizontal="left" vertical="center" wrapText="1" shrinkToFit="1"/>
    </xf>
    <xf numFmtId="0" fontId="139" fillId="0" borderId="20" xfId="21" applyFont="1" applyBorder="1" applyAlignment="1">
      <alignment horizontal="left" vertical="center" wrapText="1" shrinkToFit="1"/>
    </xf>
    <xf numFmtId="0" fontId="139" fillId="0" borderId="11" xfId="21" applyFont="1" applyBorder="1" applyAlignment="1">
      <alignment horizontal="left" vertical="center" wrapText="1" shrinkToFit="1"/>
    </xf>
    <xf numFmtId="0" fontId="139" fillId="0" borderId="21" xfId="21" applyFont="1" applyBorder="1" applyAlignment="1">
      <alignment horizontal="left" vertical="center" wrapText="1" shrinkToFit="1"/>
    </xf>
    <xf numFmtId="0" fontId="139" fillId="0" borderId="86" xfId="21" applyFont="1" applyBorder="1" applyAlignment="1">
      <alignment horizontal="left" vertical="center" wrapText="1" shrinkToFit="1"/>
    </xf>
    <xf numFmtId="0" fontId="139" fillId="0" borderId="4" xfId="21" applyFont="1" applyBorder="1" applyAlignment="1">
      <alignment horizontal="left" vertical="center" wrapText="1" shrinkToFit="1"/>
    </xf>
    <xf numFmtId="0" fontId="139" fillId="0" borderId="30" xfId="21" applyFont="1" applyBorder="1" applyAlignment="1">
      <alignment horizontal="left" vertical="center" wrapText="1" shrinkToFit="1"/>
    </xf>
    <xf numFmtId="0" fontId="168" fillId="0" borderId="96" xfId="21" applyFont="1" applyBorder="1" applyAlignment="1">
      <alignment horizontal="center" vertical="center" wrapText="1"/>
    </xf>
    <xf numFmtId="0" fontId="168" fillId="0" borderId="85" xfId="21" applyFont="1" applyBorder="1" applyAlignment="1">
      <alignment horizontal="center" vertical="center" wrapText="1"/>
    </xf>
    <xf numFmtId="0" fontId="38" fillId="42" borderId="37" xfId="21" applyFont="1" applyFill="1" applyBorder="1" applyAlignment="1">
      <alignment horizontal="center" vertical="center"/>
    </xf>
    <xf numFmtId="0" fontId="38" fillId="42" borderId="34" xfId="21" applyFont="1" applyFill="1" applyBorder="1" applyAlignment="1">
      <alignment horizontal="center" vertical="center"/>
    </xf>
    <xf numFmtId="0" fontId="38" fillId="42" borderId="36" xfId="21" applyFont="1" applyFill="1" applyBorder="1" applyAlignment="1">
      <alignment horizontal="center" vertical="center"/>
    </xf>
    <xf numFmtId="176" fontId="37" fillId="0" borderId="33" xfId="0" applyNumberFormat="1" applyFont="1" applyBorder="1" applyAlignment="1">
      <alignment horizontal="left" vertical="center" wrapText="1"/>
    </xf>
    <xf numFmtId="176" fontId="37" fillId="0" borderId="35" xfId="0" applyNumberFormat="1" applyFont="1" applyBorder="1" applyAlignment="1">
      <alignment horizontal="left" vertical="center" wrapText="1"/>
    </xf>
    <xf numFmtId="176" fontId="234" fillId="0" borderId="0" xfId="0" applyNumberFormat="1" applyFont="1" applyBorder="1" applyAlignment="1">
      <alignment horizontal="left" vertical="center" wrapText="1"/>
    </xf>
    <xf numFmtId="176" fontId="234" fillId="0" borderId="11" xfId="0" applyNumberFormat="1" applyFont="1" applyBorder="1" applyAlignment="1">
      <alignment horizontal="left" vertical="center" wrapText="1"/>
    </xf>
    <xf numFmtId="0" fontId="194" fillId="0" borderId="11" xfId="21" applyFont="1" applyBorder="1" applyAlignment="1">
      <alignment horizontal="center" vertical="top"/>
    </xf>
    <xf numFmtId="0" fontId="38" fillId="0" borderId="11" xfId="21" applyNumberFormat="1" applyFont="1" applyBorder="1" applyAlignment="1">
      <alignment horizontal="right" vertical="center"/>
    </xf>
    <xf numFmtId="0" fontId="144" fillId="0" borderId="0" xfId="0" applyFont="1" applyAlignment="1">
      <alignment horizontal="right" vertical="center"/>
    </xf>
    <xf numFmtId="0" fontId="144" fillId="0" borderId="0" xfId="0" applyFont="1" applyAlignment="1">
      <alignment horizontal="left" vertical="center"/>
    </xf>
    <xf numFmtId="0" fontId="108" fillId="0" borderId="0" xfId="21" applyFont="1" applyBorder="1" applyAlignment="1">
      <alignment horizontal="left" vertical="center" shrinkToFit="1"/>
    </xf>
    <xf numFmtId="176" fontId="224" fillId="0" borderId="251" xfId="0" applyNumberFormat="1" applyFont="1" applyBorder="1" applyAlignment="1" applyProtection="1">
      <alignment horizontal="center" vertical="center" shrinkToFit="1"/>
      <protection locked="0"/>
    </xf>
    <xf numFmtId="176" fontId="224" fillId="0" borderId="250" xfId="0" applyNumberFormat="1" applyFont="1" applyBorder="1" applyAlignment="1" applyProtection="1">
      <alignment horizontal="center" vertical="center" shrinkToFit="1"/>
      <protection locked="0"/>
    </xf>
    <xf numFmtId="176" fontId="224" fillId="0" borderId="249" xfId="0" applyNumberFormat="1" applyFont="1" applyBorder="1" applyAlignment="1" applyProtection="1">
      <alignment horizontal="center" vertical="center" shrinkToFit="1"/>
      <protection locked="0"/>
    </xf>
    <xf numFmtId="176" fontId="224" fillId="0" borderId="171" xfId="0" applyNumberFormat="1" applyFont="1" applyBorder="1" applyAlignment="1" applyProtection="1">
      <alignment horizontal="center" vertical="center" shrinkToFit="1"/>
      <protection locked="0"/>
    </xf>
    <xf numFmtId="176" fontId="224" fillId="0" borderId="0" xfId="0" applyNumberFormat="1" applyFont="1" applyBorder="1" applyAlignment="1" applyProtection="1">
      <alignment horizontal="center" vertical="center" shrinkToFit="1"/>
      <protection locked="0"/>
    </xf>
    <xf numFmtId="176" fontId="224" fillId="0" borderId="248" xfId="0" applyNumberFormat="1" applyFont="1" applyBorder="1" applyAlignment="1" applyProtection="1">
      <alignment horizontal="center" vertical="center" shrinkToFit="1"/>
      <protection locked="0"/>
    </xf>
    <xf numFmtId="176" fontId="0" fillId="0" borderId="171" xfId="0" applyNumberFormat="1"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176" fontId="0" fillId="0" borderId="248" xfId="0" applyNumberFormat="1" applyBorder="1" applyAlignment="1" applyProtection="1">
      <alignment horizontal="center" vertical="center"/>
      <protection locked="0"/>
    </xf>
    <xf numFmtId="176" fontId="0" fillId="0" borderId="246" xfId="0" applyNumberFormat="1" applyBorder="1" applyAlignment="1" applyProtection="1">
      <alignment horizontal="center" vertical="center"/>
      <protection locked="0"/>
    </xf>
    <xf numFmtId="176" fontId="0" fillId="0" borderId="245" xfId="0" applyNumberFormat="1" applyBorder="1" applyAlignment="1" applyProtection="1">
      <alignment horizontal="center" vertical="center"/>
      <protection locked="0"/>
    </xf>
    <xf numFmtId="176" fontId="0" fillId="0" borderId="244" xfId="0" applyNumberFormat="1" applyBorder="1" applyAlignment="1" applyProtection="1">
      <alignment horizontal="center" vertical="center"/>
      <protection locked="0"/>
    </xf>
    <xf numFmtId="0" fontId="225" fillId="0" borderId="255" xfId="0" applyFont="1" applyBorder="1" applyAlignment="1" applyProtection="1">
      <alignment horizontal="center" vertical="center" wrapText="1"/>
    </xf>
    <xf numFmtId="0" fontId="0" fillId="0" borderId="255" xfId="0" applyBorder="1" applyProtection="1">
      <alignment vertical="center"/>
    </xf>
    <xf numFmtId="176" fontId="224" fillId="0" borderId="246" xfId="0" applyNumberFormat="1" applyFont="1" applyBorder="1" applyAlignment="1" applyProtection="1">
      <alignment horizontal="center" vertical="center" shrinkToFit="1"/>
      <protection locked="0"/>
    </xf>
    <xf numFmtId="176" fontId="224" fillId="0" borderId="245" xfId="0" applyNumberFormat="1" applyFont="1" applyBorder="1" applyAlignment="1" applyProtection="1">
      <alignment horizontal="center" vertical="center" shrinkToFit="1"/>
      <protection locked="0"/>
    </xf>
    <xf numFmtId="176" fontId="224" fillId="0" borderId="244" xfId="0" applyNumberFormat="1" applyFont="1" applyBorder="1" applyAlignment="1" applyProtection="1">
      <alignment horizontal="center" vertical="center" shrinkToFit="1"/>
      <protection locked="0"/>
    </xf>
  </cellXfs>
  <cellStyles count="22">
    <cellStyle name="GrayCell" xfId="10" xr:uid="{00000000-0005-0000-0000-000000000000}"/>
    <cellStyle name="OrangeBorder" xfId="8" xr:uid="{00000000-0005-0000-0000-000001000000}"/>
    <cellStyle name="YellowCell" xfId="9" xr:uid="{00000000-0005-0000-0000-000002000000}"/>
    <cellStyle name="z A 列のテキスト" xfId="7" xr:uid="{00000000-0005-0000-0000-000003000000}"/>
    <cellStyle name="タイトル 2" xfId="5" xr:uid="{00000000-0005-0000-0000-000004000000}"/>
    <cellStyle name="下罫線" xfId="13" xr:uid="{00000000-0005-0000-0000-000005000000}"/>
    <cellStyle name="開始テキスト" xfId="6" xr:uid="{00000000-0005-0000-0000-000006000000}"/>
    <cellStyle name="強調表示" xfId="18" xr:uid="{00000000-0005-0000-0000-000007000000}"/>
    <cellStyle name="見出し 1 2" xfId="3" xr:uid="{00000000-0005-0000-0000-000008000000}"/>
    <cellStyle name="見出し 2 2" xfId="4" xr:uid="{00000000-0005-0000-0000-000009000000}"/>
    <cellStyle name="見出し 3 2" xfId="11" xr:uid="{00000000-0005-0000-0000-00000A000000}"/>
    <cellStyle name="見出し 4 2" xfId="12" xr:uid="{00000000-0005-0000-0000-00000B000000}"/>
    <cellStyle name="通貨 [0.00] 2" xfId="20" xr:uid="{00000000-0005-0000-0000-00000C000000}"/>
    <cellStyle name="通貨 2" xfId="19" xr:uid="{00000000-0005-0000-0000-00000D000000}"/>
    <cellStyle name="日付" xfId="17" xr:uid="{00000000-0005-0000-0000-00000E000000}"/>
    <cellStyle name="標準" xfId="0" builtinId="0"/>
    <cellStyle name="標準 2" xfId="1" xr:uid="{00000000-0005-0000-0000-000010000000}"/>
    <cellStyle name="標準 3" xfId="2" xr:uid="{00000000-0005-0000-0000-000011000000}"/>
    <cellStyle name="標準 4" xfId="21" xr:uid="{00000000-0005-0000-0000-000012000000}"/>
    <cellStyle name="緑色の右罫線" xfId="14" xr:uid="{00000000-0005-0000-0000-000013000000}"/>
    <cellStyle name="緑色の左下罫線" xfId="15" xr:uid="{00000000-0005-0000-0000-000014000000}"/>
    <cellStyle name="緑色の左罫線" xfId="16" xr:uid="{00000000-0005-0000-0000-000015000000}"/>
  </cellStyles>
  <dxfs count="68">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gColor auto="1"/>
          <bgColor auto="1"/>
        </patternFill>
      </fill>
    </dxf>
    <dxf>
      <fill>
        <patternFill patternType="mediumGray"/>
      </fill>
    </dxf>
    <dxf>
      <fill>
        <patternFill patternType="mediumGray"/>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0" formatCode="General"/>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1"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BIZ UDPゴシック"/>
        <scheme val="none"/>
      </font>
      <fill>
        <patternFill patternType="solid">
          <fgColor theme="4" tint="0.79998168889431442"/>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UD デジタル 教科書体 N-B"/>
        <scheme val="none"/>
      </font>
      <numFmt numFmtId="0" formatCode="General"/>
      <fill>
        <patternFill patternType="solid">
          <fgColor indexed="64"/>
          <bgColor rgb="FFF080D8"/>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BIZ UDPゴシック"/>
        <scheme val="none"/>
      </font>
      <numFmt numFmtId="176" formatCode="#"/>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BIZ UDPゴシック"/>
        <scheme val="none"/>
      </font>
      <numFmt numFmtId="176" formatCode="#"/>
      <fill>
        <patternFill patternType="none">
          <fgColor indexed="64"/>
          <bgColor indexed="65"/>
        </patternFill>
      </fill>
      <alignment horizontal="left" vertical="center" textRotation="0" wrapText="0" indent="0" justifyLastLine="0" shrinkToFit="0" readingOrder="0"/>
      <border diagonalUp="0" diagonalDown="0" outline="0">
        <left/>
        <right style="hair">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strike val="0"/>
        <outline val="0"/>
        <shadow val="0"/>
        <u val="none"/>
        <vertAlign val="baseline"/>
        <color theme="1"/>
        <name val="BIZ UDPゴシック"/>
        <scheme val="none"/>
      </font>
    </dxf>
    <dxf>
      <border outline="0">
        <bottom style="thin">
          <color indexed="64"/>
        </bottom>
      </border>
    </dxf>
    <dxf>
      <font>
        <b val="0"/>
        <i val="0"/>
        <strike val="0"/>
        <condense val="0"/>
        <extend val="0"/>
        <outline val="0"/>
        <shadow val="0"/>
        <u val="none"/>
        <vertAlign val="baseline"/>
        <sz val="10"/>
        <color auto="1"/>
        <name val="UD デジタル 教科書体 N-B"/>
        <scheme val="none"/>
      </font>
      <numFmt numFmtId="0" formatCode="General"/>
      <fill>
        <patternFill patternType="solid">
          <fgColor indexed="64"/>
          <bgColor rgb="FFF080D8"/>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color rgb="FF9C0006"/>
      </font>
      <fill>
        <patternFill>
          <bgColor rgb="FFFFC7CE"/>
        </patternFill>
      </fill>
    </dxf>
    <dxf>
      <font>
        <color theme="0"/>
      </font>
      <fill>
        <patternFill>
          <bgColor rgb="FF359966"/>
        </patternFill>
      </fill>
    </dxf>
    <dxf>
      <font>
        <color theme="0"/>
      </font>
      <fill>
        <patternFill>
          <bgColor rgb="FF359966"/>
        </patternFill>
      </fill>
    </dxf>
    <dxf>
      <font>
        <b/>
        <color theme="1"/>
      </font>
      <border>
        <bottom style="thin">
          <color theme="9"/>
        </bottom>
        <vertical/>
        <horizontal/>
      </border>
    </dxf>
    <dxf>
      <font>
        <sz val="10"/>
        <color theme="1"/>
        <name val="HG丸ｺﾞｼｯｸM-PRO"/>
        <scheme val="none"/>
      </font>
      <border>
        <left style="thin">
          <color theme="9"/>
        </left>
        <right style="thin">
          <color theme="9"/>
        </right>
        <top style="thin">
          <color theme="9"/>
        </top>
        <bottom style="thin">
          <color theme="9"/>
        </bottom>
        <vertical/>
        <horizontal/>
      </border>
    </dxf>
    <dxf>
      <font>
        <b/>
        <color theme="1"/>
      </font>
      <border>
        <bottom style="thin">
          <color theme="5"/>
        </bottom>
        <vertical/>
        <horizontal/>
      </border>
    </dxf>
    <dxf>
      <font>
        <sz val="10"/>
        <color theme="1"/>
        <name val="HG丸ｺﾞｼｯｸM-PRO"/>
        <scheme val="none"/>
      </font>
      <border>
        <left style="thin">
          <color theme="5"/>
        </left>
        <right style="thin">
          <color theme="5"/>
        </right>
        <top style="thin">
          <color theme="5"/>
        </top>
        <bottom style="thin">
          <color theme="5"/>
        </bottom>
        <vertical/>
        <horizontal/>
      </border>
    </dxf>
    <dxf>
      <font>
        <b/>
        <color theme="1"/>
      </font>
      <border>
        <bottom style="thin">
          <color theme="4"/>
        </bottom>
        <vertical/>
        <horizontal/>
      </border>
    </dxf>
    <dxf>
      <font>
        <sz val="10"/>
        <color theme="1"/>
        <name val="HG丸ｺﾞｼｯｸM-PRO"/>
        <scheme val="none"/>
      </font>
      <border>
        <left style="thin">
          <color theme="4"/>
        </left>
        <right style="thin">
          <color theme="4"/>
        </right>
        <top style="thin">
          <color theme="4"/>
        </top>
        <bottom style="thin">
          <color theme="4"/>
        </bottom>
        <vertical/>
        <horizontal/>
      </border>
    </dxf>
    <dxf>
      <fill>
        <patternFill>
          <bgColor theme="0" tint="-4.9989318521683403E-2"/>
        </patternFill>
      </fill>
    </dxf>
    <dxf>
      <font>
        <color theme="0"/>
      </font>
      <fill>
        <patternFill>
          <bgColor rgb="FF339966"/>
        </patternFill>
      </fill>
    </dxf>
  </dxfs>
  <tableStyles count="5" defaultTableStyle="TableStyleMedium2" defaultPivotStyle="PivotStyleLight16">
    <tableStyle name="CustomTableStyle" pivot="0" count="2" xr9:uid="{00000000-0011-0000-FFFF-FFFF00000000}">
      <tableStyleElement type="headerRow" dxfId="67"/>
      <tableStyleElement type="firstRowStripe" dxfId="66"/>
    </tableStyle>
    <tableStyle name="SlicerStyleLight1 2" pivot="0" table="0" count="10" xr9:uid="{00000000-0011-0000-FFFF-FFFF01000000}">
      <tableStyleElement type="wholeTable" dxfId="65"/>
      <tableStyleElement type="headerRow" dxfId="64"/>
    </tableStyle>
    <tableStyle name="SlicerStyleLight2 2" pivot="0" table="0" count="10" xr9:uid="{00000000-0011-0000-FFFF-FFFF02000000}">
      <tableStyleElement type="wholeTable" dxfId="63"/>
      <tableStyleElement type="headerRow" dxfId="62"/>
    </tableStyle>
    <tableStyle name="SlicerStyleLight6 2" pivot="0" table="0" count="10" xr9:uid="{00000000-0011-0000-FFFF-FFFF03000000}">
      <tableStyleElement type="wholeTable" dxfId="61"/>
      <tableStyleElement type="headerRow" dxfId="60"/>
    </tableStyle>
    <tableStyle name="ピボットテーブルのスタイル 1" table="0" count="2" xr9:uid="{00000000-0011-0000-FFFF-FFFF04000000}">
      <tableStyleElement type="headerRow" dxfId="59"/>
      <tableStyleElement type="totalRow" dxfId="58"/>
    </tableStyle>
  </tableStyles>
  <colors>
    <mruColors>
      <color rgb="FFB8ECF2"/>
      <color rgb="FFCCFFFF"/>
      <color rgb="FFFFFFD1"/>
      <color rgb="FFFFFFC1"/>
      <color rgb="FFFFFF99"/>
      <color rgb="FFFF7DA8"/>
      <color rgb="FFFF6699"/>
      <color rgb="FFFF0066"/>
      <color rgb="FFFFFF66"/>
      <color rgb="FF99FF33"/>
    </mruColors>
  </colors>
  <extLst>
    <ext xmlns:x14="http://schemas.microsoft.com/office/spreadsheetml/2009/9/main" uri="{46F421CA-312F-682f-3DD2-61675219B42D}">
      <x14:dxfs count="24">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2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5.xml"/><Relationship Id="rId3" Type="http://schemas.openxmlformats.org/officeDocument/2006/relationships/worksheet" Target="worksheets/sheet3.xml"/><Relationship Id="rId21" Type="http://schemas.microsoft.com/office/2007/relationships/slicerCache" Target="slicerCaches/slicerCache8.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4.xml"/><Relationship Id="rId25" Type="http://schemas.openxmlformats.org/officeDocument/2006/relationships/calcChain" Target="calcChain.xml"/><Relationship Id="rId2" Type="http://schemas.openxmlformats.org/officeDocument/2006/relationships/worksheet" Target="worksheets/sheet2.xml"/><Relationship Id="rId16" Type="http://schemas.microsoft.com/office/2007/relationships/slicerCache" Target="slicerCaches/slicerCache3.xml"/><Relationship Id="rId20" Type="http://schemas.microsoft.com/office/2007/relationships/slicerCache" Target="slicerCaches/slicerCache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styles" Target="styles.xml"/><Relationship Id="rId10" Type="http://schemas.openxmlformats.org/officeDocument/2006/relationships/worksheet" Target="worksheets/sheet10.xml"/><Relationship Id="rId19" Type="http://schemas.microsoft.com/office/2007/relationships/slicerCache" Target="slicerCaches/slicerCache6.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28575</xdr:rowOff>
    </xdr:from>
    <xdr:to>
      <xdr:col>1</xdr:col>
      <xdr:colOff>186450</xdr:colOff>
      <xdr:row>8</xdr:row>
      <xdr:rowOff>424575</xdr:rowOff>
    </xdr:to>
    <xdr:sp macro="" textlink="">
      <xdr:nvSpPr>
        <xdr:cNvPr id="13" name="楕円 12">
          <a:extLst>
            <a:ext uri="{FF2B5EF4-FFF2-40B4-BE49-F238E27FC236}">
              <a16:creationId xmlns:a16="http://schemas.microsoft.com/office/drawing/2014/main" id="{00000000-0008-0000-0200-00000D000000}"/>
            </a:ext>
          </a:extLst>
        </xdr:cNvPr>
        <xdr:cNvSpPr/>
      </xdr:nvSpPr>
      <xdr:spPr>
        <a:xfrm>
          <a:off x="76200" y="1838325"/>
          <a:ext cx="396000" cy="396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秘</a:t>
          </a:r>
        </a:p>
      </xdr:txBody>
    </xdr:sp>
    <xdr:clientData/>
  </xdr:twoCellAnchor>
  <xdr:twoCellAnchor>
    <xdr:from>
      <xdr:col>11</xdr:col>
      <xdr:colOff>114300</xdr:colOff>
      <xdr:row>10</xdr:row>
      <xdr:rowOff>28575</xdr:rowOff>
    </xdr:from>
    <xdr:to>
      <xdr:col>11</xdr:col>
      <xdr:colOff>1066800</xdr:colOff>
      <xdr:row>12</xdr:row>
      <xdr:rowOff>266700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7305675" y="2695575"/>
          <a:ext cx="952500" cy="7143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11</xdr:col>
      <xdr:colOff>66675</xdr:colOff>
      <xdr:row>3</xdr:row>
      <xdr:rowOff>66675</xdr:rowOff>
    </xdr:from>
    <xdr:to>
      <xdr:col>11</xdr:col>
      <xdr:colOff>1182675</xdr:colOff>
      <xdr:row>6</xdr:row>
      <xdr:rowOff>325425</xdr:rowOff>
    </xdr:to>
    <mc:AlternateContent xmlns:mc="http://schemas.openxmlformats.org/markup-compatibility/2006" xmlns:sle15="http://schemas.microsoft.com/office/drawing/2012/slicer">
      <mc:Choice Requires="sle15">
        <xdr:graphicFrame macro="">
          <xdr:nvGraphicFramePr>
            <xdr:cNvPr id="4" name="性別">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性別"/>
            </a:graphicData>
          </a:graphic>
        </xdr:graphicFrame>
      </mc:Choice>
      <mc:Fallback xmlns="">
        <xdr:sp macro="" textlink="">
          <xdr:nvSpPr>
            <xdr:cNvPr id="0" name=""/>
            <xdr:cNvSpPr>
              <a:spLocks noTextEdit="1"/>
            </xdr:cNvSpPr>
          </xdr:nvSpPr>
          <xdr:spPr>
            <a:xfrm>
              <a:off x="7353300" y="638175"/>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0</xdr:col>
      <xdr:colOff>95250</xdr:colOff>
      <xdr:row>3</xdr:row>
      <xdr:rowOff>57150</xdr:rowOff>
    </xdr:from>
    <xdr:to>
      <xdr:col>1</xdr:col>
      <xdr:colOff>925500</xdr:colOff>
      <xdr:row>6</xdr:row>
      <xdr:rowOff>315900</xdr:rowOff>
    </xdr:to>
    <mc:AlternateContent xmlns:mc="http://schemas.openxmlformats.org/markup-compatibility/2006" xmlns:sle15="http://schemas.microsoft.com/office/drawing/2012/slicer">
      <mc:Choice Requires="sle15">
        <xdr:graphicFrame macro="">
          <xdr:nvGraphicFramePr>
            <xdr:cNvPr id="14" name="１日目">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microsoft.com/office/drawing/2010/slicer">
              <sle:slicer xmlns:sle="http://schemas.microsoft.com/office/drawing/2010/slicer" name="１日目"/>
            </a:graphicData>
          </a:graphic>
        </xdr:graphicFrame>
      </mc:Choice>
      <mc:Fallback xmlns="">
        <xdr:sp macro="" textlink="">
          <xdr:nvSpPr>
            <xdr:cNvPr id="0" name=""/>
            <xdr:cNvSpPr>
              <a:spLocks noTextEdit="1"/>
            </xdr:cNvSpPr>
          </xdr:nvSpPr>
          <xdr:spPr>
            <a:xfrm>
              <a:off x="9525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1</xdr:col>
      <xdr:colOff>1000125</xdr:colOff>
      <xdr:row>3</xdr:row>
      <xdr:rowOff>57150</xdr:rowOff>
    </xdr:from>
    <xdr:to>
      <xdr:col>2</xdr:col>
      <xdr:colOff>782625</xdr:colOff>
      <xdr:row>6</xdr:row>
      <xdr:rowOff>315900</xdr:rowOff>
    </xdr:to>
    <mc:AlternateContent xmlns:mc="http://schemas.openxmlformats.org/markup-compatibility/2006" xmlns:sle15="http://schemas.microsoft.com/office/drawing/2012/slicer">
      <mc:Choice Requires="sle15">
        <xdr:graphicFrame macro="">
          <xdr:nvGraphicFramePr>
            <xdr:cNvPr id="15" name="２日目">
              <a:extLst>
                <a:ext uri="{FF2B5EF4-FFF2-40B4-BE49-F238E27FC236}">
                  <a16:creationId xmlns:a16="http://schemas.microsoft.com/office/drawing/2014/main" id="{00000000-0008-0000-0200-00000F000000}"/>
                </a:ext>
              </a:extLst>
            </xdr:cNvPr>
            <xdr:cNvGraphicFramePr/>
          </xdr:nvGraphicFramePr>
          <xdr:xfrm>
            <a:off x="0" y="0"/>
            <a:ext cx="0" cy="0"/>
          </xdr:xfrm>
          <a:graphic>
            <a:graphicData uri="http://schemas.microsoft.com/office/drawing/2010/slicer">
              <sle:slicer xmlns:sle="http://schemas.microsoft.com/office/drawing/2010/slicer" name="２日目"/>
            </a:graphicData>
          </a:graphic>
        </xdr:graphicFrame>
      </mc:Choice>
      <mc:Fallback xmlns="">
        <xdr:sp macro="" textlink="">
          <xdr:nvSpPr>
            <xdr:cNvPr id="0" name=""/>
            <xdr:cNvSpPr>
              <a:spLocks noTextEdit="1"/>
            </xdr:cNvSpPr>
          </xdr:nvSpPr>
          <xdr:spPr>
            <a:xfrm>
              <a:off x="1285875"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3</xdr:col>
      <xdr:colOff>57150</xdr:colOff>
      <xdr:row>3</xdr:row>
      <xdr:rowOff>57150</xdr:rowOff>
    </xdr:from>
    <xdr:to>
      <xdr:col>5</xdr:col>
      <xdr:colOff>68250</xdr:colOff>
      <xdr:row>6</xdr:row>
      <xdr:rowOff>315900</xdr:rowOff>
    </xdr:to>
    <mc:AlternateContent xmlns:mc="http://schemas.openxmlformats.org/markup-compatibility/2006" xmlns:sle15="http://schemas.microsoft.com/office/drawing/2012/slicer">
      <mc:Choice Requires="sle15">
        <xdr:graphicFrame macro="">
          <xdr:nvGraphicFramePr>
            <xdr:cNvPr id="16" name="３日目">
              <a:extLst>
                <a:ext uri="{FF2B5EF4-FFF2-40B4-BE49-F238E27FC236}">
                  <a16:creationId xmlns:a16="http://schemas.microsoft.com/office/drawing/2014/main" id="{00000000-0008-0000-0200-000010000000}"/>
                </a:ext>
              </a:extLst>
            </xdr:cNvPr>
            <xdr:cNvGraphicFramePr/>
          </xdr:nvGraphicFramePr>
          <xdr:xfrm>
            <a:off x="0" y="0"/>
            <a:ext cx="0" cy="0"/>
          </xdr:xfrm>
          <a:graphic>
            <a:graphicData uri="http://schemas.microsoft.com/office/drawing/2010/slicer">
              <sle:slicer xmlns:sle="http://schemas.microsoft.com/office/drawing/2010/slicer" name="３日目"/>
            </a:graphicData>
          </a:graphic>
        </xdr:graphicFrame>
      </mc:Choice>
      <mc:Fallback xmlns="">
        <xdr:sp macro="" textlink="">
          <xdr:nvSpPr>
            <xdr:cNvPr id="0" name=""/>
            <xdr:cNvSpPr>
              <a:spLocks noTextEdit="1"/>
            </xdr:cNvSpPr>
          </xdr:nvSpPr>
          <xdr:spPr>
            <a:xfrm>
              <a:off x="247650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5</xdr:col>
      <xdr:colOff>152400</xdr:colOff>
      <xdr:row>3</xdr:row>
      <xdr:rowOff>57150</xdr:rowOff>
    </xdr:from>
    <xdr:to>
      <xdr:col>7</xdr:col>
      <xdr:colOff>11100</xdr:colOff>
      <xdr:row>6</xdr:row>
      <xdr:rowOff>315900</xdr:rowOff>
    </xdr:to>
    <mc:AlternateContent xmlns:mc="http://schemas.openxmlformats.org/markup-compatibility/2006" xmlns:sle15="http://schemas.microsoft.com/office/drawing/2012/slicer">
      <mc:Choice Requires="sle15">
        <xdr:graphicFrame macro="">
          <xdr:nvGraphicFramePr>
            <xdr:cNvPr id="17" name="４日目">
              <a:extLst>
                <a:ext uri="{FF2B5EF4-FFF2-40B4-BE49-F238E27FC236}">
                  <a16:creationId xmlns:a16="http://schemas.microsoft.com/office/drawing/2014/main" id="{00000000-0008-0000-0200-000011000000}"/>
                </a:ext>
              </a:extLst>
            </xdr:cNvPr>
            <xdr:cNvGraphicFramePr/>
          </xdr:nvGraphicFramePr>
          <xdr:xfrm>
            <a:off x="0" y="0"/>
            <a:ext cx="0" cy="0"/>
          </xdr:xfrm>
          <a:graphic>
            <a:graphicData uri="http://schemas.microsoft.com/office/drawing/2010/slicer">
              <sle:slicer xmlns:sle="http://schemas.microsoft.com/office/drawing/2010/slicer" name="４日目"/>
            </a:graphicData>
          </a:graphic>
        </xdr:graphicFrame>
      </mc:Choice>
      <mc:Fallback xmlns="">
        <xdr:sp macro="" textlink="">
          <xdr:nvSpPr>
            <xdr:cNvPr id="0" name=""/>
            <xdr:cNvSpPr>
              <a:spLocks noTextEdit="1"/>
            </xdr:cNvSpPr>
          </xdr:nvSpPr>
          <xdr:spPr>
            <a:xfrm>
              <a:off x="367665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7</xdr:col>
      <xdr:colOff>95250</xdr:colOff>
      <xdr:row>3</xdr:row>
      <xdr:rowOff>57150</xdr:rowOff>
    </xdr:from>
    <xdr:to>
      <xdr:col>8</xdr:col>
      <xdr:colOff>582600</xdr:colOff>
      <xdr:row>6</xdr:row>
      <xdr:rowOff>315900</xdr:rowOff>
    </xdr:to>
    <mc:AlternateContent xmlns:mc="http://schemas.openxmlformats.org/markup-compatibility/2006" xmlns:sle15="http://schemas.microsoft.com/office/drawing/2012/slicer">
      <mc:Choice Requires="sle15">
        <xdr:graphicFrame macro="">
          <xdr:nvGraphicFramePr>
            <xdr:cNvPr id="18" name="５日目">
              <a:extLst>
                <a:ext uri="{FF2B5EF4-FFF2-40B4-BE49-F238E27FC236}">
                  <a16:creationId xmlns:a16="http://schemas.microsoft.com/office/drawing/2014/main" id="{00000000-0008-0000-0200-000012000000}"/>
                </a:ext>
              </a:extLst>
            </xdr:cNvPr>
            <xdr:cNvGraphicFramePr/>
          </xdr:nvGraphicFramePr>
          <xdr:xfrm>
            <a:off x="0" y="0"/>
            <a:ext cx="0" cy="0"/>
          </xdr:xfrm>
          <a:graphic>
            <a:graphicData uri="http://schemas.microsoft.com/office/drawing/2010/slicer">
              <sle:slicer xmlns:sle="http://schemas.microsoft.com/office/drawing/2010/slicer" name="５日目"/>
            </a:graphicData>
          </a:graphic>
        </xdr:graphicFrame>
      </mc:Choice>
      <mc:Fallback xmlns="">
        <xdr:sp macro="" textlink="">
          <xdr:nvSpPr>
            <xdr:cNvPr id="0" name=""/>
            <xdr:cNvSpPr>
              <a:spLocks noTextEdit="1"/>
            </xdr:cNvSpPr>
          </xdr:nvSpPr>
          <xdr:spPr>
            <a:xfrm>
              <a:off x="487680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9</xdr:col>
      <xdr:colOff>28575</xdr:colOff>
      <xdr:row>3</xdr:row>
      <xdr:rowOff>57150</xdr:rowOff>
    </xdr:from>
    <xdr:to>
      <xdr:col>10</xdr:col>
      <xdr:colOff>515925</xdr:colOff>
      <xdr:row>6</xdr:row>
      <xdr:rowOff>315900</xdr:rowOff>
    </xdr:to>
    <mc:AlternateContent xmlns:mc="http://schemas.openxmlformats.org/markup-compatibility/2006" xmlns:sle15="http://schemas.microsoft.com/office/drawing/2012/slicer">
      <mc:Choice Requires="sle15">
        <xdr:graphicFrame macro="">
          <xdr:nvGraphicFramePr>
            <xdr:cNvPr id="19" name="６日目">
              <a:extLst>
                <a:ext uri="{FF2B5EF4-FFF2-40B4-BE49-F238E27FC236}">
                  <a16:creationId xmlns:a16="http://schemas.microsoft.com/office/drawing/2014/main" id="{00000000-0008-0000-0200-000013000000}"/>
                </a:ext>
              </a:extLst>
            </xdr:cNvPr>
            <xdr:cNvGraphicFramePr/>
          </xdr:nvGraphicFramePr>
          <xdr:xfrm>
            <a:off x="0" y="0"/>
            <a:ext cx="0" cy="0"/>
          </xdr:xfrm>
          <a:graphic>
            <a:graphicData uri="http://schemas.microsoft.com/office/drawing/2010/slicer">
              <sle:slicer xmlns:sle="http://schemas.microsoft.com/office/drawing/2010/slicer" name="６日目"/>
            </a:graphicData>
          </a:graphic>
        </xdr:graphicFrame>
      </mc:Choice>
      <mc:Fallback xmlns="">
        <xdr:sp macro="" textlink="">
          <xdr:nvSpPr>
            <xdr:cNvPr id="0" name=""/>
            <xdr:cNvSpPr>
              <a:spLocks noTextEdit="1"/>
            </xdr:cNvSpPr>
          </xdr:nvSpPr>
          <xdr:spPr>
            <a:xfrm>
              <a:off x="6067425"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13</xdr:col>
      <xdr:colOff>38100</xdr:colOff>
      <xdr:row>3</xdr:row>
      <xdr:rowOff>76199</xdr:rowOff>
    </xdr:from>
    <xdr:to>
      <xdr:col>14</xdr:col>
      <xdr:colOff>767925</xdr:colOff>
      <xdr:row>12</xdr:row>
      <xdr:rowOff>266700</xdr:rowOff>
    </xdr:to>
    <mc:AlternateContent xmlns:mc="http://schemas.openxmlformats.org/markup-compatibility/2006" xmlns:sle15="http://schemas.microsoft.com/office/drawing/2012/slicer">
      <mc:Choice Requires="sle15">
        <xdr:graphicFrame macro="">
          <xdr:nvGraphicFramePr>
            <xdr:cNvPr id="20" name="区分">
              <a:extLst>
                <a:ext uri="{FF2B5EF4-FFF2-40B4-BE49-F238E27FC236}">
                  <a16:creationId xmlns:a16="http://schemas.microsoft.com/office/drawing/2014/main" id="{00000000-0008-0000-0200-000014000000}"/>
                </a:ext>
              </a:extLst>
            </xdr:cNvPr>
            <xdr:cNvGraphicFramePr/>
          </xdr:nvGraphicFramePr>
          <xdr:xfrm>
            <a:off x="0" y="0"/>
            <a:ext cx="0" cy="0"/>
          </xdr:xfrm>
          <a:graphic>
            <a:graphicData uri="http://schemas.microsoft.com/office/drawing/2010/slicer">
              <sle:slicer xmlns:sle="http://schemas.microsoft.com/office/drawing/2010/slicer" name="区分"/>
            </a:graphicData>
          </a:graphic>
        </xdr:graphicFrame>
      </mc:Choice>
      <mc:Fallback xmlns="">
        <xdr:sp macro="" textlink="">
          <xdr:nvSpPr>
            <xdr:cNvPr id="0" name=""/>
            <xdr:cNvSpPr>
              <a:spLocks noTextEdit="1"/>
            </xdr:cNvSpPr>
          </xdr:nvSpPr>
          <xdr:spPr>
            <a:xfrm>
              <a:off x="8610600" y="647699"/>
              <a:ext cx="1539450" cy="2762251"/>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21169</xdr:colOff>
      <xdr:row>0</xdr:row>
      <xdr:rowOff>31751</xdr:rowOff>
    </xdr:from>
    <xdr:to>
      <xdr:col>34</xdr:col>
      <xdr:colOff>84667</xdr:colOff>
      <xdr:row>0</xdr:row>
      <xdr:rowOff>423334</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1169" y="31751"/>
          <a:ext cx="8508998" cy="391583"/>
        </a:xfrm>
        <a:prstGeom prst="roundRect">
          <a:avLst/>
        </a:prstGeom>
        <a:solidFill>
          <a:srgbClr val="FFCCCC"/>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１ページ</a:t>
          </a: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に</a:t>
          </a:r>
          <a:r>
            <a:rPr kumimoji="1" lang="ja-JP" altLang="en-US" sz="1400" b="1">
              <a:solidFill>
                <a:srgbClr val="FF0000"/>
              </a:solidFill>
              <a:latin typeface="BIZ UDゴシック" panose="020B0400000000000000" pitchFamily="49" charset="-128"/>
              <a:ea typeface="BIZ UDゴシック" panose="020B0400000000000000" pitchFamily="49" charset="-128"/>
            </a:rPr>
            <a:t>名札１０枚分</a:t>
          </a: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のデータがあります。必要に応じて編集・印刷してご利用ください。</a:t>
          </a:r>
          <a:endParaRPr kumimoji="1" lang="en-US" altLang="ja-JP" sz="14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276224</xdr:colOff>
      <xdr:row>97</xdr:row>
      <xdr:rowOff>39612</xdr:rowOff>
    </xdr:from>
    <xdr:to>
      <xdr:col>7</xdr:col>
      <xdr:colOff>323848</xdr:colOff>
      <xdr:row>98</xdr:row>
      <xdr:rowOff>9531</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rot="5400000">
          <a:off x="2101014" y="27618497"/>
          <a:ext cx="303294" cy="809624"/>
        </a:xfrm>
        <a:prstGeom prst="rightArrow">
          <a:avLst>
            <a:gd name="adj1" fmla="val 41666"/>
            <a:gd name="adj2" fmla="val 67857"/>
          </a:avLst>
        </a:prstGeom>
        <a:solidFill>
          <a:srgbClr val="FF33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93</xdr:row>
      <xdr:rowOff>57150</xdr:rowOff>
    </xdr:from>
    <xdr:to>
      <xdr:col>9</xdr:col>
      <xdr:colOff>323851</xdr:colOff>
      <xdr:row>93</xdr:row>
      <xdr:rowOff>342900</xdr:rowOff>
    </xdr:to>
    <xdr:sp macro="" textlink="">
      <xdr:nvSpPr>
        <xdr:cNvPr id="3" name="右矢印 2">
          <a:extLst>
            <a:ext uri="{FF2B5EF4-FFF2-40B4-BE49-F238E27FC236}">
              <a16:creationId xmlns:a16="http://schemas.microsoft.com/office/drawing/2014/main" id="{00000000-0008-0000-0400-000003000000}"/>
            </a:ext>
          </a:extLst>
        </xdr:cNvPr>
        <xdr:cNvSpPr/>
      </xdr:nvSpPr>
      <xdr:spPr>
        <a:xfrm>
          <a:off x="3181350" y="26927175"/>
          <a:ext cx="238126" cy="285750"/>
        </a:xfrm>
        <a:prstGeom prst="rightArrow">
          <a:avLst>
            <a:gd name="adj1" fmla="val 50000"/>
            <a:gd name="adj2" fmla="val 57692"/>
          </a:avLst>
        </a:prstGeom>
        <a:solidFill>
          <a:srgbClr val="FF66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5290</xdr:colOff>
      <xdr:row>10</xdr:row>
      <xdr:rowOff>47624</xdr:rowOff>
    </xdr:from>
    <xdr:to>
      <xdr:col>35</xdr:col>
      <xdr:colOff>200025</xdr:colOff>
      <xdr:row>11</xdr:row>
      <xdr:rowOff>114299</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406090" y="1733549"/>
          <a:ext cx="3033185" cy="219075"/>
        </a:xfrm>
        <a:prstGeom prst="rect">
          <a:avLst/>
        </a:prstGeom>
        <a:solidFill>
          <a:srgbClr val="FFFF00">
            <a:alpha val="5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00"/>
            </a:lnSpc>
          </a:pPr>
          <a:r>
            <a:rPr kumimoji="1" lang="ja-JP" altLang="en-US" sz="1050" b="1">
              <a:solidFill>
                <a:srgbClr val="FF0000"/>
              </a:solidFill>
              <a:latin typeface="BIZ UDゴシック" panose="020B0400000000000000" pitchFamily="49" charset="-128"/>
              <a:ea typeface="BIZ UDゴシック" panose="020B0400000000000000" pitchFamily="49" charset="-128"/>
            </a:rPr>
            <a:t>← 宿泊して帰る日</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は</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rgbClr val="0070C0"/>
              </a:solidFill>
              <a:latin typeface="BIZ UDゴシック" panose="020B0400000000000000" pitchFamily="49" charset="-128"/>
              <a:ea typeface="BIZ UDゴシック" panose="020B0400000000000000" pitchFamily="49" charset="-128"/>
            </a:rPr>
            <a:t>退所</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にし</a:t>
          </a:r>
          <a:r>
            <a:rPr kumimoji="1" lang="ja-JP" altLang="en-US" sz="1050" b="1">
              <a:latin typeface="BIZ UDゴシック" panose="020B0400000000000000" pitchFamily="49" charset="-128"/>
              <a:ea typeface="BIZ UDゴシック" panose="020B0400000000000000" pitchFamily="49" charset="-128"/>
            </a:rPr>
            <a:t>ます。</a:t>
          </a:r>
        </a:p>
      </xdr:txBody>
    </xdr:sp>
    <xdr:clientData/>
  </xdr:twoCellAnchor>
  <xdr:twoCellAnchor>
    <xdr:from>
      <xdr:col>1</xdr:col>
      <xdr:colOff>66675</xdr:colOff>
      <xdr:row>3</xdr:row>
      <xdr:rowOff>47625</xdr:rowOff>
    </xdr:from>
    <xdr:to>
      <xdr:col>2</xdr:col>
      <xdr:colOff>283800</xdr:colOff>
      <xdr:row>4</xdr:row>
      <xdr:rowOff>188550</xdr:rowOff>
    </xdr:to>
    <xdr:sp macro="" textlink="">
      <xdr:nvSpPr>
        <xdr:cNvPr id="6" name="楕円 5">
          <a:extLst>
            <a:ext uri="{FF2B5EF4-FFF2-40B4-BE49-F238E27FC236}">
              <a16:creationId xmlns:a16="http://schemas.microsoft.com/office/drawing/2014/main" id="{00000000-0008-0000-0500-000006000000}"/>
            </a:ext>
          </a:extLst>
        </xdr:cNvPr>
        <xdr:cNvSpPr/>
      </xdr:nvSpPr>
      <xdr:spPr>
        <a:xfrm>
          <a:off x="95250" y="438150"/>
          <a:ext cx="360000" cy="360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20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123824</xdr:colOff>
      <xdr:row>3</xdr:row>
      <xdr:rowOff>57150</xdr:rowOff>
    </xdr:from>
    <xdr:to>
      <xdr:col>38</xdr:col>
      <xdr:colOff>276224</xdr:colOff>
      <xdr:row>4</xdr:row>
      <xdr:rowOff>209550</xdr:rowOff>
    </xdr:to>
    <xdr:sp macro="" textlink="">
      <xdr:nvSpPr>
        <xdr:cNvPr id="3" name="下矢印 2">
          <a:extLst>
            <a:ext uri="{FF2B5EF4-FFF2-40B4-BE49-F238E27FC236}">
              <a16:creationId xmlns:a16="http://schemas.microsoft.com/office/drawing/2014/main" id="{00000000-0008-0000-0500-000003000000}"/>
            </a:ext>
          </a:extLst>
        </xdr:cNvPr>
        <xdr:cNvSpPr/>
      </xdr:nvSpPr>
      <xdr:spPr>
        <a:xfrm>
          <a:off x="10229849" y="447675"/>
          <a:ext cx="485775" cy="352425"/>
        </a:xfrm>
        <a:prstGeom prst="downArrow">
          <a:avLst>
            <a:gd name="adj1" fmla="val 46952"/>
            <a:gd name="adj2" fmla="val 59652"/>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83606</xdr:colOff>
      <xdr:row>12</xdr:row>
      <xdr:rowOff>46567</xdr:rowOff>
    </xdr:from>
    <xdr:to>
      <xdr:col>24</xdr:col>
      <xdr:colOff>181172</xdr:colOff>
      <xdr:row>13</xdr:row>
      <xdr:rowOff>113767</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4507439" y="2089150"/>
          <a:ext cx="2753983" cy="215367"/>
        </a:xfrm>
        <a:prstGeom prst="rect">
          <a:avLst/>
        </a:prstGeom>
        <a:solidFill>
          <a:srgbClr val="FFFF00">
            <a:alpha val="5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00"/>
            </a:lnSpc>
          </a:pPr>
          <a:r>
            <a:rPr kumimoji="1" lang="ja-JP" altLang="en-US" sz="1050" b="1">
              <a:solidFill>
                <a:srgbClr val="FF0000"/>
              </a:solidFill>
              <a:latin typeface="BIZ UDゴシック" panose="020B0400000000000000" pitchFamily="49" charset="-128"/>
              <a:ea typeface="BIZ UDゴシック" panose="020B0400000000000000" pitchFamily="49" charset="-128"/>
            </a:rPr>
            <a:t>← 日帰り利用</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は</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rgbClr val="0070C0"/>
              </a:solidFill>
              <a:latin typeface="BIZ UDゴシック" panose="020B0400000000000000" pitchFamily="49" charset="-128"/>
              <a:ea typeface="BIZ UDゴシック" panose="020B0400000000000000" pitchFamily="49" charset="-128"/>
            </a:rPr>
            <a:t>日帰り</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にし</a:t>
          </a:r>
          <a:r>
            <a:rPr kumimoji="1" lang="ja-JP" altLang="en-US" sz="1050" b="1">
              <a:latin typeface="BIZ UDゴシック" panose="020B0400000000000000" pitchFamily="49" charset="-128"/>
              <a:ea typeface="BIZ UDゴシック" panose="020B0400000000000000" pitchFamily="49" charset="-128"/>
            </a:rPr>
            <a:t>ます。</a:t>
          </a:r>
        </a:p>
      </xdr:txBody>
    </xdr:sp>
    <xdr:clientData/>
  </xdr:twoCellAnchor>
  <xdr:twoCellAnchor>
    <xdr:from>
      <xdr:col>41</xdr:col>
      <xdr:colOff>76200</xdr:colOff>
      <xdr:row>4</xdr:row>
      <xdr:rowOff>19050</xdr:rowOff>
    </xdr:from>
    <xdr:to>
      <xdr:col>42</xdr:col>
      <xdr:colOff>228600</xdr:colOff>
      <xdr:row>4</xdr:row>
      <xdr:rowOff>209550</xdr:rowOff>
    </xdr:to>
    <xdr:sp macro="" textlink="">
      <xdr:nvSpPr>
        <xdr:cNvPr id="8" name="下矢印 7">
          <a:extLst>
            <a:ext uri="{FF2B5EF4-FFF2-40B4-BE49-F238E27FC236}">
              <a16:creationId xmlns:a16="http://schemas.microsoft.com/office/drawing/2014/main" id="{00000000-0008-0000-0500-000008000000}"/>
            </a:ext>
          </a:extLst>
        </xdr:cNvPr>
        <xdr:cNvSpPr/>
      </xdr:nvSpPr>
      <xdr:spPr>
        <a:xfrm>
          <a:off x="11515725" y="628650"/>
          <a:ext cx="485775" cy="190500"/>
        </a:xfrm>
        <a:prstGeom prst="downArrow">
          <a:avLst>
            <a:gd name="adj1" fmla="val 46952"/>
            <a:gd name="adj2" fmla="val 59652"/>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6350</xdr:colOff>
      <xdr:row>13</xdr:row>
      <xdr:rowOff>9525</xdr:rowOff>
    </xdr:from>
    <xdr:to>
      <xdr:col>11</xdr:col>
      <xdr:colOff>6350</xdr:colOff>
      <xdr:row>14</xdr:row>
      <xdr:rowOff>0</xdr:rowOff>
    </xdr:to>
    <xdr:cxnSp macro="">
      <xdr:nvCxnSpPr>
        <xdr:cNvPr id="2" name="直線矢印コネクタ 1">
          <a:extLst>
            <a:ext uri="{FF2B5EF4-FFF2-40B4-BE49-F238E27FC236}">
              <a16:creationId xmlns:a16="http://schemas.microsoft.com/office/drawing/2014/main" id="{00000000-0008-0000-0600-000002000000}"/>
            </a:ext>
          </a:extLst>
        </xdr:cNvPr>
        <xdr:cNvCxnSpPr/>
      </xdr:nvCxnSpPr>
      <xdr:spPr>
        <a:xfrm>
          <a:off x="6864350" y="866775"/>
          <a:ext cx="0" cy="161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15875</xdr:colOff>
      <xdr:row>13</xdr:row>
      <xdr:rowOff>0</xdr:rowOff>
    </xdr:from>
    <xdr:to>
      <xdr:col>35</xdr:col>
      <xdr:colOff>15875</xdr:colOff>
      <xdr:row>13</xdr:row>
      <xdr:rowOff>276225</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a:off x="23333075" y="857250"/>
          <a:ext cx="0"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13</xdr:row>
      <xdr:rowOff>15874</xdr:rowOff>
    </xdr:from>
    <xdr:to>
      <xdr:col>20</xdr:col>
      <xdr:colOff>0</xdr:colOff>
      <xdr:row>14</xdr:row>
      <xdr:rowOff>6349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a:xfrm>
          <a:off x="13030200" y="873124"/>
          <a:ext cx="0" cy="161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6350</xdr:colOff>
      <xdr:row>58</xdr:row>
      <xdr:rowOff>9525</xdr:rowOff>
    </xdr:from>
    <xdr:to>
      <xdr:col>11</xdr:col>
      <xdr:colOff>6350</xdr:colOff>
      <xdr:row>59</xdr:row>
      <xdr:rowOff>0</xdr:rowOff>
    </xdr:to>
    <xdr:cxnSp macro="">
      <xdr:nvCxnSpPr>
        <xdr:cNvPr id="17" name="直線矢印コネクタ 16">
          <a:extLst>
            <a:ext uri="{FF2B5EF4-FFF2-40B4-BE49-F238E27FC236}">
              <a16:creationId xmlns:a16="http://schemas.microsoft.com/office/drawing/2014/main" id="{00000000-0008-0000-0600-000011000000}"/>
            </a:ext>
          </a:extLst>
        </xdr:cNvPr>
        <xdr:cNvCxnSpPr/>
      </xdr:nvCxnSpPr>
      <xdr:spPr>
        <a:xfrm>
          <a:off x="3952421" y="2649311"/>
          <a:ext cx="0" cy="2626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15875</xdr:colOff>
      <xdr:row>58</xdr:row>
      <xdr:rowOff>0</xdr:rowOff>
    </xdr:from>
    <xdr:to>
      <xdr:col>35</xdr:col>
      <xdr:colOff>15875</xdr:colOff>
      <xdr:row>58</xdr:row>
      <xdr:rowOff>276225</xdr:rowOff>
    </xdr:to>
    <xdr:cxnSp macro="">
      <xdr:nvCxnSpPr>
        <xdr:cNvPr id="18" name="直線矢印コネクタ 17">
          <a:extLst>
            <a:ext uri="{FF2B5EF4-FFF2-40B4-BE49-F238E27FC236}">
              <a16:creationId xmlns:a16="http://schemas.microsoft.com/office/drawing/2014/main" id="{00000000-0008-0000-0600-000012000000}"/>
            </a:ext>
          </a:extLst>
        </xdr:cNvPr>
        <xdr:cNvCxnSpPr/>
      </xdr:nvCxnSpPr>
      <xdr:spPr>
        <a:xfrm>
          <a:off x="13432518" y="2639786"/>
          <a:ext cx="0" cy="266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58</xdr:row>
      <xdr:rowOff>15874</xdr:rowOff>
    </xdr:from>
    <xdr:to>
      <xdr:col>20</xdr:col>
      <xdr:colOff>0</xdr:colOff>
      <xdr:row>59</xdr:row>
      <xdr:rowOff>6349</xdr:rowOff>
    </xdr:to>
    <xdr:cxnSp macro="">
      <xdr:nvCxnSpPr>
        <xdr:cNvPr id="19" name="直線矢印コネクタ 18">
          <a:extLst>
            <a:ext uri="{FF2B5EF4-FFF2-40B4-BE49-F238E27FC236}">
              <a16:creationId xmlns:a16="http://schemas.microsoft.com/office/drawing/2014/main" id="{00000000-0008-0000-0600-000013000000}"/>
            </a:ext>
          </a:extLst>
        </xdr:cNvPr>
        <xdr:cNvCxnSpPr/>
      </xdr:nvCxnSpPr>
      <xdr:spPr>
        <a:xfrm>
          <a:off x="7497536" y="2655660"/>
          <a:ext cx="0" cy="2626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314325</xdr:colOff>
      <xdr:row>27</xdr:row>
      <xdr:rowOff>476250</xdr:rowOff>
    </xdr:from>
    <xdr:to>
      <xdr:col>3</xdr:col>
      <xdr:colOff>152400</xdr:colOff>
      <xdr:row>28</xdr:row>
      <xdr:rowOff>9525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685925" y="5267325"/>
          <a:ext cx="1209675"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323850</xdr:colOff>
      <xdr:row>29</xdr:row>
      <xdr:rowOff>504825</xdr:rowOff>
    </xdr:from>
    <xdr:to>
      <xdr:col>3</xdr:col>
      <xdr:colOff>161925</xdr:colOff>
      <xdr:row>30</xdr:row>
      <xdr:rowOff>47625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695450" y="5629275"/>
          <a:ext cx="120967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333375</xdr:colOff>
      <xdr:row>31</xdr:row>
      <xdr:rowOff>485775</xdr:rowOff>
    </xdr:from>
    <xdr:to>
      <xdr:col>3</xdr:col>
      <xdr:colOff>171450</xdr:colOff>
      <xdr:row>32</xdr:row>
      <xdr:rowOff>66675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704975" y="5991225"/>
          <a:ext cx="1209675" cy="6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11</xdr:col>
      <xdr:colOff>72290</xdr:colOff>
      <xdr:row>0</xdr:row>
      <xdr:rowOff>125017</xdr:rowOff>
    </xdr:from>
    <xdr:to>
      <xdr:col>24</xdr:col>
      <xdr:colOff>13607</xdr:colOff>
      <xdr:row>0</xdr:row>
      <xdr:rowOff>571501</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5120540" y="125017"/>
          <a:ext cx="5356960" cy="446484"/>
        </a:xfrm>
        <a:prstGeom prst="rect">
          <a:avLst/>
        </a:prstGeom>
        <a:solidFill>
          <a:schemeClr val="lt1"/>
        </a:solidFill>
        <a:ln w="38100"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ＤＦ特太ゴシック体" panose="020B0509000000000000" pitchFamily="49" charset="-128"/>
              <a:ea typeface="ＤＦ特太ゴシック体" panose="020B0509000000000000" pitchFamily="49" charset="-128"/>
            </a:rPr>
            <a:t>　　　 は施設入力欄です。</a:t>
          </a:r>
          <a:r>
            <a:rPr kumimoji="1" lang="ja-JP" altLang="en-US" sz="1600">
              <a:solidFill>
                <a:srgbClr val="FF0000"/>
              </a:solidFill>
              <a:latin typeface="ＤＦ特太ゴシック体" panose="020B0509000000000000" pitchFamily="49" charset="-128"/>
              <a:ea typeface="ＤＦ特太ゴシック体" panose="020B0509000000000000" pitchFamily="49" charset="-128"/>
            </a:rPr>
            <a:t>入力しない</a:t>
          </a:r>
          <a:r>
            <a:rPr kumimoji="1" lang="ja-JP" altLang="en-US" sz="1600">
              <a:latin typeface="ＤＦ特太ゴシック体" panose="020B0509000000000000" pitchFamily="49" charset="-128"/>
              <a:ea typeface="ＤＦ特太ゴシック体" panose="020B0509000000000000" pitchFamily="49" charset="-128"/>
            </a:rPr>
            <a:t>でください。</a:t>
          </a:r>
        </a:p>
      </xdr:txBody>
    </xdr:sp>
    <xdr:clientData/>
  </xdr:twoCellAnchor>
  <xdr:twoCellAnchor>
    <xdr:from>
      <xdr:col>12</xdr:col>
      <xdr:colOff>122462</xdr:colOff>
      <xdr:row>0</xdr:row>
      <xdr:rowOff>190500</xdr:rowOff>
    </xdr:from>
    <xdr:to>
      <xdr:col>13</xdr:col>
      <xdr:colOff>54427</xdr:colOff>
      <xdr:row>0</xdr:row>
      <xdr:rowOff>489857</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5415641" y="190500"/>
          <a:ext cx="340179" cy="299357"/>
        </a:xfrm>
        <a:prstGeom prst="rect">
          <a:avLst/>
        </a:prstGeom>
        <a:solidFill>
          <a:srgbClr val="FFFF66"/>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161926</xdr:colOff>
      <xdr:row>0</xdr:row>
      <xdr:rowOff>57149</xdr:rowOff>
    </xdr:from>
    <xdr:to>
      <xdr:col>23</xdr:col>
      <xdr:colOff>66826</xdr:colOff>
      <xdr:row>0</xdr:row>
      <xdr:rowOff>371474</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724276" y="57149"/>
          <a:ext cx="3524400" cy="314325"/>
        </a:xfrm>
        <a:prstGeom prst="rect">
          <a:avLst/>
        </a:prstGeom>
        <a:solidFill>
          <a:schemeClr val="lt1"/>
        </a:solidFill>
        <a:ln w="38100"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ＤＦ特太ゴシック体" panose="020B0509000000000000" pitchFamily="49" charset="-128"/>
              <a:ea typeface="ＤＦ特太ゴシック体" panose="020B0509000000000000" pitchFamily="49" charset="-128"/>
            </a:rPr>
            <a:t>　　 </a:t>
          </a:r>
          <a:r>
            <a:rPr kumimoji="1" lang="ja-JP" altLang="en-US" sz="1050">
              <a:latin typeface="ＤＦ特太ゴシック体" panose="020B0509000000000000" pitchFamily="49" charset="-128"/>
              <a:ea typeface="ＤＦ特太ゴシック体" panose="020B0509000000000000" pitchFamily="49" charset="-128"/>
            </a:rPr>
            <a:t>は施設入力欄です。</a:t>
          </a:r>
          <a:r>
            <a:rPr kumimoji="1" lang="ja-JP" altLang="en-US" sz="1050">
              <a:solidFill>
                <a:srgbClr val="FF0000"/>
              </a:solidFill>
              <a:latin typeface="ＤＦ特太ゴシック体" panose="020B0509000000000000" pitchFamily="49" charset="-128"/>
              <a:ea typeface="ＤＦ特太ゴシック体" panose="020B0509000000000000" pitchFamily="49" charset="-128"/>
            </a:rPr>
            <a:t>入力しない</a:t>
          </a:r>
          <a:r>
            <a:rPr kumimoji="1" lang="ja-JP" altLang="en-US" sz="1050">
              <a:latin typeface="ＤＦ特太ゴシック体" panose="020B0509000000000000" pitchFamily="49" charset="-128"/>
              <a:ea typeface="ＤＦ特太ゴシック体" panose="020B0509000000000000" pitchFamily="49" charset="-128"/>
            </a:rPr>
            <a:t>でください。</a:t>
          </a:r>
        </a:p>
      </xdr:txBody>
    </xdr:sp>
    <xdr:clientData/>
  </xdr:twoCellAnchor>
  <xdr:twoCellAnchor>
    <xdr:from>
      <xdr:col>11</xdr:col>
      <xdr:colOff>152401</xdr:colOff>
      <xdr:row>0</xdr:row>
      <xdr:rowOff>95251</xdr:rowOff>
    </xdr:from>
    <xdr:to>
      <xdr:col>12</xdr:col>
      <xdr:colOff>115051</xdr:colOff>
      <xdr:row>0</xdr:row>
      <xdr:rowOff>318451</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3905251" y="95251"/>
          <a:ext cx="248400" cy="223200"/>
        </a:xfrm>
        <a:prstGeom prst="rect">
          <a:avLst/>
        </a:prstGeom>
        <a:solidFill>
          <a:srgbClr val="FFFF66"/>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219075</xdr:colOff>
      <xdr:row>3</xdr:row>
      <xdr:rowOff>247650</xdr:rowOff>
    </xdr:from>
    <xdr:to>
      <xdr:col>2</xdr:col>
      <xdr:colOff>579075</xdr:colOff>
      <xdr:row>4</xdr:row>
      <xdr:rowOff>36150</xdr:rowOff>
    </xdr:to>
    <xdr:sp macro="" textlink="">
      <xdr:nvSpPr>
        <xdr:cNvPr id="5" name="楕円 4">
          <a:extLst>
            <a:ext uri="{FF2B5EF4-FFF2-40B4-BE49-F238E27FC236}">
              <a16:creationId xmlns:a16="http://schemas.microsoft.com/office/drawing/2014/main" id="{00000000-0008-0000-0800-000005000000}"/>
            </a:ext>
          </a:extLst>
        </xdr:cNvPr>
        <xdr:cNvSpPr/>
      </xdr:nvSpPr>
      <xdr:spPr>
        <a:xfrm>
          <a:off x="695325" y="1247775"/>
          <a:ext cx="360000" cy="36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j-ea"/>
              <a:ea typeface="+mj-ea"/>
            </a:rPr>
            <a:t>社</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133350</xdr:colOff>
      <xdr:row>0</xdr:row>
      <xdr:rowOff>142875</xdr:rowOff>
    </xdr:from>
    <xdr:to>
      <xdr:col>3</xdr:col>
      <xdr:colOff>302850</xdr:colOff>
      <xdr:row>1</xdr:row>
      <xdr:rowOff>264750</xdr:rowOff>
    </xdr:to>
    <xdr:sp macro="" textlink="">
      <xdr:nvSpPr>
        <xdr:cNvPr id="9" name="楕円 8">
          <a:extLst>
            <a:ext uri="{FF2B5EF4-FFF2-40B4-BE49-F238E27FC236}">
              <a16:creationId xmlns:a16="http://schemas.microsoft.com/office/drawing/2014/main" id="{00000000-0008-0000-0900-000009000000}"/>
            </a:ext>
          </a:extLst>
        </xdr:cNvPr>
        <xdr:cNvSpPr/>
      </xdr:nvSpPr>
      <xdr:spPr>
        <a:xfrm>
          <a:off x="257175" y="561975"/>
          <a:ext cx="360000" cy="36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j-ea"/>
              <a:ea typeface="+mj-ea"/>
            </a:rPr>
            <a:t>社</a:t>
          </a:r>
        </a:p>
      </xdr:txBody>
    </xdr:sp>
    <xdr:clientData/>
  </xdr:twoCellAnchor>
  <xdr:twoCellAnchor>
    <xdr:from>
      <xdr:col>4</xdr:col>
      <xdr:colOff>0</xdr:colOff>
      <xdr:row>14</xdr:row>
      <xdr:rowOff>5603</xdr:rowOff>
    </xdr:from>
    <xdr:to>
      <xdr:col>16</xdr:col>
      <xdr:colOff>5603</xdr:colOff>
      <xdr:row>19</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flipH="1">
          <a:off x="1030941" y="2997574"/>
          <a:ext cx="2067486" cy="73398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49</xdr:row>
      <xdr:rowOff>11206</xdr:rowOff>
    </xdr:from>
    <xdr:to>
      <xdr:col>40</xdr:col>
      <xdr:colOff>5603</xdr:colOff>
      <xdr:row>54</xdr:row>
      <xdr:rowOff>0</xdr:rowOff>
    </xdr:to>
    <xdr:cxnSp macro="">
      <xdr:nvCxnSpPr>
        <xdr:cNvPr id="7" name="直線コネクタ 6">
          <a:extLst>
            <a:ext uri="{FF2B5EF4-FFF2-40B4-BE49-F238E27FC236}">
              <a16:creationId xmlns:a16="http://schemas.microsoft.com/office/drawing/2014/main" id="{00000000-0008-0000-0900-000007000000}"/>
            </a:ext>
          </a:extLst>
        </xdr:cNvPr>
        <xdr:cNvCxnSpPr/>
      </xdr:nvCxnSpPr>
      <xdr:spPr>
        <a:xfrm flipH="1">
          <a:off x="5154706" y="8141074"/>
          <a:ext cx="2067485" cy="72838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171450</xdr:colOff>
      <xdr:row>1</xdr:row>
      <xdr:rowOff>142875</xdr:rowOff>
    </xdr:from>
    <xdr:to>
      <xdr:col>2</xdr:col>
      <xdr:colOff>247650</xdr:colOff>
      <xdr:row>3</xdr:row>
      <xdr:rowOff>74295</xdr:rowOff>
    </xdr:to>
    <xdr:sp macro="" textlink="">
      <xdr:nvSpPr>
        <xdr:cNvPr id="3" name="Oval 3">
          <a:extLst>
            <a:ext uri="{FF2B5EF4-FFF2-40B4-BE49-F238E27FC236}">
              <a16:creationId xmlns:a16="http://schemas.microsoft.com/office/drawing/2014/main" id="{00000000-0008-0000-0A00-000003000000}"/>
            </a:ext>
          </a:extLst>
        </xdr:cNvPr>
        <xdr:cNvSpPr>
          <a:spLocks noChangeArrowheads="1"/>
        </xdr:cNvSpPr>
      </xdr:nvSpPr>
      <xdr:spPr bwMode="auto">
        <a:xfrm>
          <a:off x="257175" y="571500"/>
          <a:ext cx="457200" cy="445770"/>
        </a:xfrm>
        <a:prstGeom prst="ellipse">
          <a:avLst/>
        </a:prstGeom>
        <a:noFill/>
        <a:ln w="36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r>
            <a:rPr lang="ja-JP" altLang="en-US" sz="2800" b="1">
              <a:latin typeface="ＭＳ ゴシック" panose="020B0609070205080204" pitchFamily="49" charset="-128"/>
              <a:ea typeface="ＭＳ ゴシック" panose="020B0609070205080204" pitchFamily="49" charset="-128"/>
            </a:rPr>
            <a:t>社</a:t>
          </a:r>
          <a:endParaRPr lang="en-US" altLang="ja-JP" sz="2800" b="1">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104775</xdr:colOff>
      <xdr:row>0</xdr:row>
      <xdr:rowOff>57149</xdr:rowOff>
    </xdr:from>
    <xdr:to>
      <xdr:col>31</xdr:col>
      <xdr:colOff>142874</xdr:colOff>
      <xdr:row>0</xdr:row>
      <xdr:rowOff>371474</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5848350" y="57149"/>
          <a:ext cx="3524249" cy="314325"/>
        </a:xfrm>
        <a:prstGeom prst="rect">
          <a:avLst/>
        </a:prstGeom>
        <a:solidFill>
          <a:schemeClr val="lt1"/>
        </a:solidFill>
        <a:ln w="38100"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ＤＦ特太ゴシック体" panose="020B0509000000000000" pitchFamily="49" charset="-128"/>
              <a:ea typeface="ＤＦ特太ゴシック体" panose="020B0509000000000000" pitchFamily="49" charset="-128"/>
            </a:rPr>
            <a:t>　　 </a:t>
          </a:r>
          <a:r>
            <a:rPr kumimoji="1" lang="ja-JP" altLang="en-US" sz="1050">
              <a:latin typeface="ＤＦ特太ゴシック体" panose="020B0509000000000000" pitchFamily="49" charset="-128"/>
              <a:ea typeface="ＤＦ特太ゴシック体" panose="020B0509000000000000" pitchFamily="49" charset="-128"/>
            </a:rPr>
            <a:t>は施設入力欄です。</a:t>
          </a:r>
          <a:r>
            <a:rPr kumimoji="1" lang="ja-JP" altLang="en-US" sz="1050">
              <a:solidFill>
                <a:srgbClr val="FF0000"/>
              </a:solidFill>
              <a:latin typeface="ＤＦ特太ゴシック体" panose="020B0509000000000000" pitchFamily="49" charset="-128"/>
              <a:ea typeface="ＤＦ特太ゴシック体" panose="020B0509000000000000" pitchFamily="49" charset="-128"/>
            </a:rPr>
            <a:t>入力しない</a:t>
          </a:r>
          <a:r>
            <a:rPr kumimoji="1" lang="ja-JP" altLang="en-US" sz="1050">
              <a:latin typeface="ＤＦ特太ゴシック体" panose="020B0509000000000000" pitchFamily="49" charset="-128"/>
              <a:ea typeface="ＤＦ特太ゴシック体" panose="020B0509000000000000" pitchFamily="49" charset="-128"/>
            </a:rPr>
            <a:t>でください。</a:t>
          </a:r>
        </a:p>
      </xdr:txBody>
    </xdr:sp>
    <xdr:clientData/>
  </xdr:twoCellAnchor>
  <xdr:twoCellAnchor>
    <xdr:from>
      <xdr:col>23</xdr:col>
      <xdr:colOff>104776</xdr:colOff>
      <xdr:row>0</xdr:row>
      <xdr:rowOff>95250</xdr:rowOff>
    </xdr:from>
    <xdr:to>
      <xdr:col>24</xdr:col>
      <xdr:colOff>85726</xdr:colOff>
      <xdr:row>0</xdr:row>
      <xdr:rowOff>318407</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6038851" y="95250"/>
          <a:ext cx="247650" cy="223157"/>
        </a:xfrm>
        <a:prstGeom prst="rect">
          <a:avLst/>
        </a:prstGeom>
        <a:solidFill>
          <a:srgbClr val="FFFF66"/>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171450</xdr:colOff>
      <xdr:row>43</xdr:row>
      <xdr:rowOff>142875</xdr:rowOff>
    </xdr:from>
    <xdr:to>
      <xdr:col>2</xdr:col>
      <xdr:colOff>247650</xdr:colOff>
      <xdr:row>45</xdr:row>
      <xdr:rowOff>74295</xdr:rowOff>
    </xdr:to>
    <xdr:sp macro="" textlink="">
      <xdr:nvSpPr>
        <xdr:cNvPr id="7" name="Oval 3">
          <a:extLst>
            <a:ext uri="{FF2B5EF4-FFF2-40B4-BE49-F238E27FC236}">
              <a16:creationId xmlns:a16="http://schemas.microsoft.com/office/drawing/2014/main" id="{00000000-0008-0000-0A00-000007000000}"/>
            </a:ext>
          </a:extLst>
        </xdr:cNvPr>
        <xdr:cNvSpPr>
          <a:spLocks noChangeArrowheads="1"/>
        </xdr:cNvSpPr>
      </xdr:nvSpPr>
      <xdr:spPr bwMode="auto">
        <a:xfrm>
          <a:off x="257175" y="571500"/>
          <a:ext cx="457200" cy="455295"/>
        </a:xfrm>
        <a:prstGeom prst="ellipse">
          <a:avLst/>
        </a:prstGeom>
        <a:noFill/>
        <a:ln w="36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r>
            <a:rPr lang="ja-JP" altLang="en-US" sz="2800" b="1">
              <a:latin typeface="ＭＳ ゴシック" panose="020B0609070205080204" pitchFamily="49" charset="-128"/>
              <a:ea typeface="ＭＳ ゴシック" panose="020B0609070205080204" pitchFamily="49" charset="-128"/>
            </a:rPr>
            <a:t>社</a:t>
          </a:r>
          <a:endParaRPr lang="en-US" altLang="ja-JP" sz="2800" b="1">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1</xdr:row>
      <xdr:rowOff>28575</xdr:rowOff>
    </xdr:from>
    <xdr:to>
      <xdr:col>2</xdr:col>
      <xdr:colOff>150</xdr:colOff>
      <xdr:row>2</xdr:row>
      <xdr:rowOff>19200</xdr:rowOff>
    </xdr:to>
    <xdr:sp macro="" textlink="">
      <xdr:nvSpPr>
        <xdr:cNvPr id="2" name="楕円 1">
          <a:extLst>
            <a:ext uri="{FF2B5EF4-FFF2-40B4-BE49-F238E27FC236}">
              <a16:creationId xmlns:a16="http://schemas.microsoft.com/office/drawing/2014/main" id="{00000000-0008-0000-0B00-000002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44</xdr:row>
      <xdr:rowOff>28575</xdr:rowOff>
    </xdr:from>
    <xdr:to>
      <xdr:col>2</xdr:col>
      <xdr:colOff>150</xdr:colOff>
      <xdr:row>45</xdr:row>
      <xdr:rowOff>19200</xdr:rowOff>
    </xdr:to>
    <xdr:sp macro="" textlink="">
      <xdr:nvSpPr>
        <xdr:cNvPr id="4" name="楕円 3">
          <a:extLst>
            <a:ext uri="{FF2B5EF4-FFF2-40B4-BE49-F238E27FC236}">
              <a16:creationId xmlns:a16="http://schemas.microsoft.com/office/drawing/2014/main" id="{00000000-0008-0000-0B00-000004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87</xdr:row>
      <xdr:rowOff>28575</xdr:rowOff>
    </xdr:from>
    <xdr:to>
      <xdr:col>2</xdr:col>
      <xdr:colOff>150</xdr:colOff>
      <xdr:row>88</xdr:row>
      <xdr:rowOff>19200</xdr:rowOff>
    </xdr:to>
    <xdr:sp macro="" textlink="">
      <xdr:nvSpPr>
        <xdr:cNvPr id="5" name="楕円 4">
          <a:extLst>
            <a:ext uri="{FF2B5EF4-FFF2-40B4-BE49-F238E27FC236}">
              <a16:creationId xmlns:a16="http://schemas.microsoft.com/office/drawing/2014/main" id="{00000000-0008-0000-0B00-000005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130</xdr:row>
      <xdr:rowOff>28575</xdr:rowOff>
    </xdr:from>
    <xdr:to>
      <xdr:col>2</xdr:col>
      <xdr:colOff>150</xdr:colOff>
      <xdr:row>131</xdr:row>
      <xdr:rowOff>19200</xdr:rowOff>
    </xdr:to>
    <xdr:sp macro="" textlink="">
      <xdr:nvSpPr>
        <xdr:cNvPr id="6" name="楕円 5">
          <a:extLst>
            <a:ext uri="{FF2B5EF4-FFF2-40B4-BE49-F238E27FC236}">
              <a16:creationId xmlns:a16="http://schemas.microsoft.com/office/drawing/2014/main" id="{00000000-0008-0000-0B00-000006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173</xdr:row>
      <xdr:rowOff>28575</xdr:rowOff>
    </xdr:from>
    <xdr:to>
      <xdr:col>2</xdr:col>
      <xdr:colOff>150</xdr:colOff>
      <xdr:row>174</xdr:row>
      <xdr:rowOff>19200</xdr:rowOff>
    </xdr:to>
    <xdr:sp macro="" textlink="">
      <xdr:nvSpPr>
        <xdr:cNvPr id="7" name="楕円 6">
          <a:extLst>
            <a:ext uri="{FF2B5EF4-FFF2-40B4-BE49-F238E27FC236}">
              <a16:creationId xmlns:a16="http://schemas.microsoft.com/office/drawing/2014/main" id="{00000000-0008-0000-0B00-000007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216</xdr:row>
      <xdr:rowOff>28575</xdr:rowOff>
    </xdr:from>
    <xdr:to>
      <xdr:col>2</xdr:col>
      <xdr:colOff>150</xdr:colOff>
      <xdr:row>217</xdr:row>
      <xdr:rowOff>19200</xdr:rowOff>
    </xdr:to>
    <xdr:sp macro="" textlink="">
      <xdr:nvSpPr>
        <xdr:cNvPr id="8" name="楕円 7">
          <a:extLst>
            <a:ext uri="{FF2B5EF4-FFF2-40B4-BE49-F238E27FC236}">
              <a16:creationId xmlns:a16="http://schemas.microsoft.com/office/drawing/2014/main" id="{00000000-0008-0000-0B00-000008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259</xdr:row>
      <xdr:rowOff>28575</xdr:rowOff>
    </xdr:from>
    <xdr:to>
      <xdr:col>2</xdr:col>
      <xdr:colOff>150</xdr:colOff>
      <xdr:row>260</xdr:row>
      <xdr:rowOff>19200</xdr:rowOff>
    </xdr:to>
    <xdr:sp macro="" textlink="">
      <xdr:nvSpPr>
        <xdr:cNvPr id="9" name="楕円 8">
          <a:extLst>
            <a:ext uri="{FF2B5EF4-FFF2-40B4-BE49-F238E27FC236}">
              <a16:creationId xmlns:a16="http://schemas.microsoft.com/office/drawing/2014/main" id="{00000000-0008-0000-0B00-000009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302</xdr:row>
      <xdr:rowOff>28575</xdr:rowOff>
    </xdr:from>
    <xdr:to>
      <xdr:col>2</xdr:col>
      <xdr:colOff>150</xdr:colOff>
      <xdr:row>303</xdr:row>
      <xdr:rowOff>19200</xdr:rowOff>
    </xdr:to>
    <xdr:sp macro="" textlink="">
      <xdr:nvSpPr>
        <xdr:cNvPr id="10" name="楕円 9">
          <a:extLst>
            <a:ext uri="{FF2B5EF4-FFF2-40B4-BE49-F238E27FC236}">
              <a16:creationId xmlns:a16="http://schemas.microsoft.com/office/drawing/2014/main" id="{00000000-0008-0000-0B00-00000A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345</xdr:row>
      <xdr:rowOff>28575</xdr:rowOff>
    </xdr:from>
    <xdr:to>
      <xdr:col>2</xdr:col>
      <xdr:colOff>150</xdr:colOff>
      <xdr:row>346</xdr:row>
      <xdr:rowOff>19200</xdr:rowOff>
    </xdr:to>
    <xdr:sp macro="" textlink="">
      <xdr:nvSpPr>
        <xdr:cNvPr id="11" name="楕円 10">
          <a:extLst>
            <a:ext uri="{FF2B5EF4-FFF2-40B4-BE49-F238E27FC236}">
              <a16:creationId xmlns:a16="http://schemas.microsoft.com/office/drawing/2014/main" id="{00000000-0008-0000-0B00-00000B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388</xdr:row>
      <xdr:rowOff>28575</xdr:rowOff>
    </xdr:from>
    <xdr:to>
      <xdr:col>2</xdr:col>
      <xdr:colOff>150</xdr:colOff>
      <xdr:row>389</xdr:row>
      <xdr:rowOff>19200</xdr:rowOff>
    </xdr:to>
    <xdr:sp macro="" textlink="">
      <xdr:nvSpPr>
        <xdr:cNvPr id="12" name="楕円 11">
          <a:extLst>
            <a:ext uri="{FF2B5EF4-FFF2-40B4-BE49-F238E27FC236}">
              <a16:creationId xmlns:a16="http://schemas.microsoft.com/office/drawing/2014/main" id="{00000000-0008-0000-0B00-00000C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431</xdr:row>
      <xdr:rowOff>28575</xdr:rowOff>
    </xdr:from>
    <xdr:to>
      <xdr:col>2</xdr:col>
      <xdr:colOff>150</xdr:colOff>
      <xdr:row>432</xdr:row>
      <xdr:rowOff>19200</xdr:rowOff>
    </xdr:to>
    <xdr:sp macro="" textlink="">
      <xdr:nvSpPr>
        <xdr:cNvPr id="13" name="楕円 12">
          <a:extLst>
            <a:ext uri="{FF2B5EF4-FFF2-40B4-BE49-F238E27FC236}">
              <a16:creationId xmlns:a16="http://schemas.microsoft.com/office/drawing/2014/main" id="{00000000-0008-0000-0B00-00000D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474</xdr:row>
      <xdr:rowOff>28575</xdr:rowOff>
    </xdr:from>
    <xdr:to>
      <xdr:col>2</xdr:col>
      <xdr:colOff>150</xdr:colOff>
      <xdr:row>475</xdr:row>
      <xdr:rowOff>19200</xdr:rowOff>
    </xdr:to>
    <xdr:sp macro="" textlink="">
      <xdr:nvSpPr>
        <xdr:cNvPr id="14" name="楕円 13">
          <a:extLst>
            <a:ext uri="{FF2B5EF4-FFF2-40B4-BE49-F238E27FC236}">
              <a16:creationId xmlns:a16="http://schemas.microsoft.com/office/drawing/2014/main" id="{00000000-0008-0000-0B00-00000E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517</xdr:row>
      <xdr:rowOff>28575</xdr:rowOff>
    </xdr:from>
    <xdr:to>
      <xdr:col>2</xdr:col>
      <xdr:colOff>150</xdr:colOff>
      <xdr:row>518</xdr:row>
      <xdr:rowOff>19200</xdr:rowOff>
    </xdr:to>
    <xdr:sp macro="" textlink="">
      <xdr:nvSpPr>
        <xdr:cNvPr id="15" name="楕円 14">
          <a:extLst>
            <a:ext uri="{FF2B5EF4-FFF2-40B4-BE49-F238E27FC236}">
              <a16:creationId xmlns:a16="http://schemas.microsoft.com/office/drawing/2014/main" id="{00000000-0008-0000-0B00-00000F000000}"/>
            </a:ext>
          </a:extLst>
        </xdr:cNvPr>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性別" xr10:uid="{00000000-0013-0000-FFFF-FFFF01000000}" sourceName="性別">
  <extLst>
    <x:ext xmlns:x15="http://schemas.microsoft.com/office/spreadsheetml/2010/11/main" uri="{2F2917AC-EB37-4324-AD4E-5DD8C200BD13}">
      <x15:tableSlicerCache tableId="6"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１日目" xr10:uid="{00000000-0013-0000-FFFF-FFFF02000000}" sourceName="１日目">
  <extLst>
    <x:ext xmlns:x15="http://schemas.microsoft.com/office/spreadsheetml/2010/11/main" uri="{2F2917AC-EB37-4324-AD4E-5DD8C200BD13}">
      <x15:tableSlicerCache tableId="6"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２日目" xr10:uid="{00000000-0013-0000-FFFF-FFFF03000000}" sourceName="２日目">
  <extLst>
    <x:ext xmlns:x15="http://schemas.microsoft.com/office/spreadsheetml/2010/11/main" uri="{2F2917AC-EB37-4324-AD4E-5DD8C200BD13}">
      <x15:tableSlicerCache tableId="6" column="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３日目" xr10:uid="{00000000-0013-0000-FFFF-FFFF04000000}" sourceName="３日目">
  <extLst>
    <x:ext xmlns:x15="http://schemas.microsoft.com/office/spreadsheetml/2010/11/main" uri="{2F2917AC-EB37-4324-AD4E-5DD8C200BD13}">
      <x15:tableSlicerCache tableId="6" column="5"/>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４日目" xr10:uid="{00000000-0013-0000-FFFF-FFFF05000000}" sourceName="４日目">
  <extLst>
    <x:ext xmlns:x15="http://schemas.microsoft.com/office/spreadsheetml/2010/11/main" uri="{2F2917AC-EB37-4324-AD4E-5DD8C200BD13}">
      <x15:tableSlicerCache tableId="6" column="6"/>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５日目" xr10:uid="{00000000-0013-0000-FFFF-FFFF06000000}" sourceName="５日目">
  <extLst>
    <x:ext xmlns:x15="http://schemas.microsoft.com/office/spreadsheetml/2010/11/main" uri="{2F2917AC-EB37-4324-AD4E-5DD8C200BD13}">
      <x15:tableSlicerCache tableId="6" column="7"/>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６日目" xr10:uid="{00000000-0013-0000-FFFF-FFFF07000000}" sourceName="６日目">
  <extLst>
    <x:ext xmlns:x15="http://schemas.microsoft.com/office/spreadsheetml/2010/11/main" uri="{2F2917AC-EB37-4324-AD4E-5DD8C200BD13}">
      <x15:tableSlicerCache tableId="6" column="8"/>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区分" xr10:uid="{00000000-0013-0000-FFFF-FFFF08000000}" sourceName="区分">
  <extLst>
    <x:ext xmlns:x15="http://schemas.microsoft.com/office/spreadsheetml/2010/11/main" uri="{2F2917AC-EB37-4324-AD4E-5DD8C200BD13}">
      <x15:tableSlicerCache tableId="6"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性別" xr10:uid="{00000000-0014-0000-FFFF-FFFF01000000}" cache="スライサー_性別" caption="性別" style="SlicerStyleLight2 2" rowHeight="198000"/>
  <slicer name="１日目" xr10:uid="{00000000-0014-0000-FFFF-FFFF02000000}" cache="スライサー_１日目" caption="１日目" style="SlicerStyleLight1 2" rowHeight="198000"/>
  <slicer name="２日目" xr10:uid="{00000000-0014-0000-FFFF-FFFF03000000}" cache="スライサー_２日目" caption="２日目" style="SlicerStyleLight1 2" rowHeight="198000"/>
  <slicer name="３日目" xr10:uid="{00000000-0014-0000-FFFF-FFFF04000000}" cache="スライサー_３日目" caption="３日目" style="SlicerStyleLight1 2" rowHeight="198000"/>
  <slicer name="４日目" xr10:uid="{00000000-0014-0000-FFFF-FFFF05000000}" cache="スライサー_４日目" caption="４日目" style="SlicerStyleLight1 2" rowHeight="198000"/>
  <slicer name="５日目" xr10:uid="{00000000-0014-0000-FFFF-FFFF06000000}" cache="スライサー_５日目" caption="５日目" style="SlicerStyleLight1 2" rowHeight="198000"/>
  <slicer name="６日目" xr10:uid="{00000000-0014-0000-FFFF-FFFF07000000}" cache="スライサー_６日目" caption="６日目" style="SlicerStyleLight1 2" rowHeight="198000"/>
  <slicer name="区分" xr10:uid="{00000000-0014-0000-FFFF-FFFF08000000}" cache="スライサー_区分" caption="区分" style="SlicerStyleLight6 2" rowHeight="198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K14:L209" totalsRowShown="0" headerRowDxfId="56" dataDxfId="54" headerRowBorderDxfId="55" tableBorderDxfId="53" totalsRowBorderDxfId="52">
  <autoFilter ref="K14:L209" xr:uid="{00000000-0009-0000-0100-000001000000}">
    <filterColumn colId="0" hiddenButton="1"/>
    <filterColumn colId="1" hiddenButton="1"/>
  </autoFilter>
  <tableColumns count="2">
    <tableColumn id="1" xr3:uid="{00000000-0010-0000-0000-000001000000}" name="車両" dataDxfId="51" dataCellStyle="標準 4"/>
    <tableColumn id="2" xr3:uid="{00000000-0010-0000-0000-000002000000}" name="出入時刻" dataDxfId="50" dataCellStyle="標準 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テーブル6" displayName="テーブル6" ref="C14:J209" totalsRowShown="0" headerRowDxfId="49" dataDxfId="48" tableBorderDxfId="47" dataCellStyle="標準 4">
  <autoFilter ref="C14:J20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区分" dataDxfId="46" dataCellStyle="標準 4"/>
    <tableColumn id="2" xr3:uid="{00000000-0010-0000-0100-000002000000}" name="性別" dataDxfId="45" dataCellStyle="標準 4"/>
    <tableColumn id="3" xr3:uid="{00000000-0010-0000-0100-000003000000}" name="１日目" dataDxfId="44" dataCellStyle="標準 4"/>
    <tableColumn id="4" xr3:uid="{00000000-0010-0000-0100-000004000000}" name="２日目" dataDxfId="43" dataCellStyle="標準 4"/>
    <tableColumn id="5" xr3:uid="{00000000-0010-0000-0100-000005000000}" name="３日目" dataDxfId="42" dataCellStyle="標準 4"/>
    <tableColumn id="6" xr3:uid="{00000000-0010-0000-0100-000006000000}" name="４日目" dataDxfId="41" dataCellStyle="標準 4"/>
    <tableColumn id="7" xr3:uid="{00000000-0010-0000-0100-000007000000}" name="５日目" dataDxfId="40" dataCellStyle="標準 4"/>
    <tableColumn id="8" xr3:uid="{00000000-0010-0000-0100-000008000000}" name="６日目" dataDxfId="39" dataCellStyle="標準 4"/>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microsoft.com/office/2007/relationships/slicer" Target="../slicers/slicer1.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AU46"/>
  <sheetViews>
    <sheetView view="pageBreakPreview" zoomScaleNormal="100" zoomScaleSheetLayoutView="100" workbookViewId="0">
      <pane xSplit="1" ySplit="3" topLeftCell="B4" activePane="bottomRight" state="frozen"/>
      <selection activeCell="P8" sqref="P8:R8"/>
      <selection pane="topRight" activeCell="P8" sqref="P8:R8"/>
      <selection pane="bottomLeft" activeCell="P8" sqref="P8:R8"/>
      <selection pane="bottomRight" activeCell="P8" sqref="P8:R8"/>
    </sheetView>
  </sheetViews>
  <sheetFormatPr defaultRowHeight="13.5" x14ac:dyDescent="0.15"/>
  <cols>
    <col min="1" max="1" width="0.625" style="111" customWidth="1"/>
    <col min="2" max="2" width="3.25" style="111" customWidth="1"/>
    <col min="3" max="3" width="11.25" style="111" customWidth="1"/>
    <col min="4" max="4" width="1.875" style="111" customWidth="1"/>
    <col min="5" max="5" width="5.25" style="111" customWidth="1"/>
    <col min="6" max="6" width="5.625" style="111" customWidth="1"/>
    <col min="7" max="9" width="3.125" style="111" customWidth="1"/>
    <col min="10" max="32" width="3.125" style="48" customWidth="1"/>
    <col min="33" max="33" width="2.875" style="48" customWidth="1"/>
    <col min="34" max="34" width="9" style="48"/>
    <col min="35" max="35" width="11.125" style="48" bestFit="1" customWidth="1"/>
    <col min="36" max="47" width="3.75" style="48" customWidth="1"/>
    <col min="48" max="16384" width="9" style="48"/>
  </cols>
  <sheetData>
    <row r="1" spans="3:47" x14ac:dyDescent="0.15">
      <c r="C1" s="1184" t="s">
        <v>378</v>
      </c>
      <c r="I1" s="1182">
        <f>入力ページ!F11</f>
        <v>0</v>
      </c>
      <c r="J1" s="1182"/>
      <c r="K1" s="1182"/>
      <c r="L1" s="1182"/>
      <c r="M1" s="1182"/>
      <c r="N1" s="1182"/>
      <c r="O1" s="1182"/>
      <c r="P1" s="1182"/>
      <c r="Q1" s="1182"/>
      <c r="R1" s="1182"/>
      <c r="S1" s="1182"/>
      <c r="T1" s="1182"/>
      <c r="U1" s="1182"/>
      <c r="V1" s="1182"/>
      <c r="W1" s="1182"/>
      <c r="X1" s="1182"/>
      <c r="Y1" s="1182"/>
      <c r="Z1" s="1182"/>
      <c r="AA1" s="1182"/>
      <c r="AB1" s="1182"/>
      <c r="AC1" s="1182"/>
      <c r="AD1" s="1182"/>
      <c r="AE1" s="1182"/>
      <c r="AF1" s="1182"/>
    </row>
    <row r="2" spans="3:47" ht="18" customHeight="1" x14ac:dyDescent="0.15">
      <c r="C2" s="1184"/>
      <c r="I2" s="1183"/>
      <c r="J2" s="1183"/>
      <c r="K2" s="1183"/>
      <c r="L2" s="1183"/>
      <c r="M2" s="1183"/>
      <c r="N2" s="1183"/>
      <c r="O2" s="1183"/>
      <c r="P2" s="1183"/>
      <c r="Q2" s="1183"/>
      <c r="R2" s="1183"/>
      <c r="S2" s="1183"/>
      <c r="T2" s="1183"/>
      <c r="U2" s="1183"/>
      <c r="V2" s="1183"/>
      <c r="W2" s="1183"/>
      <c r="X2" s="1183"/>
      <c r="Y2" s="1183"/>
      <c r="Z2" s="1183"/>
      <c r="AA2" s="1183"/>
      <c r="AB2" s="1183"/>
      <c r="AC2" s="1183"/>
      <c r="AD2" s="1183"/>
      <c r="AE2" s="1183"/>
      <c r="AF2" s="1183"/>
    </row>
    <row r="3" spans="3:47" ht="18" customHeight="1" x14ac:dyDescent="0.15">
      <c r="C3" s="112"/>
      <c r="D3" s="112"/>
      <c r="E3" s="112"/>
      <c r="F3" s="112"/>
      <c r="G3" s="112"/>
      <c r="H3" s="463"/>
      <c r="I3" s="1228" t="s">
        <v>288</v>
      </c>
      <c r="J3" s="1229"/>
      <c r="K3" s="1229"/>
      <c r="L3" s="1230"/>
      <c r="M3" s="1228" t="s">
        <v>289</v>
      </c>
      <c r="N3" s="1229"/>
      <c r="O3" s="1229"/>
      <c r="P3" s="1230"/>
      <c r="Q3" s="1228" t="s">
        <v>290</v>
      </c>
      <c r="R3" s="1229"/>
      <c r="S3" s="1229"/>
      <c r="T3" s="1230"/>
      <c r="U3" s="1228" t="s">
        <v>377</v>
      </c>
      <c r="V3" s="1229"/>
      <c r="W3" s="1229"/>
      <c r="X3" s="1229"/>
      <c r="Y3" s="1251" t="s">
        <v>376</v>
      </c>
      <c r="Z3" s="1252"/>
      <c r="AA3" s="1252"/>
      <c r="AB3" s="1252"/>
      <c r="AC3" s="1245" t="s">
        <v>375</v>
      </c>
      <c r="AD3" s="1246"/>
      <c r="AE3" s="1246"/>
      <c r="AF3" s="1247"/>
      <c r="AG3" s="124"/>
      <c r="AJ3" s="1182" t="s">
        <v>373</v>
      </c>
      <c r="AK3" s="1182"/>
      <c r="AL3" s="1182" t="s">
        <v>372</v>
      </c>
      <c r="AM3" s="1182"/>
      <c r="AN3" s="1182" t="s">
        <v>371</v>
      </c>
      <c r="AO3" s="1182"/>
      <c r="AP3" s="1182" t="s">
        <v>370</v>
      </c>
      <c r="AQ3" s="1182"/>
      <c r="AR3" s="1182" t="s">
        <v>369</v>
      </c>
      <c r="AS3" s="1182"/>
      <c r="AT3" s="1182" t="s">
        <v>368</v>
      </c>
      <c r="AU3" s="1182"/>
    </row>
    <row r="4" spans="3:47" ht="18" customHeight="1" x14ac:dyDescent="0.15">
      <c r="C4" s="112"/>
      <c r="D4" s="112"/>
      <c r="E4" s="112" t="s">
        <v>374</v>
      </c>
      <c r="F4" s="462"/>
      <c r="G4" s="1194"/>
      <c r="H4" s="1195"/>
      <c r="I4" s="1248" t="s">
        <v>322</v>
      </c>
      <c r="J4" s="1248"/>
      <c r="K4" s="1253">
        <f>名簿入力!BU15</f>
        <v>0</v>
      </c>
      <c r="L4" s="1254"/>
      <c r="M4" s="1248" t="s">
        <v>322</v>
      </c>
      <c r="N4" s="1248"/>
      <c r="O4" s="1249">
        <f>名簿入力!BY15</f>
        <v>0</v>
      </c>
      <c r="P4" s="1249"/>
      <c r="Q4" s="1250" t="s">
        <v>322</v>
      </c>
      <c r="R4" s="1250"/>
      <c r="S4" s="1249">
        <f>名簿入力!CC15</f>
        <v>0</v>
      </c>
      <c r="T4" s="1249"/>
      <c r="U4" s="1248" t="s">
        <v>322</v>
      </c>
      <c r="V4" s="1248"/>
      <c r="W4" s="1249">
        <f>名簿入力!CG15</f>
        <v>0</v>
      </c>
      <c r="X4" s="1249"/>
      <c r="Y4" s="1250" t="s">
        <v>322</v>
      </c>
      <c r="Z4" s="1250"/>
      <c r="AA4" s="1249">
        <f>名簿入力!CK15</f>
        <v>0</v>
      </c>
      <c r="AB4" s="1249"/>
      <c r="AC4" s="1248" t="s">
        <v>322</v>
      </c>
      <c r="AD4" s="1248"/>
      <c r="AE4" s="1249">
        <f>名簿入力!CO15</f>
        <v>0</v>
      </c>
      <c r="AF4" s="1249"/>
      <c r="AJ4" s="738" t="str">
        <f t="shared" ref="AJ4:AU11" ca="1" si="0">OFFSET($A5,0,COLUMN(E5)*2-2)</f>
        <v>男</v>
      </c>
      <c r="AK4" s="738" t="str">
        <f t="shared" ca="1" si="0"/>
        <v>女</v>
      </c>
      <c r="AL4" s="738" t="str">
        <f t="shared" ca="1" si="0"/>
        <v>男</v>
      </c>
      <c r="AM4" s="738" t="str">
        <f t="shared" ca="1" si="0"/>
        <v>女</v>
      </c>
      <c r="AN4" s="738" t="str">
        <f t="shared" ca="1" si="0"/>
        <v>男</v>
      </c>
      <c r="AO4" s="738" t="str">
        <f t="shared" ca="1" si="0"/>
        <v>女</v>
      </c>
      <c r="AP4" s="738" t="str">
        <f t="shared" ca="1" si="0"/>
        <v>男</v>
      </c>
      <c r="AQ4" s="738" t="str">
        <f t="shared" ca="1" si="0"/>
        <v>女</v>
      </c>
      <c r="AR4" s="738" t="str">
        <f t="shared" ca="1" si="0"/>
        <v>男</v>
      </c>
      <c r="AS4" s="738" t="str">
        <f t="shared" ca="1" si="0"/>
        <v>女</v>
      </c>
      <c r="AT4" s="738" t="str">
        <f t="shared" ca="1" si="0"/>
        <v>男</v>
      </c>
      <c r="AU4" s="738" t="str">
        <f t="shared" ca="1" si="0"/>
        <v>女</v>
      </c>
    </row>
    <row r="5" spans="3:47" ht="18" customHeight="1" x14ac:dyDescent="0.2">
      <c r="C5" s="1255"/>
      <c r="D5" s="1255"/>
      <c r="E5" s="410">
        <f>SUM(E6:E12)</f>
        <v>0</v>
      </c>
      <c r="F5" s="461"/>
      <c r="G5" s="446" t="s">
        <v>78</v>
      </c>
      <c r="H5" s="445" t="s">
        <v>79</v>
      </c>
      <c r="I5" s="458" t="s">
        <v>367</v>
      </c>
      <c r="J5" s="716">
        <f>SUM(I6:J12)</f>
        <v>0</v>
      </c>
      <c r="K5" s="717" t="s">
        <v>366</v>
      </c>
      <c r="L5" s="718">
        <f>SUM(K6:L12)</f>
        <v>0</v>
      </c>
      <c r="M5" s="458" t="s">
        <v>367</v>
      </c>
      <c r="N5" s="457">
        <f>SUM(M6:N12)</f>
        <v>0</v>
      </c>
      <c r="O5" s="717" t="s">
        <v>366</v>
      </c>
      <c r="P5" s="719">
        <f>SUM(O6:P12)</f>
        <v>0</v>
      </c>
      <c r="Q5" s="460" t="s">
        <v>367</v>
      </c>
      <c r="R5" s="459">
        <f>SUM(Q6:R12)</f>
        <v>0</v>
      </c>
      <c r="S5" s="717" t="s">
        <v>366</v>
      </c>
      <c r="T5" s="719">
        <f>SUM(S6:T12)</f>
        <v>0</v>
      </c>
      <c r="U5" s="458" t="s">
        <v>367</v>
      </c>
      <c r="V5" s="457">
        <f>SUM(U6:V12)</f>
        <v>0</v>
      </c>
      <c r="W5" s="717" t="s">
        <v>366</v>
      </c>
      <c r="X5" s="719">
        <f>SUM(W6:X12)</f>
        <v>0</v>
      </c>
      <c r="Y5" s="460" t="s">
        <v>367</v>
      </c>
      <c r="Z5" s="459">
        <f>SUM(Y6:Z12)</f>
        <v>0</v>
      </c>
      <c r="AA5" s="717" t="s">
        <v>366</v>
      </c>
      <c r="AB5" s="719">
        <f>SUM(AA6:AB12)</f>
        <v>0</v>
      </c>
      <c r="AC5" s="458" t="s">
        <v>367</v>
      </c>
      <c r="AD5" s="457">
        <f>SUM(AC6:AD12)</f>
        <v>0</v>
      </c>
      <c r="AE5" s="717" t="s">
        <v>366</v>
      </c>
      <c r="AF5" s="719">
        <f>SUM(AE6:AF12)</f>
        <v>0</v>
      </c>
      <c r="AI5" s="48" t="str">
        <f t="shared" ref="AI5:AI11" ca="1" si="1">OFFSET($A6,0,COLUMN(B6)*2-2)</f>
        <v>2歳児以下</v>
      </c>
      <c r="AJ5" s="48">
        <f ca="1">OFFSET($A6,0,COLUMN(E6)*2-2)</f>
        <v>0</v>
      </c>
      <c r="AK5" s="48">
        <f t="shared" ca="1" si="0"/>
        <v>0</v>
      </c>
      <c r="AL5" s="48">
        <f t="shared" ca="1" si="0"/>
        <v>0</v>
      </c>
      <c r="AM5" s="48">
        <f t="shared" ca="1" si="0"/>
        <v>0</v>
      </c>
      <c r="AN5" s="48">
        <f t="shared" ca="1" si="0"/>
        <v>0</v>
      </c>
      <c r="AO5" s="48">
        <f ca="1">OFFSET($A6,0,COLUMN(J6)*2-2)</f>
        <v>0</v>
      </c>
      <c r="AP5" s="48">
        <f t="shared" ca="1" si="0"/>
        <v>0</v>
      </c>
      <c r="AQ5" s="48">
        <f t="shared" ca="1" si="0"/>
        <v>0</v>
      </c>
      <c r="AR5" s="48">
        <f t="shared" ca="1" si="0"/>
        <v>0</v>
      </c>
      <c r="AS5" s="48">
        <f t="shared" ca="1" si="0"/>
        <v>0</v>
      </c>
      <c r="AT5" s="48">
        <f t="shared" ca="1" si="0"/>
        <v>0</v>
      </c>
      <c r="AU5" s="48">
        <f t="shared" ca="1" si="0"/>
        <v>0</v>
      </c>
    </row>
    <row r="6" spans="3:47" ht="18" customHeight="1" x14ac:dyDescent="0.15">
      <c r="C6" s="1202" t="s">
        <v>323</v>
      </c>
      <c r="D6" s="1203"/>
      <c r="E6" s="439">
        <f>名簿入力!BP17</f>
        <v>0</v>
      </c>
      <c r="F6" s="440"/>
      <c r="G6" s="439">
        <f>名簿入力!BQ17</f>
        <v>0</v>
      </c>
      <c r="H6" s="456">
        <f>名簿入力!BR17</f>
        <v>0</v>
      </c>
      <c r="I6" s="1256">
        <f>名簿入力!BS17</f>
        <v>0</v>
      </c>
      <c r="J6" s="1238"/>
      <c r="K6" s="1235">
        <f>名簿入力!BU17</f>
        <v>0</v>
      </c>
      <c r="L6" s="1236"/>
      <c r="M6" s="1237">
        <f>名簿入力!BW17</f>
        <v>0</v>
      </c>
      <c r="N6" s="1238"/>
      <c r="O6" s="1237">
        <f>名簿入力!BY17</f>
        <v>0</v>
      </c>
      <c r="P6" s="1236"/>
      <c r="Q6" s="1237">
        <f>名簿入力!CA17</f>
        <v>0</v>
      </c>
      <c r="R6" s="1238"/>
      <c r="S6" s="1237">
        <f>名簿入力!CC17</f>
        <v>0</v>
      </c>
      <c r="T6" s="1236"/>
      <c r="U6" s="1237">
        <f>名簿入力!CE17</f>
        <v>0</v>
      </c>
      <c r="V6" s="1238"/>
      <c r="W6" s="1237">
        <f>名簿入力!CG17</f>
        <v>0</v>
      </c>
      <c r="X6" s="1236"/>
      <c r="Y6" s="1237">
        <f>名簿入力!CI17</f>
        <v>0</v>
      </c>
      <c r="Z6" s="1238"/>
      <c r="AA6" s="1237">
        <f>名簿入力!CK17</f>
        <v>0</v>
      </c>
      <c r="AB6" s="1236"/>
      <c r="AC6" s="1237">
        <f>名簿入力!CM17</f>
        <v>0</v>
      </c>
      <c r="AD6" s="1238"/>
      <c r="AE6" s="1237">
        <f>名簿入力!CO17</f>
        <v>0</v>
      </c>
      <c r="AF6" s="1236"/>
      <c r="AI6" s="48" t="str">
        <f t="shared" ca="1" si="1"/>
        <v>3歳-学齢前</v>
      </c>
      <c r="AJ6" s="48">
        <f t="shared" ca="1" si="0"/>
        <v>0</v>
      </c>
      <c r="AK6" s="48">
        <f t="shared" ca="1" si="0"/>
        <v>0</v>
      </c>
      <c r="AL6" s="48">
        <f t="shared" ca="1" si="0"/>
        <v>0</v>
      </c>
      <c r="AM6" s="48">
        <f t="shared" ca="1" si="0"/>
        <v>0</v>
      </c>
      <c r="AN6" s="48">
        <f t="shared" ca="1" si="0"/>
        <v>0</v>
      </c>
      <c r="AO6" s="48">
        <f t="shared" ca="1" si="0"/>
        <v>0</v>
      </c>
      <c r="AP6" s="48">
        <f t="shared" ca="1" si="0"/>
        <v>0</v>
      </c>
      <c r="AQ6" s="48">
        <f t="shared" ca="1" si="0"/>
        <v>0</v>
      </c>
      <c r="AR6" s="48">
        <f t="shared" ca="1" si="0"/>
        <v>0</v>
      </c>
      <c r="AS6" s="48">
        <f t="shared" ca="1" si="0"/>
        <v>0</v>
      </c>
      <c r="AT6" s="48">
        <f t="shared" ca="1" si="0"/>
        <v>0</v>
      </c>
      <c r="AU6" s="48">
        <f t="shared" ca="1" si="0"/>
        <v>0</v>
      </c>
    </row>
    <row r="7" spans="3:47" ht="18" customHeight="1" x14ac:dyDescent="0.15">
      <c r="C7" s="1200" t="s">
        <v>324</v>
      </c>
      <c r="D7" s="1201"/>
      <c r="E7" s="431">
        <f>名簿入力!BP18</f>
        <v>0</v>
      </c>
      <c r="F7" s="432"/>
      <c r="G7" s="431">
        <f>名簿入力!BQ18</f>
        <v>0</v>
      </c>
      <c r="H7" s="430">
        <f>名簿入力!BR18</f>
        <v>0</v>
      </c>
      <c r="I7" s="1231">
        <f>名簿入力!BS18</f>
        <v>0</v>
      </c>
      <c r="J7" s="1232"/>
      <c r="K7" s="1233">
        <f>名簿入力!BU18</f>
        <v>0</v>
      </c>
      <c r="L7" s="1234"/>
      <c r="M7" s="1231">
        <f>名簿入力!BW18</f>
        <v>0</v>
      </c>
      <c r="N7" s="1232"/>
      <c r="O7" s="1231">
        <f>名簿入力!BY18</f>
        <v>0</v>
      </c>
      <c r="P7" s="1234"/>
      <c r="Q7" s="1231">
        <f>名簿入力!CA18</f>
        <v>0</v>
      </c>
      <c r="R7" s="1232"/>
      <c r="S7" s="1231">
        <f>名簿入力!CC18</f>
        <v>0</v>
      </c>
      <c r="T7" s="1234"/>
      <c r="U7" s="1231">
        <f>名簿入力!CE18</f>
        <v>0</v>
      </c>
      <c r="V7" s="1232"/>
      <c r="W7" s="1231">
        <f>名簿入力!CG18</f>
        <v>0</v>
      </c>
      <c r="X7" s="1234"/>
      <c r="Y7" s="1231">
        <f>名簿入力!CI18</f>
        <v>0</v>
      </c>
      <c r="Z7" s="1232"/>
      <c r="AA7" s="1231">
        <f>名簿入力!CK18</f>
        <v>0</v>
      </c>
      <c r="AB7" s="1234"/>
      <c r="AC7" s="1231">
        <f>名簿入力!CM18</f>
        <v>0</v>
      </c>
      <c r="AD7" s="1232"/>
      <c r="AE7" s="1231">
        <f>名簿入力!CO18</f>
        <v>0</v>
      </c>
      <c r="AF7" s="1234"/>
      <c r="AI7" s="48" t="str">
        <f t="shared" ca="1" si="1"/>
        <v>小学生</v>
      </c>
      <c r="AJ7" s="48">
        <f t="shared" ca="1" si="0"/>
        <v>0</v>
      </c>
      <c r="AK7" s="48">
        <f t="shared" ca="1" si="0"/>
        <v>0</v>
      </c>
      <c r="AL7" s="48">
        <f t="shared" ca="1" si="0"/>
        <v>0</v>
      </c>
      <c r="AM7" s="48">
        <f t="shared" ca="1" si="0"/>
        <v>0</v>
      </c>
      <c r="AN7" s="48">
        <f t="shared" ca="1" si="0"/>
        <v>0</v>
      </c>
      <c r="AO7" s="48">
        <f t="shared" ca="1" si="0"/>
        <v>0</v>
      </c>
      <c r="AP7" s="48">
        <f t="shared" ca="1" si="0"/>
        <v>0</v>
      </c>
      <c r="AQ7" s="48">
        <f t="shared" ca="1" si="0"/>
        <v>0</v>
      </c>
      <c r="AR7" s="48">
        <f t="shared" ca="1" si="0"/>
        <v>0</v>
      </c>
      <c r="AS7" s="48">
        <f t="shared" ca="1" si="0"/>
        <v>0</v>
      </c>
      <c r="AT7" s="48">
        <f t="shared" ca="1" si="0"/>
        <v>0</v>
      </c>
      <c r="AU7" s="48">
        <f t="shared" ca="1" si="0"/>
        <v>0</v>
      </c>
    </row>
    <row r="8" spans="3:47" ht="18" customHeight="1" x14ac:dyDescent="0.15">
      <c r="C8" s="1200" t="s">
        <v>84</v>
      </c>
      <c r="D8" s="1201"/>
      <c r="E8" s="431">
        <f>名簿入力!BP19</f>
        <v>0</v>
      </c>
      <c r="F8" s="432"/>
      <c r="G8" s="431">
        <f>名簿入力!BQ19</f>
        <v>0</v>
      </c>
      <c r="H8" s="430">
        <f>名簿入力!BR19</f>
        <v>0</v>
      </c>
      <c r="I8" s="1231">
        <f>名簿入力!BS19</f>
        <v>0</v>
      </c>
      <c r="J8" s="1232"/>
      <c r="K8" s="1233">
        <f>名簿入力!BU19</f>
        <v>0</v>
      </c>
      <c r="L8" s="1234"/>
      <c r="M8" s="1231">
        <f>名簿入力!BW19</f>
        <v>0</v>
      </c>
      <c r="N8" s="1232"/>
      <c r="O8" s="1231">
        <f>名簿入力!BY19</f>
        <v>0</v>
      </c>
      <c r="P8" s="1234"/>
      <c r="Q8" s="1231">
        <f>名簿入力!CA19</f>
        <v>0</v>
      </c>
      <c r="R8" s="1232"/>
      <c r="S8" s="1231">
        <f>名簿入力!CC19</f>
        <v>0</v>
      </c>
      <c r="T8" s="1234"/>
      <c r="U8" s="1231">
        <f>名簿入力!CE19</f>
        <v>0</v>
      </c>
      <c r="V8" s="1232"/>
      <c r="W8" s="1231">
        <f>名簿入力!CG19</f>
        <v>0</v>
      </c>
      <c r="X8" s="1234"/>
      <c r="Y8" s="1231">
        <f>名簿入力!CI19</f>
        <v>0</v>
      </c>
      <c r="Z8" s="1232"/>
      <c r="AA8" s="1231">
        <f>名簿入力!CK19</f>
        <v>0</v>
      </c>
      <c r="AB8" s="1234"/>
      <c r="AC8" s="1231">
        <f>名簿入力!CM19</f>
        <v>0</v>
      </c>
      <c r="AD8" s="1232"/>
      <c r="AE8" s="1231">
        <f>名簿入力!CO19</f>
        <v>0</v>
      </c>
      <c r="AF8" s="1234"/>
      <c r="AI8" s="48" t="str">
        <f t="shared" ca="1" si="1"/>
        <v>中学生</v>
      </c>
      <c r="AJ8" s="48">
        <f t="shared" ca="1" si="0"/>
        <v>0</v>
      </c>
      <c r="AK8" s="48">
        <f t="shared" ca="1" si="0"/>
        <v>0</v>
      </c>
      <c r="AL8" s="48">
        <f t="shared" ca="1" si="0"/>
        <v>0</v>
      </c>
      <c r="AM8" s="48">
        <f t="shared" ca="1" si="0"/>
        <v>0</v>
      </c>
      <c r="AN8" s="48">
        <f t="shared" ca="1" si="0"/>
        <v>0</v>
      </c>
      <c r="AO8" s="48">
        <f t="shared" ca="1" si="0"/>
        <v>0</v>
      </c>
      <c r="AP8" s="48">
        <f t="shared" ca="1" si="0"/>
        <v>0</v>
      </c>
      <c r="AQ8" s="48">
        <f t="shared" ca="1" si="0"/>
        <v>0</v>
      </c>
      <c r="AR8" s="48">
        <f t="shared" ca="1" si="0"/>
        <v>0</v>
      </c>
      <c r="AS8" s="48">
        <f t="shared" ca="1" si="0"/>
        <v>0</v>
      </c>
      <c r="AT8" s="48">
        <f t="shared" ca="1" si="0"/>
        <v>0</v>
      </c>
      <c r="AU8" s="48">
        <f t="shared" ca="1" si="0"/>
        <v>0</v>
      </c>
    </row>
    <row r="9" spans="3:47" ht="18" customHeight="1" x14ac:dyDescent="0.15">
      <c r="C9" s="1200" t="s">
        <v>85</v>
      </c>
      <c r="D9" s="1201"/>
      <c r="E9" s="431">
        <f>名簿入力!BP20</f>
        <v>0</v>
      </c>
      <c r="F9" s="432"/>
      <c r="G9" s="431">
        <f>名簿入力!BQ20</f>
        <v>0</v>
      </c>
      <c r="H9" s="430">
        <f>名簿入力!BR20</f>
        <v>0</v>
      </c>
      <c r="I9" s="1231">
        <f>名簿入力!BS20</f>
        <v>0</v>
      </c>
      <c r="J9" s="1232"/>
      <c r="K9" s="1233">
        <f>名簿入力!BU20</f>
        <v>0</v>
      </c>
      <c r="L9" s="1234"/>
      <c r="M9" s="1231">
        <f>名簿入力!BW20</f>
        <v>0</v>
      </c>
      <c r="N9" s="1232"/>
      <c r="O9" s="1231">
        <f>名簿入力!BY20</f>
        <v>0</v>
      </c>
      <c r="P9" s="1234"/>
      <c r="Q9" s="1231">
        <f>名簿入力!CA20</f>
        <v>0</v>
      </c>
      <c r="R9" s="1232"/>
      <c r="S9" s="1231">
        <f>名簿入力!CC20</f>
        <v>0</v>
      </c>
      <c r="T9" s="1234"/>
      <c r="U9" s="1231">
        <f>名簿入力!CE20</f>
        <v>0</v>
      </c>
      <c r="V9" s="1232"/>
      <c r="W9" s="1231">
        <f>名簿入力!CG20</f>
        <v>0</v>
      </c>
      <c r="X9" s="1234"/>
      <c r="Y9" s="1231">
        <f>名簿入力!CI20</f>
        <v>0</v>
      </c>
      <c r="Z9" s="1232"/>
      <c r="AA9" s="1231">
        <f>名簿入力!CK20</f>
        <v>0</v>
      </c>
      <c r="AB9" s="1234"/>
      <c r="AC9" s="1231">
        <f>名簿入力!CM20</f>
        <v>0</v>
      </c>
      <c r="AD9" s="1232"/>
      <c r="AE9" s="1231">
        <f>名簿入力!CO20</f>
        <v>0</v>
      </c>
      <c r="AF9" s="1234"/>
      <c r="AI9" s="48" t="str">
        <f t="shared" ca="1" si="1"/>
        <v>高校生</v>
      </c>
      <c r="AJ9" s="48">
        <f t="shared" ca="1" si="0"/>
        <v>0</v>
      </c>
      <c r="AK9" s="48">
        <f t="shared" ca="1" si="0"/>
        <v>0</v>
      </c>
      <c r="AL9" s="48">
        <f t="shared" ca="1" si="0"/>
        <v>0</v>
      </c>
      <c r="AM9" s="48">
        <f t="shared" ca="1" si="0"/>
        <v>0</v>
      </c>
      <c r="AN9" s="48">
        <f t="shared" ca="1" si="0"/>
        <v>0</v>
      </c>
      <c r="AO9" s="48">
        <f t="shared" ca="1" si="0"/>
        <v>0</v>
      </c>
      <c r="AP9" s="48">
        <f t="shared" ca="1" si="0"/>
        <v>0</v>
      </c>
      <c r="AQ9" s="48">
        <f t="shared" ca="1" si="0"/>
        <v>0</v>
      </c>
      <c r="AR9" s="48">
        <f t="shared" ca="1" si="0"/>
        <v>0</v>
      </c>
      <c r="AS9" s="48">
        <f t="shared" ca="1" si="0"/>
        <v>0</v>
      </c>
      <c r="AT9" s="48">
        <f t="shared" ca="1" si="0"/>
        <v>0</v>
      </c>
      <c r="AU9" s="48">
        <f t="shared" ca="1" si="0"/>
        <v>0</v>
      </c>
    </row>
    <row r="10" spans="3:47" ht="18" customHeight="1" x14ac:dyDescent="0.15">
      <c r="C10" s="1200" t="s">
        <v>325</v>
      </c>
      <c r="D10" s="1201"/>
      <c r="E10" s="431">
        <f>名簿入力!BP21</f>
        <v>0</v>
      </c>
      <c r="F10" s="432"/>
      <c r="G10" s="431">
        <f>名簿入力!BQ21</f>
        <v>0</v>
      </c>
      <c r="H10" s="430">
        <f>名簿入力!BR21</f>
        <v>0</v>
      </c>
      <c r="I10" s="1231">
        <f>名簿入力!BS21</f>
        <v>0</v>
      </c>
      <c r="J10" s="1232"/>
      <c r="K10" s="1221">
        <f>名簿入力!BU21</f>
        <v>0</v>
      </c>
      <c r="L10" s="1223"/>
      <c r="M10" s="1231">
        <f>名簿入力!BW21</f>
        <v>0</v>
      </c>
      <c r="N10" s="1232"/>
      <c r="O10" s="1231">
        <f>名簿入力!BY21</f>
        <v>0</v>
      </c>
      <c r="P10" s="1234"/>
      <c r="Q10" s="1231">
        <f>名簿入力!CA21</f>
        <v>0</v>
      </c>
      <c r="R10" s="1232"/>
      <c r="S10" s="1231">
        <f>名簿入力!CC21</f>
        <v>0</v>
      </c>
      <c r="T10" s="1234"/>
      <c r="U10" s="1231">
        <f>名簿入力!CE21</f>
        <v>0</v>
      </c>
      <c r="V10" s="1232"/>
      <c r="W10" s="1231">
        <f>名簿入力!CG21</f>
        <v>0</v>
      </c>
      <c r="X10" s="1234"/>
      <c r="Y10" s="1231">
        <f>名簿入力!CI21</f>
        <v>0</v>
      </c>
      <c r="Z10" s="1232"/>
      <c r="AA10" s="1231">
        <f>名簿入力!CK21</f>
        <v>0</v>
      </c>
      <c r="AB10" s="1234"/>
      <c r="AC10" s="1231">
        <f>名簿入力!CM21</f>
        <v>0</v>
      </c>
      <c r="AD10" s="1232"/>
      <c r="AE10" s="1231">
        <f>名簿入力!CO21</f>
        <v>0</v>
      </c>
      <c r="AF10" s="1234"/>
      <c r="AI10" s="48" t="str">
        <f t="shared" ca="1" si="1"/>
        <v>指導者等</v>
      </c>
      <c r="AJ10" s="48">
        <f t="shared" ca="1" si="0"/>
        <v>0</v>
      </c>
      <c r="AK10" s="48">
        <f t="shared" ca="1" si="0"/>
        <v>0</v>
      </c>
      <c r="AL10" s="48">
        <f t="shared" ca="1" si="0"/>
        <v>0</v>
      </c>
      <c r="AM10" s="48">
        <f t="shared" ca="1" si="0"/>
        <v>0</v>
      </c>
      <c r="AN10" s="48">
        <f t="shared" ca="1" si="0"/>
        <v>0</v>
      </c>
      <c r="AO10" s="48">
        <f t="shared" ca="1" si="0"/>
        <v>0</v>
      </c>
      <c r="AP10" s="48">
        <f t="shared" ca="1" si="0"/>
        <v>0</v>
      </c>
      <c r="AQ10" s="48">
        <f t="shared" ca="1" si="0"/>
        <v>0</v>
      </c>
      <c r="AR10" s="48">
        <f t="shared" ca="1" si="0"/>
        <v>0</v>
      </c>
      <c r="AS10" s="48">
        <f t="shared" ca="1" si="0"/>
        <v>0</v>
      </c>
      <c r="AT10" s="48">
        <f t="shared" ca="1" si="0"/>
        <v>0</v>
      </c>
      <c r="AU10" s="48">
        <f t="shared" ca="1" si="0"/>
        <v>0</v>
      </c>
    </row>
    <row r="11" spans="3:47" ht="18" customHeight="1" x14ac:dyDescent="0.15">
      <c r="C11" s="1200" t="s">
        <v>326</v>
      </c>
      <c r="D11" s="1201"/>
      <c r="E11" s="431">
        <f>名簿入力!BP22</f>
        <v>0</v>
      </c>
      <c r="F11" s="432"/>
      <c r="G11" s="431">
        <f>名簿入力!BQ22</f>
        <v>0</v>
      </c>
      <c r="H11" s="430">
        <f>名簿入力!BR22</f>
        <v>0</v>
      </c>
      <c r="I11" s="1231">
        <f>名簿入力!BS22</f>
        <v>0</v>
      </c>
      <c r="J11" s="1232"/>
      <c r="K11" s="1233">
        <f>名簿入力!BU22</f>
        <v>0</v>
      </c>
      <c r="L11" s="1234"/>
      <c r="M11" s="1231">
        <f>名簿入力!BW22</f>
        <v>0</v>
      </c>
      <c r="N11" s="1232"/>
      <c r="O11" s="1231">
        <f>名簿入力!BY22</f>
        <v>0</v>
      </c>
      <c r="P11" s="1234"/>
      <c r="Q11" s="1231">
        <f>名簿入力!CA22</f>
        <v>0</v>
      </c>
      <c r="R11" s="1232"/>
      <c r="S11" s="1231">
        <f>名簿入力!CC22</f>
        <v>0</v>
      </c>
      <c r="T11" s="1234"/>
      <c r="U11" s="1231">
        <f>名簿入力!CE22</f>
        <v>0</v>
      </c>
      <c r="V11" s="1232"/>
      <c r="W11" s="1231">
        <f>名簿入力!CG22</f>
        <v>0</v>
      </c>
      <c r="X11" s="1234"/>
      <c r="Y11" s="1231">
        <f>名簿入力!CI22</f>
        <v>0</v>
      </c>
      <c r="Z11" s="1232"/>
      <c r="AA11" s="1231">
        <f>名簿入力!CK22</f>
        <v>0</v>
      </c>
      <c r="AB11" s="1234"/>
      <c r="AC11" s="1231">
        <f>名簿入力!CM22</f>
        <v>0</v>
      </c>
      <c r="AD11" s="1232"/>
      <c r="AE11" s="1231">
        <f>名簿入力!CO22</f>
        <v>0</v>
      </c>
      <c r="AF11" s="1234"/>
      <c r="AI11" s="48" t="str">
        <f t="shared" ca="1" si="1"/>
        <v>その他</v>
      </c>
      <c r="AJ11" s="48">
        <f t="shared" ca="1" si="0"/>
        <v>0</v>
      </c>
      <c r="AK11" s="48">
        <f t="shared" ca="1" si="0"/>
        <v>0</v>
      </c>
      <c r="AL11" s="48">
        <f t="shared" ca="1" si="0"/>
        <v>0</v>
      </c>
      <c r="AM11" s="48">
        <f t="shared" ca="1" si="0"/>
        <v>0</v>
      </c>
      <c r="AN11" s="48">
        <f t="shared" ca="1" si="0"/>
        <v>0</v>
      </c>
      <c r="AO11" s="48">
        <f t="shared" ca="1" si="0"/>
        <v>0</v>
      </c>
      <c r="AP11" s="48">
        <f t="shared" ca="1" si="0"/>
        <v>0</v>
      </c>
      <c r="AQ11" s="48">
        <f t="shared" ca="1" si="0"/>
        <v>0</v>
      </c>
      <c r="AR11" s="48">
        <f t="shared" ca="1" si="0"/>
        <v>0</v>
      </c>
      <c r="AS11" s="48">
        <f t="shared" ca="1" si="0"/>
        <v>0</v>
      </c>
      <c r="AT11" s="48">
        <f t="shared" ca="1" si="0"/>
        <v>0</v>
      </c>
      <c r="AU11" s="48">
        <f t="shared" ca="1" si="0"/>
        <v>0</v>
      </c>
    </row>
    <row r="12" spans="3:47" ht="18" customHeight="1" x14ac:dyDescent="0.15">
      <c r="C12" s="1207" t="s">
        <v>363</v>
      </c>
      <c r="D12" s="1208"/>
      <c r="E12" s="424">
        <f>名簿入力!BP23</f>
        <v>0</v>
      </c>
      <c r="F12" s="425"/>
      <c r="G12" s="431">
        <f>名簿入力!BQ23</f>
        <v>0</v>
      </c>
      <c r="H12" s="430">
        <f>名簿入力!BR23</f>
        <v>0</v>
      </c>
      <c r="I12" s="1231">
        <f>名簿入力!BS23</f>
        <v>0</v>
      </c>
      <c r="J12" s="1232"/>
      <c r="K12" s="1221">
        <f>名簿入力!BU23</f>
        <v>0</v>
      </c>
      <c r="L12" s="1223"/>
      <c r="M12" s="1221">
        <f>名簿入力!BW23</f>
        <v>0</v>
      </c>
      <c r="N12" s="1222"/>
      <c r="O12" s="1221">
        <f>名簿入力!BY23</f>
        <v>0</v>
      </c>
      <c r="P12" s="1223"/>
      <c r="Q12" s="1221">
        <f>名簿入力!CA23</f>
        <v>0</v>
      </c>
      <c r="R12" s="1222"/>
      <c r="S12" s="1221">
        <f>名簿入力!CC23</f>
        <v>0</v>
      </c>
      <c r="T12" s="1223"/>
      <c r="U12" s="1221">
        <f>名簿入力!CE23</f>
        <v>0</v>
      </c>
      <c r="V12" s="1222"/>
      <c r="W12" s="1221">
        <f>名簿入力!CG23</f>
        <v>0</v>
      </c>
      <c r="X12" s="1223"/>
      <c r="Y12" s="1221">
        <f>名簿入力!CI23</f>
        <v>0</v>
      </c>
      <c r="Z12" s="1222"/>
      <c r="AA12" s="1221">
        <f>名簿入力!CK23</f>
        <v>0</v>
      </c>
      <c r="AB12" s="1223"/>
      <c r="AC12" s="1221">
        <f>名簿入力!CM23</f>
        <v>0</v>
      </c>
      <c r="AD12" s="1222"/>
      <c r="AE12" s="1221">
        <f>名簿入力!CO23</f>
        <v>0</v>
      </c>
      <c r="AF12" s="1223"/>
    </row>
    <row r="13" spans="3:47" ht="18" customHeight="1" x14ac:dyDescent="0.15">
      <c r="C13" s="112"/>
      <c r="D13" s="112"/>
      <c r="E13" s="418"/>
      <c r="F13" s="455"/>
      <c r="G13" s="1239"/>
      <c r="H13" s="1240"/>
      <c r="I13" s="1241" t="s">
        <v>155</v>
      </c>
      <c r="J13" s="1241"/>
      <c r="K13" s="1242">
        <f>名簿入力!BU24</f>
        <v>0</v>
      </c>
      <c r="L13" s="1242"/>
      <c r="M13" s="1241" t="s">
        <v>155</v>
      </c>
      <c r="N13" s="1241"/>
      <c r="O13" s="1243">
        <f>名簿入力!BY24</f>
        <v>0</v>
      </c>
      <c r="P13" s="1244"/>
      <c r="Q13" s="1241" t="s">
        <v>155</v>
      </c>
      <c r="R13" s="1241"/>
      <c r="S13" s="1243">
        <f>名簿入力!CC24</f>
        <v>0</v>
      </c>
      <c r="T13" s="1244"/>
      <c r="U13" s="1241" t="s">
        <v>155</v>
      </c>
      <c r="V13" s="1241"/>
      <c r="W13" s="1243">
        <f>名簿入力!CG24</f>
        <v>0</v>
      </c>
      <c r="X13" s="1244"/>
      <c r="Y13" s="1241" t="s">
        <v>155</v>
      </c>
      <c r="Z13" s="1241"/>
      <c r="AA13" s="1243">
        <f>名簿入力!CK24</f>
        <v>0</v>
      </c>
      <c r="AB13" s="1244"/>
      <c r="AC13" s="1241" t="s">
        <v>155</v>
      </c>
      <c r="AD13" s="1241"/>
      <c r="AE13" s="1243">
        <f>名簿入力!CO24</f>
        <v>0</v>
      </c>
      <c r="AF13" s="1244"/>
      <c r="AJ13" s="738" t="str">
        <f t="shared" ref="AJ13:AU20" ca="1" si="2">OFFSET($A14,0,COLUMN(E14)*2-2)</f>
        <v>男</v>
      </c>
      <c r="AK13" s="738" t="str">
        <f t="shared" ca="1" si="2"/>
        <v>女</v>
      </c>
      <c r="AL13" s="738" t="str">
        <f t="shared" ca="1" si="2"/>
        <v>男</v>
      </c>
      <c r="AM13" s="738" t="str">
        <f t="shared" ca="1" si="2"/>
        <v>女</v>
      </c>
      <c r="AN13" s="738" t="str">
        <f t="shared" ca="1" si="2"/>
        <v>男</v>
      </c>
      <c r="AO13" s="738" t="str">
        <f t="shared" ca="1" si="2"/>
        <v>女</v>
      </c>
      <c r="AP13" s="738" t="str">
        <f t="shared" ca="1" si="2"/>
        <v>男</v>
      </c>
      <c r="AQ13" s="738" t="str">
        <f t="shared" ca="1" si="2"/>
        <v>女</v>
      </c>
      <c r="AR13" s="738" t="str">
        <f t="shared" ca="1" si="2"/>
        <v>男</v>
      </c>
      <c r="AS13" s="738" t="str">
        <f t="shared" ca="1" si="2"/>
        <v>女</v>
      </c>
      <c r="AT13" s="738" t="str">
        <f t="shared" ca="1" si="2"/>
        <v>男</v>
      </c>
      <c r="AU13" s="738" t="str">
        <f t="shared" ca="1" si="2"/>
        <v>女</v>
      </c>
    </row>
    <row r="14" spans="3:47" ht="18" customHeight="1" x14ac:dyDescent="0.15">
      <c r="E14" s="453"/>
      <c r="F14" s="414"/>
      <c r="G14" s="414"/>
      <c r="H14" s="454"/>
      <c r="I14" s="720" t="s">
        <v>367</v>
      </c>
      <c r="J14" s="721">
        <f>SUM(I15:J21)</f>
        <v>0</v>
      </c>
      <c r="K14" s="722" t="s">
        <v>366</v>
      </c>
      <c r="L14" s="723">
        <f>SUM(K15:L21)</f>
        <v>0</v>
      </c>
      <c r="M14" s="720" t="s">
        <v>367</v>
      </c>
      <c r="N14" s="724">
        <f>SUM(M15:N21)</f>
        <v>0</v>
      </c>
      <c r="O14" s="725" t="s">
        <v>366</v>
      </c>
      <c r="P14" s="723">
        <f>SUM(O15:P21)</f>
        <v>0</v>
      </c>
      <c r="Q14" s="720" t="s">
        <v>367</v>
      </c>
      <c r="R14" s="724">
        <f>SUM(Q15:R21)</f>
        <v>0</v>
      </c>
      <c r="S14" s="725" t="s">
        <v>366</v>
      </c>
      <c r="T14" s="723">
        <f>SUM(S15:T21)</f>
        <v>0</v>
      </c>
      <c r="U14" s="720" t="s">
        <v>367</v>
      </c>
      <c r="V14" s="724">
        <f>SUM(U15:V21)</f>
        <v>0</v>
      </c>
      <c r="W14" s="725" t="s">
        <v>366</v>
      </c>
      <c r="X14" s="723">
        <f>SUM(W15:X21)</f>
        <v>0</v>
      </c>
      <c r="Y14" s="720" t="s">
        <v>367</v>
      </c>
      <c r="Z14" s="724">
        <f>SUM(Y15:Z21)</f>
        <v>0</v>
      </c>
      <c r="AA14" s="725" t="s">
        <v>366</v>
      </c>
      <c r="AB14" s="723">
        <f>SUM(AA15:AB21)</f>
        <v>0</v>
      </c>
      <c r="AC14" s="720" t="s">
        <v>367</v>
      </c>
      <c r="AD14" s="721">
        <f>SUM(AC15:AD21)</f>
        <v>0</v>
      </c>
      <c r="AE14" s="722" t="s">
        <v>366</v>
      </c>
      <c r="AF14" s="723">
        <f>SUM(AE15:AF21)</f>
        <v>0</v>
      </c>
      <c r="AI14" s="48" t="str">
        <f t="shared" ref="AI14:AI20" ca="1" si="3">OFFSET($A15,0,COLUMN(B15)*2-2)</f>
        <v>2歳児以下</v>
      </c>
      <c r="AJ14" s="48">
        <f t="shared" ca="1" si="2"/>
        <v>0</v>
      </c>
      <c r="AK14" s="48">
        <f t="shared" ca="1" si="2"/>
        <v>0</v>
      </c>
      <c r="AL14" s="48">
        <f t="shared" ca="1" si="2"/>
        <v>0</v>
      </c>
      <c r="AM14" s="48">
        <f t="shared" ca="1" si="2"/>
        <v>0</v>
      </c>
      <c r="AN14" s="48">
        <f t="shared" ca="1" si="2"/>
        <v>0</v>
      </c>
      <c r="AO14" s="48">
        <f t="shared" ca="1" si="2"/>
        <v>0</v>
      </c>
      <c r="AP14" s="48">
        <f t="shared" ca="1" si="2"/>
        <v>0</v>
      </c>
      <c r="AQ14" s="48">
        <f t="shared" ca="1" si="2"/>
        <v>0</v>
      </c>
      <c r="AR14" s="48">
        <f t="shared" ca="1" si="2"/>
        <v>0</v>
      </c>
      <c r="AS14" s="48">
        <f t="shared" ca="1" si="2"/>
        <v>0</v>
      </c>
      <c r="AT14" s="48">
        <f t="shared" ca="1" si="2"/>
        <v>0</v>
      </c>
      <c r="AU14" s="48">
        <f t="shared" ca="1" si="2"/>
        <v>0</v>
      </c>
    </row>
    <row r="15" spans="3:47" ht="18" customHeight="1" x14ac:dyDescent="0.15">
      <c r="C15" s="1202" t="s">
        <v>323</v>
      </c>
      <c r="D15" s="1203"/>
      <c r="E15" s="439"/>
      <c r="F15" s="440"/>
      <c r="G15" s="439"/>
      <c r="H15" s="438"/>
      <c r="I15" s="1257">
        <f>名簿入力!BS26</f>
        <v>0</v>
      </c>
      <c r="J15" s="1258"/>
      <c r="K15" s="1235">
        <f>名簿入力!BU26</f>
        <v>0</v>
      </c>
      <c r="L15" s="1236"/>
      <c r="M15" s="1237">
        <f>名簿入力!BW26</f>
        <v>0</v>
      </c>
      <c r="N15" s="1238"/>
      <c r="O15" s="1237">
        <f>名簿入力!BY26</f>
        <v>0</v>
      </c>
      <c r="P15" s="1236"/>
      <c r="Q15" s="1237">
        <f>名簿入力!CA26</f>
        <v>0</v>
      </c>
      <c r="R15" s="1238"/>
      <c r="S15" s="1237">
        <f>名簿入力!CC26</f>
        <v>0</v>
      </c>
      <c r="T15" s="1236"/>
      <c r="U15" s="1237">
        <f>名簿入力!CE26</f>
        <v>0</v>
      </c>
      <c r="V15" s="1238"/>
      <c r="W15" s="1237">
        <f>名簿入力!CG26</f>
        <v>0</v>
      </c>
      <c r="X15" s="1236"/>
      <c r="Y15" s="1237">
        <f>名簿入力!CI26</f>
        <v>0</v>
      </c>
      <c r="Z15" s="1238"/>
      <c r="AA15" s="1237">
        <f>名簿入力!CK26</f>
        <v>0</v>
      </c>
      <c r="AB15" s="1236"/>
      <c r="AC15" s="1237">
        <f>名簿入力!CM26</f>
        <v>0</v>
      </c>
      <c r="AD15" s="1238"/>
      <c r="AE15" s="1235">
        <f>名簿入力!CO26</f>
        <v>0</v>
      </c>
      <c r="AF15" s="1236"/>
      <c r="AI15" s="48" t="str">
        <f t="shared" ca="1" si="3"/>
        <v>3歳-学齢前</v>
      </c>
      <c r="AJ15" s="48">
        <f t="shared" ca="1" si="2"/>
        <v>0</v>
      </c>
      <c r="AK15" s="48">
        <f t="shared" ca="1" si="2"/>
        <v>0</v>
      </c>
      <c r="AL15" s="48">
        <f t="shared" ca="1" si="2"/>
        <v>0</v>
      </c>
      <c r="AM15" s="48">
        <f t="shared" ca="1" si="2"/>
        <v>0</v>
      </c>
      <c r="AN15" s="48">
        <f t="shared" ca="1" si="2"/>
        <v>0</v>
      </c>
      <c r="AO15" s="48">
        <f t="shared" ca="1" si="2"/>
        <v>0</v>
      </c>
      <c r="AP15" s="48">
        <f t="shared" ca="1" si="2"/>
        <v>0</v>
      </c>
      <c r="AQ15" s="48">
        <f t="shared" ca="1" si="2"/>
        <v>0</v>
      </c>
      <c r="AR15" s="48">
        <f t="shared" ca="1" si="2"/>
        <v>0</v>
      </c>
      <c r="AS15" s="48">
        <f t="shared" ca="1" si="2"/>
        <v>0</v>
      </c>
      <c r="AT15" s="48">
        <f t="shared" ca="1" si="2"/>
        <v>0</v>
      </c>
      <c r="AU15" s="48">
        <f t="shared" ca="1" si="2"/>
        <v>0</v>
      </c>
    </row>
    <row r="16" spans="3:47" ht="18" customHeight="1" x14ac:dyDescent="0.15">
      <c r="C16" s="1200" t="s">
        <v>324</v>
      </c>
      <c r="D16" s="1201"/>
      <c r="E16" s="431"/>
      <c r="F16" s="432"/>
      <c r="G16" s="431"/>
      <c r="H16" s="430"/>
      <c r="I16" s="1231">
        <f>名簿入力!BS27</f>
        <v>0</v>
      </c>
      <c r="J16" s="1232"/>
      <c r="K16" s="1233">
        <f>名簿入力!BU27</f>
        <v>0</v>
      </c>
      <c r="L16" s="1234"/>
      <c r="M16" s="1231">
        <f>名簿入力!BW27</f>
        <v>0</v>
      </c>
      <c r="N16" s="1232"/>
      <c r="O16" s="1231">
        <f>名簿入力!BY27</f>
        <v>0</v>
      </c>
      <c r="P16" s="1234"/>
      <c r="Q16" s="1231">
        <f>名簿入力!CA27</f>
        <v>0</v>
      </c>
      <c r="R16" s="1232"/>
      <c r="S16" s="1231">
        <f>名簿入力!CC27</f>
        <v>0</v>
      </c>
      <c r="T16" s="1234"/>
      <c r="U16" s="1231">
        <f>名簿入力!CE27</f>
        <v>0</v>
      </c>
      <c r="V16" s="1232"/>
      <c r="W16" s="1231">
        <f>名簿入力!CG27</f>
        <v>0</v>
      </c>
      <c r="X16" s="1234"/>
      <c r="Y16" s="1231">
        <f>名簿入力!CI27</f>
        <v>0</v>
      </c>
      <c r="Z16" s="1232"/>
      <c r="AA16" s="1231">
        <f>名簿入力!CK27</f>
        <v>0</v>
      </c>
      <c r="AB16" s="1234"/>
      <c r="AC16" s="1231">
        <f>名簿入力!CM27</f>
        <v>0</v>
      </c>
      <c r="AD16" s="1232"/>
      <c r="AE16" s="1233">
        <f>名簿入力!CO27</f>
        <v>0</v>
      </c>
      <c r="AF16" s="1234"/>
      <c r="AI16" s="48" t="str">
        <f t="shared" ca="1" si="3"/>
        <v>小学生</v>
      </c>
      <c r="AJ16" s="48">
        <f t="shared" ca="1" si="2"/>
        <v>0</v>
      </c>
      <c r="AK16" s="48">
        <f t="shared" ca="1" si="2"/>
        <v>0</v>
      </c>
      <c r="AL16" s="48">
        <f t="shared" ca="1" si="2"/>
        <v>0</v>
      </c>
      <c r="AM16" s="48">
        <f t="shared" ca="1" si="2"/>
        <v>0</v>
      </c>
      <c r="AN16" s="48">
        <f t="shared" ca="1" si="2"/>
        <v>0</v>
      </c>
      <c r="AO16" s="48">
        <f t="shared" ca="1" si="2"/>
        <v>0</v>
      </c>
      <c r="AP16" s="48">
        <f t="shared" ca="1" si="2"/>
        <v>0</v>
      </c>
      <c r="AQ16" s="48">
        <f t="shared" ca="1" si="2"/>
        <v>0</v>
      </c>
      <c r="AR16" s="48">
        <f t="shared" ca="1" si="2"/>
        <v>0</v>
      </c>
      <c r="AS16" s="48">
        <f t="shared" ca="1" si="2"/>
        <v>0</v>
      </c>
      <c r="AT16" s="48">
        <f t="shared" ca="1" si="2"/>
        <v>0</v>
      </c>
      <c r="AU16" s="48">
        <f t="shared" ca="1" si="2"/>
        <v>0</v>
      </c>
    </row>
    <row r="17" spans="3:47" ht="18" customHeight="1" x14ac:dyDescent="0.15">
      <c r="C17" s="1200" t="s">
        <v>84</v>
      </c>
      <c r="D17" s="1201"/>
      <c r="E17" s="431"/>
      <c r="F17" s="432"/>
      <c r="G17" s="431"/>
      <c r="H17" s="430"/>
      <c r="I17" s="1231">
        <f>名簿入力!BS28</f>
        <v>0</v>
      </c>
      <c r="J17" s="1232"/>
      <c r="K17" s="1233">
        <f>名簿入力!BU28</f>
        <v>0</v>
      </c>
      <c r="L17" s="1234"/>
      <c r="M17" s="1231">
        <f>名簿入力!BW28</f>
        <v>0</v>
      </c>
      <c r="N17" s="1232"/>
      <c r="O17" s="1231">
        <f>名簿入力!BY28</f>
        <v>0</v>
      </c>
      <c r="P17" s="1234"/>
      <c r="Q17" s="1231">
        <f>名簿入力!CA28</f>
        <v>0</v>
      </c>
      <c r="R17" s="1232"/>
      <c r="S17" s="1231">
        <f>名簿入力!CC28</f>
        <v>0</v>
      </c>
      <c r="T17" s="1234"/>
      <c r="U17" s="1231">
        <f>名簿入力!CE28</f>
        <v>0</v>
      </c>
      <c r="V17" s="1232"/>
      <c r="W17" s="1231">
        <f>名簿入力!CG28</f>
        <v>0</v>
      </c>
      <c r="X17" s="1234"/>
      <c r="Y17" s="1231">
        <f>名簿入力!CI28</f>
        <v>0</v>
      </c>
      <c r="Z17" s="1232"/>
      <c r="AA17" s="1231">
        <f>名簿入力!CK28</f>
        <v>0</v>
      </c>
      <c r="AB17" s="1234"/>
      <c r="AC17" s="1231">
        <f>名簿入力!CM28</f>
        <v>0</v>
      </c>
      <c r="AD17" s="1232"/>
      <c r="AE17" s="1233">
        <f>名簿入力!CO28</f>
        <v>0</v>
      </c>
      <c r="AF17" s="1234"/>
      <c r="AI17" s="48" t="str">
        <f t="shared" ca="1" si="3"/>
        <v>中学生</v>
      </c>
      <c r="AJ17" s="48">
        <f t="shared" ca="1" si="2"/>
        <v>0</v>
      </c>
      <c r="AK17" s="48">
        <f t="shared" ca="1" si="2"/>
        <v>0</v>
      </c>
      <c r="AL17" s="48">
        <f t="shared" ca="1" si="2"/>
        <v>0</v>
      </c>
      <c r="AM17" s="48">
        <f t="shared" ca="1" si="2"/>
        <v>0</v>
      </c>
      <c r="AN17" s="48">
        <f t="shared" ca="1" si="2"/>
        <v>0</v>
      </c>
      <c r="AO17" s="48">
        <f t="shared" ca="1" si="2"/>
        <v>0</v>
      </c>
      <c r="AP17" s="48">
        <f t="shared" ca="1" si="2"/>
        <v>0</v>
      </c>
      <c r="AQ17" s="48">
        <f t="shared" ca="1" si="2"/>
        <v>0</v>
      </c>
      <c r="AR17" s="48">
        <f t="shared" ca="1" si="2"/>
        <v>0</v>
      </c>
      <c r="AS17" s="48">
        <f t="shared" ca="1" si="2"/>
        <v>0</v>
      </c>
      <c r="AT17" s="48">
        <f t="shared" ca="1" si="2"/>
        <v>0</v>
      </c>
      <c r="AU17" s="48">
        <f t="shared" ca="1" si="2"/>
        <v>0</v>
      </c>
    </row>
    <row r="18" spans="3:47" ht="18" customHeight="1" x14ac:dyDescent="0.15">
      <c r="C18" s="1200" t="s">
        <v>85</v>
      </c>
      <c r="D18" s="1201"/>
      <c r="E18" s="431"/>
      <c r="F18" s="432"/>
      <c r="G18" s="431"/>
      <c r="H18" s="430"/>
      <c r="I18" s="1231">
        <f>名簿入力!BS29</f>
        <v>0</v>
      </c>
      <c r="J18" s="1232"/>
      <c r="K18" s="1233">
        <f>名簿入力!BU29</f>
        <v>0</v>
      </c>
      <c r="L18" s="1234"/>
      <c r="M18" s="1231">
        <f>名簿入力!BW29</f>
        <v>0</v>
      </c>
      <c r="N18" s="1232"/>
      <c r="O18" s="1231">
        <f>名簿入力!BY29</f>
        <v>0</v>
      </c>
      <c r="P18" s="1234"/>
      <c r="Q18" s="1231">
        <f>名簿入力!CA29</f>
        <v>0</v>
      </c>
      <c r="R18" s="1232"/>
      <c r="S18" s="1231">
        <f>名簿入力!CC29</f>
        <v>0</v>
      </c>
      <c r="T18" s="1234"/>
      <c r="U18" s="1231">
        <f>名簿入力!CE29</f>
        <v>0</v>
      </c>
      <c r="V18" s="1232"/>
      <c r="W18" s="1231">
        <f>名簿入力!CG29</f>
        <v>0</v>
      </c>
      <c r="X18" s="1234"/>
      <c r="Y18" s="1231">
        <f>名簿入力!CI29</f>
        <v>0</v>
      </c>
      <c r="Z18" s="1232"/>
      <c r="AA18" s="1231">
        <f>名簿入力!CK29</f>
        <v>0</v>
      </c>
      <c r="AB18" s="1234"/>
      <c r="AC18" s="1231">
        <f>名簿入力!CM29</f>
        <v>0</v>
      </c>
      <c r="AD18" s="1232"/>
      <c r="AE18" s="1233">
        <f>名簿入力!CO29</f>
        <v>0</v>
      </c>
      <c r="AF18" s="1234"/>
      <c r="AI18" s="48" t="str">
        <f t="shared" ca="1" si="3"/>
        <v>高校生</v>
      </c>
      <c r="AJ18" s="48">
        <f t="shared" ca="1" si="2"/>
        <v>0</v>
      </c>
      <c r="AK18" s="48">
        <f t="shared" ca="1" si="2"/>
        <v>0</v>
      </c>
      <c r="AL18" s="48">
        <f t="shared" ca="1" si="2"/>
        <v>0</v>
      </c>
      <c r="AM18" s="48">
        <f t="shared" ca="1" si="2"/>
        <v>0</v>
      </c>
      <c r="AN18" s="48">
        <f t="shared" ca="1" si="2"/>
        <v>0</v>
      </c>
      <c r="AO18" s="48">
        <f t="shared" ca="1" si="2"/>
        <v>0</v>
      </c>
      <c r="AP18" s="48">
        <f t="shared" ca="1" si="2"/>
        <v>0</v>
      </c>
      <c r="AQ18" s="48">
        <f t="shared" ca="1" si="2"/>
        <v>0</v>
      </c>
      <c r="AR18" s="48">
        <f t="shared" ca="1" si="2"/>
        <v>0</v>
      </c>
      <c r="AS18" s="48">
        <f t="shared" ca="1" si="2"/>
        <v>0</v>
      </c>
      <c r="AT18" s="48">
        <f t="shared" ca="1" si="2"/>
        <v>0</v>
      </c>
      <c r="AU18" s="48">
        <f t="shared" ca="1" si="2"/>
        <v>0</v>
      </c>
    </row>
    <row r="19" spans="3:47" ht="18" customHeight="1" x14ac:dyDescent="0.15">
      <c r="C19" s="1200" t="s">
        <v>325</v>
      </c>
      <c r="D19" s="1201"/>
      <c r="E19" s="431"/>
      <c r="F19" s="432"/>
      <c r="G19" s="431"/>
      <c r="H19" s="430"/>
      <c r="I19" s="1231">
        <f>名簿入力!BS30</f>
        <v>0</v>
      </c>
      <c r="J19" s="1232"/>
      <c r="K19" s="1233">
        <f>名簿入力!BU30</f>
        <v>0</v>
      </c>
      <c r="L19" s="1234"/>
      <c r="M19" s="1231">
        <f>名簿入力!BW30</f>
        <v>0</v>
      </c>
      <c r="N19" s="1232"/>
      <c r="O19" s="1231">
        <f>名簿入力!BY30</f>
        <v>0</v>
      </c>
      <c r="P19" s="1234"/>
      <c r="Q19" s="1231">
        <f>名簿入力!CA30</f>
        <v>0</v>
      </c>
      <c r="R19" s="1232"/>
      <c r="S19" s="1231">
        <f>名簿入力!CC30</f>
        <v>0</v>
      </c>
      <c r="T19" s="1234"/>
      <c r="U19" s="1231">
        <f>名簿入力!CE30</f>
        <v>0</v>
      </c>
      <c r="V19" s="1232"/>
      <c r="W19" s="1231">
        <f>名簿入力!CG30</f>
        <v>0</v>
      </c>
      <c r="X19" s="1234"/>
      <c r="Y19" s="1231">
        <f>名簿入力!CI30</f>
        <v>0</v>
      </c>
      <c r="Z19" s="1232"/>
      <c r="AA19" s="1231">
        <f>名簿入力!CK30</f>
        <v>0</v>
      </c>
      <c r="AB19" s="1234"/>
      <c r="AC19" s="1231">
        <f>名簿入力!CM30</f>
        <v>0</v>
      </c>
      <c r="AD19" s="1232"/>
      <c r="AE19" s="1233">
        <f>名簿入力!CO30</f>
        <v>0</v>
      </c>
      <c r="AF19" s="1234"/>
      <c r="AI19" s="48" t="str">
        <f t="shared" ca="1" si="3"/>
        <v>指導者等</v>
      </c>
      <c r="AJ19" s="48">
        <f t="shared" ca="1" si="2"/>
        <v>0</v>
      </c>
      <c r="AK19" s="48">
        <f t="shared" ca="1" si="2"/>
        <v>0</v>
      </c>
      <c r="AL19" s="48">
        <f t="shared" ca="1" si="2"/>
        <v>0</v>
      </c>
      <c r="AM19" s="48">
        <f t="shared" ca="1" si="2"/>
        <v>0</v>
      </c>
      <c r="AN19" s="48">
        <f t="shared" ca="1" si="2"/>
        <v>0</v>
      </c>
      <c r="AO19" s="48">
        <f t="shared" ca="1" si="2"/>
        <v>0</v>
      </c>
      <c r="AP19" s="48">
        <f t="shared" ca="1" si="2"/>
        <v>0</v>
      </c>
      <c r="AQ19" s="48">
        <f t="shared" ca="1" si="2"/>
        <v>0</v>
      </c>
      <c r="AR19" s="48">
        <f t="shared" ca="1" si="2"/>
        <v>0</v>
      </c>
      <c r="AS19" s="48">
        <f t="shared" ca="1" si="2"/>
        <v>0</v>
      </c>
      <c r="AT19" s="48">
        <f t="shared" ca="1" si="2"/>
        <v>0</v>
      </c>
      <c r="AU19" s="48">
        <f t="shared" ca="1" si="2"/>
        <v>0</v>
      </c>
    </row>
    <row r="20" spans="3:47" ht="18" customHeight="1" x14ac:dyDescent="0.15">
      <c r="C20" s="1200" t="s">
        <v>326</v>
      </c>
      <c r="D20" s="1201"/>
      <c r="E20" s="431"/>
      <c r="F20" s="432"/>
      <c r="G20" s="431"/>
      <c r="H20" s="430"/>
      <c r="I20" s="1231">
        <f>名簿入力!BS31</f>
        <v>0</v>
      </c>
      <c r="J20" s="1232"/>
      <c r="K20" s="1233">
        <f>名簿入力!BU31</f>
        <v>0</v>
      </c>
      <c r="L20" s="1234"/>
      <c r="M20" s="1231">
        <f>名簿入力!BW31</f>
        <v>0</v>
      </c>
      <c r="N20" s="1232"/>
      <c r="O20" s="1231">
        <f>名簿入力!BY31</f>
        <v>0</v>
      </c>
      <c r="P20" s="1234"/>
      <c r="Q20" s="1231">
        <f>名簿入力!CA31</f>
        <v>0</v>
      </c>
      <c r="R20" s="1232"/>
      <c r="S20" s="1231">
        <f>名簿入力!CC31</f>
        <v>0</v>
      </c>
      <c r="T20" s="1234"/>
      <c r="U20" s="1231">
        <f>名簿入力!CE31</f>
        <v>0</v>
      </c>
      <c r="V20" s="1232"/>
      <c r="W20" s="1231">
        <f>名簿入力!CG31</f>
        <v>0</v>
      </c>
      <c r="X20" s="1234"/>
      <c r="Y20" s="1231">
        <f>名簿入力!CI31</f>
        <v>0</v>
      </c>
      <c r="Z20" s="1232"/>
      <c r="AA20" s="1231">
        <f>名簿入力!CK31</f>
        <v>0</v>
      </c>
      <c r="AB20" s="1234"/>
      <c r="AC20" s="1231">
        <f>名簿入力!CM31</f>
        <v>0</v>
      </c>
      <c r="AD20" s="1232"/>
      <c r="AE20" s="1233">
        <f>名簿入力!CO31</f>
        <v>0</v>
      </c>
      <c r="AF20" s="1234"/>
      <c r="AI20" s="48" t="str">
        <f t="shared" ca="1" si="3"/>
        <v>その他</v>
      </c>
      <c r="AJ20" s="48">
        <f t="shared" ca="1" si="2"/>
        <v>0</v>
      </c>
      <c r="AK20" s="48">
        <f t="shared" ca="1" si="2"/>
        <v>0</v>
      </c>
      <c r="AL20" s="48">
        <f t="shared" ca="1" si="2"/>
        <v>0</v>
      </c>
      <c r="AM20" s="48">
        <f t="shared" ca="1" si="2"/>
        <v>0</v>
      </c>
      <c r="AN20" s="48">
        <f t="shared" ca="1" si="2"/>
        <v>0</v>
      </c>
      <c r="AO20" s="48">
        <f t="shared" ca="1" si="2"/>
        <v>0</v>
      </c>
      <c r="AP20" s="48">
        <f t="shared" ca="1" si="2"/>
        <v>0</v>
      </c>
      <c r="AQ20" s="48">
        <f t="shared" ca="1" si="2"/>
        <v>0</v>
      </c>
      <c r="AR20" s="48">
        <f t="shared" ca="1" si="2"/>
        <v>0</v>
      </c>
      <c r="AS20" s="48">
        <f t="shared" ca="1" si="2"/>
        <v>0</v>
      </c>
      <c r="AT20" s="48">
        <f t="shared" ca="1" si="2"/>
        <v>0</v>
      </c>
      <c r="AU20" s="48">
        <f t="shared" ca="1" si="2"/>
        <v>0</v>
      </c>
    </row>
    <row r="21" spans="3:47" ht="18" customHeight="1" x14ac:dyDescent="0.15">
      <c r="C21" s="1207" t="s">
        <v>365</v>
      </c>
      <c r="D21" s="1208"/>
      <c r="E21" s="424"/>
      <c r="F21" s="425"/>
      <c r="G21" s="424"/>
      <c r="H21" s="423"/>
      <c r="I21" s="1231">
        <f>名簿入力!BS32</f>
        <v>0</v>
      </c>
      <c r="J21" s="1232"/>
      <c r="K21" s="1221">
        <f>名簿入力!BU32</f>
        <v>0</v>
      </c>
      <c r="L21" s="1223"/>
      <c r="M21" s="1221">
        <f>名簿入力!BW32</f>
        <v>0</v>
      </c>
      <c r="N21" s="1222"/>
      <c r="O21" s="1221">
        <f>名簿入力!BY32</f>
        <v>0</v>
      </c>
      <c r="P21" s="1223"/>
      <c r="Q21" s="1221">
        <f>名簿入力!CA32</f>
        <v>0</v>
      </c>
      <c r="R21" s="1222"/>
      <c r="S21" s="1221">
        <f>名簿入力!CC32</f>
        <v>0</v>
      </c>
      <c r="T21" s="1223"/>
      <c r="U21" s="1224">
        <f>名簿入力!CE32</f>
        <v>0</v>
      </c>
      <c r="V21" s="1225"/>
      <c r="W21" s="1221">
        <f>名簿入力!CG32</f>
        <v>0</v>
      </c>
      <c r="X21" s="1223"/>
      <c r="Y21" s="1221">
        <f>名簿入力!CI32</f>
        <v>0</v>
      </c>
      <c r="Z21" s="1222"/>
      <c r="AA21" s="1221">
        <f>名簿入力!CK32</f>
        <v>0</v>
      </c>
      <c r="AB21" s="1223"/>
      <c r="AC21" s="1221">
        <f>名簿入力!CM32</f>
        <v>0</v>
      </c>
      <c r="AD21" s="1222"/>
      <c r="AE21" s="1221">
        <f>名簿入力!CO32</f>
        <v>0</v>
      </c>
      <c r="AF21" s="1223"/>
    </row>
    <row r="22" spans="3:47" ht="18" customHeight="1" x14ac:dyDescent="0.15">
      <c r="C22" s="415"/>
      <c r="D22" s="415"/>
      <c r="E22" s="112"/>
      <c r="F22" s="112"/>
      <c r="G22" s="416"/>
      <c r="H22" s="416"/>
      <c r="I22" s="418"/>
      <c r="J22" s="125"/>
      <c r="K22" s="125"/>
      <c r="L22" s="125"/>
      <c r="M22" s="125"/>
      <c r="N22" s="125"/>
      <c r="O22" s="125"/>
      <c r="P22" s="125"/>
      <c r="Q22" s="125"/>
      <c r="R22" s="125"/>
      <c r="S22" s="125"/>
      <c r="T22" s="125"/>
      <c r="U22" s="113"/>
      <c r="V22" s="113"/>
      <c r="W22" s="125"/>
      <c r="X22" s="125"/>
      <c r="Y22" s="125"/>
      <c r="Z22" s="125"/>
      <c r="AA22" s="125"/>
      <c r="AB22" s="125"/>
      <c r="AC22" s="125"/>
      <c r="AD22" s="125"/>
      <c r="AE22" s="125"/>
      <c r="AF22" s="125"/>
    </row>
    <row r="23" spans="3:47" ht="18" customHeight="1" x14ac:dyDescent="0.15">
      <c r="C23" s="415" t="s">
        <v>364</v>
      </c>
      <c r="D23" s="415"/>
      <c r="E23" s="112"/>
      <c r="F23" s="112"/>
      <c r="G23" s="416"/>
      <c r="H23" s="416"/>
      <c r="I23" s="112"/>
      <c r="J23" s="113"/>
      <c r="K23" s="113"/>
      <c r="L23" s="113"/>
      <c r="M23" s="113"/>
      <c r="N23" s="113"/>
      <c r="O23" s="113"/>
      <c r="P23" s="113"/>
      <c r="Q23" s="113"/>
      <c r="R23" s="113"/>
      <c r="S23" s="113"/>
      <c r="T23" s="113"/>
      <c r="U23" s="113"/>
      <c r="V23" s="113"/>
      <c r="W23" s="113"/>
      <c r="X23" s="113"/>
      <c r="Y23" s="121"/>
      <c r="Z23" s="121"/>
      <c r="AA23" s="121"/>
      <c r="AB23" s="121"/>
      <c r="AC23" s="113"/>
      <c r="AD23" s="113"/>
      <c r="AE23" s="113"/>
      <c r="AF23" s="113"/>
    </row>
    <row r="24" spans="3:47" ht="18" customHeight="1" x14ac:dyDescent="0.15">
      <c r="C24" s="415"/>
      <c r="D24" s="415"/>
      <c r="E24" s="112"/>
      <c r="F24" s="112"/>
      <c r="G24" s="416"/>
      <c r="H24" s="416"/>
      <c r="I24" s="1228" t="s">
        <v>288</v>
      </c>
      <c r="J24" s="1229"/>
      <c r="K24" s="1229"/>
      <c r="L24" s="1230"/>
      <c r="M24" s="1228" t="s">
        <v>289</v>
      </c>
      <c r="N24" s="1229"/>
      <c r="O24" s="1229"/>
      <c r="P24" s="1230"/>
      <c r="Q24" s="1228" t="s">
        <v>290</v>
      </c>
      <c r="R24" s="1229"/>
      <c r="S24" s="1229"/>
      <c r="T24" s="1230"/>
      <c r="U24" s="1228" t="s">
        <v>377</v>
      </c>
      <c r="V24" s="1229"/>
      <c r="W24" s="1229"/>
      <c r="X24" s="1229"/>
      <c r="Y24" s="1251" t="s">
        <v>376</v>
      </c>
      <c r="Z24" s="1252"/>
      <c r="AA24" s="1252"/>
      <c r="AB24" s="1252"/>
      <c r="AC24" s="1245" t="s">
        <v>375</v>
      </c>
      <c r="AD24" s="1246"/>
      <c r="AE24" s="1246"/>
      <c r="AF24" s="1247"/>
    </row>
    <row r="25" spans="3:47" ht="18" customHeight="1" x14ac:dyDescent="0.15">
      <c r="C25" s="112"/>
      <c r="D25" s="112"/>
      <c r="E25" s="453"/>
      <c r="F25" s="414"/>
      <c r="G25" s="1226"/>
      <c r="H25" s="1227"/>
      <c r="I25" s="452"/>
      <c r="J25" s="451" t="s">
        <v>154</v>
      </c>
      <c r="K25" s="451" t="s">
        <v>153</v>
      </c>
      <c r="L25" s="447" t="s">
        <v>327</v>
      </c>
      <c r="M25" s="450"/>
      <c r="N25" s="451" t="s">
        <v>154</v>
      </c>
      <c r="O25" s="451" t="s">
        <v>153</v>
      </c>
      <c r="P25" s="447" t="s">
        <v>327</v>
      </c>
      <c r="Q25" s="450"/>
      <c r="R25" s="451" t="s">
        <v>154</v>
      </c>
      <c r="S25" s="451" t="s">
        <v>153</v>
      </c>
      <c r="T25" s="447" t="s">
        <v>327</v>
      </c>
      <c r="U25" s="450"/>
      <c r="V25" s="451" t="s">
        <v>154</v>
      </c>
      <c r="W25" s="451" t="s">
        <v>153</v>
      </c>
      <c r="X25" s="447" t="s">
        <v>327</v>
      </c>
      <c r="Y25" s="450"/>
      <c r="Z25" s="451" t="s">
        <v>154</v>
      </c>
      <c r="AA25" s="451" t="s">
        <v>153</v>
      </c>
      <c r="AB25" s="447" t="s">
        <v>327</v>
      </c>
      <c r="AC25" s="450"/>
      <c r="AD25" s="449" t="s">
        <v>154</v>
      </c>
      <c r="AE25" s="448" t="s">
        <v>153</v>
      </c>
      <c r="AF25" s="733" t="s">
        <v>327</v>
      </c>
    </row>
    <row r="26" spans="3:47" ht="18" customHeight="1" x14ac:dyDescent="0.2">
      <c r="C26" s="1220" t="s">
        <v>328</v>
      </c>
      <c r="D26" s="1220"/>
      <c r="E26" s="410"/>
      <c r="F26" s="112"/>
      <c r="G26" s="446"/>
      <c r="H26" s="445"/>
      <c r="I26" s="444"/>
      <c r="J26" s="442">
        <f>名簿入力!BT35</f>
        <v>0</v>
      </c>
      <c r="K26" s="442">
        <f>名簿入力!BU35</f>
        <v>0</v>
      </c>
      <c r="L26" s="441">
        <f>名簿入力!BV35</f>
        <v>0</v>
      </c>
      <c r="M26" s="443"/>
      <c r="N26" s="442">
        <f>名簿入力!BX35</f>
        <v>0</v>
      </c>
      <c r="O26" s="442">
        <f>名簿入力!BY35</f>
        <v>0</v>
      </c>
      <c r="P26" s="441">
        <f>名簿入力!BZ35</f>
        <v>0</v>
      </c>
      <c r="Q26" s="443"/>
      <c r="R26" s="442">
        <f>名簿入力!CB35</f>
        <v>0</v>
      </c>
      <c r="S26" s="442">
        <f>名簿入力!CC35</f>
        <v>0</v>
      </c>
      <c r="T26" s="441">
        <f>名簿入力!CD35</f>
        <v>0</v>
      </c>
      <c r="U26" s="443"/>
      <c r="V26" s="442">
        <f>名簿入力!CF35</f>
        <v>0</v>
      </c>
      <c r="W26" s="442">
        <f>名簿入力!CG35</f>
        <v>0</v>
      </c>
      <c r="X26" s="442">
        <f>名簿入力!CH35</f>
        <v>0</v>
      </c>
      <c r="Y26" s="443"/>
      <c r="Z26" s="442">
        <f>名簿入力!CJ35</f>
        <v>0</v>
      </c>
      <c r="AA26" s="442">
        <f>名簿入力!CK35</f>
        <v>0</v>
      </c>
      <c r="AB26" s="441">
        <f>名簿入力!CL35</f>
        <v>0</v>
      </c>
      <c r="AC26" s="734"/>
      <c r="AD26" s="442">
        <f>名簿入力!CN35</f>
        <v>0</v>
      </c>
      <c r="AE26" s="442">
        <f>名簿入力!CO35</f>
        <v>0</v>
      </c>
      <c r="AF26" s="441">
        <f>名簿入力!CP35</f>
        <v>0</v>
      </c>
    </row>
    <row r="27" spans="3:47" ht="18" customHeight="1" x14ac:dyDescent="0.15">
      <c r="C27" s="1202" t="s">
        <v>323</v>
      </c>
      <c r="D27" s="1203"/>
      <c r="E27" s="439"/>
      <c r="F27" s="440"/>
      <c r="G27" s="439"/>
      <c r="H27" s="438"/>
      <c r="I27" s="437"/>
      <c r="J27" s="435">
        <f>名簿入力!BT36</f>
        <v>0</v>
      </c>
      <c r="K27" s="435">
        <f>名簿入力!BU36</f>
        <v>0</v>
      </c>
      <c r="L27" s="434">
        <f>名簿入力!BV36</f>
        <v>0</v>
      </c>
      <c r="M27" s="436"/>
      <c r="N27" s="435">
        <f>名簿入力!BX36</f>
        <v>0</v>
      </c>
      <c r="O27" s="435">
        <f>名簿入力!BY36</f>
        <v>0</v>
      </c>
      <c r="P27" s="434">
        <f>名簿入力!BZ36</f>
        <v>0</v>
      </c>
      <c r="Q27" s="436"/>
      <c r="R27" s="435">
        <f>名簿入力!CB36</f>
        <v>0</v>
      </c>
      <c r="S27" s="435">
        <f>名簿入力!CC36</f>
        <v>0</v>
      </c>
      <c r="T27" s="434">
        <f>名簿入力!CD36</f>
        <v>0</v>
      </c>
      <c r="U27" s="436"/>
      <c r="V27" s="435">
        <f>名簿入力!CF36</f>
        <v>0</v>
      </c>
      <c r="W27" s="435">
        <f>名簿入力!CG36</f>
        <v>0</v>
      </c>
      <c r="X27" s="435">
        <f>名簿入力!CH36</f>
        <v>0</v>
      </c>
      <c r="Y27" s="436"/>
      <c r="Z27" s="435">
        <f>名簿入力!CJ36</f>
        <v>0</v>
      </c>
      <c r="AA27" s="435">
        <f>名簿入力!CK36</f>
        <v>0</v>
      </c>
      <c r="AB27" s="434">
        <f>名簿入力!CL36</f>
        <v>0</v>
      </c>
      <c r="AC27" s="735"/>
      <c r="AD27" s="435">
        <f>名簿入力!CN36</f>
        <v>0</v>
      </c>
      <c r="AE27" s="435">
        <f>名簿入力!CO36</f>
        <v>0</v>
      </c>
      <c r="AF27" s="434">
        <f>名簿入力!CP36</f>
        <v>0</v>
      </c>
    </row>
    <row r="28" spans="3:47" ht="18" customHeight="1" x14ac:dyDescent="0.15">
      <c r="C28" s="1200" t="s">
        <v>324</v>
      </c>
      <c r="D28" s="1201"/>
      <c r="E28" s="431"/>
      <c r="F28" s="432"/>
      <c r="G28" s="431"/>
      <c r="H28" s="430"/>
      <c r="I28" s="429"/>
      <c r="J28" s="427">
        <f>名簿入力!BT37</f>
        <v>0</v>
      </c>
      <c r="K28" s="427">
        <f>名簿入力!BU37</f>
        <v>0</v>
      </c>
      <c r="L28" s="426">
        <f>名簿入力!BV37</f>
        <v>0</v>
      </c>
      <c r="M28" s="433"/>
      <c r="N28" s="427">
        <f>名簿入力!BX37</f>
        <v>0</v>
      </c>
      <c r="O28" s="427">
        <f>名簿入力!BY37</f>
        <v>0</v>
      </c>
      <c r="P28" s="426">
        <f>名簿入力!BZ37</f>
        <v>0</v>
      </c>
      <c r="Q28" s="433"/>
      <c r="R28" s="427">
        <f>名簿入力!CB37</f>
        <v>0</v>
      </c>
      <c r="S28" s="427">
        <f>名簿入力!CC37</f>
        <v>0</v>
      </c>
      <c r="T28" s="426">
        <f>名簿入力!CD37</f>
        <v>0</v>
      </c>
      <c r="U28" s="433"/>
      <c r="V28" s="427">
        <f>名簿入力!CF37</f>
        <v>0</v>
      </c>
      <c r="W28" s="427">
        <f>名簿入力!CG37</f>
        <v>0</v>
      </c>
      <c r="X28" s="427">
        <f>名簿入力!CH37</f>
        <v>0</v>
      </c>
      <c r="Y28" s="433"/>
      <c r="Z28" s="427">
        <f>名簿入力!CJ37</f>
        <v>0</v>
      </c>
      <c r="AA28" s="427">
        <f>名簿入力!CK37</f>
        <v>0</v>
      </c>
      <c r="AB28" s="426">
        <f>名簿入力!CL37</f>
        <v>0</v>
      </c>
      <c r="AC28" s="736"/>
      <c r="AD28" s="427">
        <f>名簿入力!CN37</f>
        <v>0</v>
      </c>
      <c r="AE28" s="427">
        <f>名簿入力!CO37</f>
        <v>0</v>
      </c>
      <c r="AF28" s="426">
        <f>名簿入力!CP37</f>
        <v>0</v>
      </c>
    </row>
    <row r="29" spans="3:47" ht="18" customHeight="1" x14ac:dyDescent="0.15">
      <c r="C29" s="1200" t="s">
        <v>84</v>
      </c>
      <c r="D29" s="1201"/>
      <c r="E29" s="431"/>
      <c r="F29" s="432"/>
      <c r="G29" s="431"/>
      <c r="H29" s="430"/>
      <c r="I29" s="429"/>
      <c r="J29" s="427">
        <f>名簿入力!BT38</f>
        <v>0</v>
      </c>
      <c r="K29" s="427">
        <f>名簿入力!BU38</f>
        <v>0</v>
      </c>
      <c r="L29" s="426">
        <f>名簿入力!BV38</f>
        <v>0</v>
      </c>
      <c r="M29" s="433"/>
      <c r="N29" s="427">
        <f>名簿入力!BX38</f>
        <v>0</v>
      </c>
      <c r="O29" s="427">
        <f>名簿入力!BY38</f>
        <v>0</v>
      </c>
      <c r="P29" s="426">
        <f>名簿入力!BZ38</f>
        <v>0</v>
      </c>
      <c r="Q29" s="433"/>
      <c r="R29" s="427">
        <f>名簿入力!CB38</f>
        <v>0</v>
      </c>
      <c r="S29" s="427">
        <f>名簿入力!CC38</f>
        <v>0</v>
      </c>
      <c r="T29" s="426">
        <f>名簿入力!CD38</f>
        <v>0</v>
      </c>
      <c r="U29" s="433"/>
      <c r="V29" s="427">
        <f>名簿入力!CF38</f>
        <v>0</v>
      </c>
      <c r="W29" s="427">
        <f>名簿入力!CG38</f>
        <v>0</v>
      </c>
      <c r="X29" s="427">
        <f>名簿入力!CH38</f>
        <v>0</v>
      </c>
      <c r="Y29" s="433"/>
      <c r="Z29" s="427">
        <f>名簿入力!CJ38</f>
        <v>0</v>
      </c>
      <c r="AA29" s="427">
        <f>名簿入力!CK38</f>
        <v>0</v>
      </c>
      <c r="AB29" s="426">
        <f>名簿入力!CL38</f>
        <v>0</v>
      </c>
      <c r="AC29" s="736"/>
      <c r="AD29" s="427">
        <f>名簿入力!CN38</f>
        <v>0</v>
      </c>
      <c r="AE29" s="427">
        <f>名簿入力!CO38</f>
        <v>0</v>
      </c>
      <c r="AF29" s="426">
        <f>名簿入力!CP38</f>
        <v>0</v>
      </c>
    </row>
    <row r="30" spans="3:47" ht="18" customHeight="1" x14ac:dyDescent="0.15">
      <c r="C30" s="1200" t="s">
        <v>85</v>
      </c>
      <c r="D30" s="1201"/>
      <c r="E30" s="431"/>
      <c r="F30" s="432"/>
      <c r="G30" s="431"/>
      <c r="H30" s="430"/>
      <c r="I30" s="429"/>
      <c r="J30" s="427">
        <f>名簿入力!BT39</f>
        <v>0</v>
      </c>
      <c r="K30" s="427">
        <f>名簿入力!BU39</f>
        <v>0</v>
      </c>
      <c r="L30" s="426">
        <f>名簿入力!BV39</f>
        <v>0</v>
      </c>
      <c r="M30" s="433"/>
      <c r="N30" s="427">
        <f>名簿入力!BX39</f>
        <v>0</v>
      </c>
      <c r="O30" s="427">
        <f>名簿入力!BY39</f>
        <v>0</v>
      </c>
      <c r="P30" s="426">
        <f>名簿入力!BZ39</f>
        <v>0</v>
      </c>
      <c r="Q30" s="433"/>
      <c r="R30" s="427">
        <f>名簿入力!CB39</f>
        <v>0</v>
      </c>
      <c r="S30" s="427">
        <f>名簿入力!CC39</f>
        <v>0</v>
      </c>
      <c r="T30" s="426">
        <f>名簿入力!CD39</f>
        <v>0</v>
      </c>
      <c r="U30" s="433"/>
      <c r="V30" s="427">
        <f>名簿入力!CF39</f>
        <v>0</v>
      </c>
      <c r="W30" s="427">
        <f>名簿入力!CG39</f>
        <v>0</v>
      </c>
      <c r="X30" s="427">
        <f>名簿入力!CH39</f>
        <v>0</v>
      </c>
      <c r="Y30" s="433"/>
      <c r="Z30" s="427">
        <f>名簿入力!CJ39</f>
        <v>0</v>
      </c>
      <c r="AA30" s="427">
        <f>名簿入力!CK39</f>
        <v>0</v>
      </c>
      <c r="AB30" s="426">
        <f>名簿入力!CL39</f>
        <v>0</v>
      </c>
      <c r="AC30" s="736"/>
      <c r="AD30" s="427">
        <f>名簿入力!CN39</f>
        <v>0</v>
      </c>
      <c r="AE30" s="427">
        <f>名簿入力!CO39</f>
        <v>0</v>
      </c>
      <c r="AF30" s="426">
        <f>名簿入力!CP39</f>
        <v>0</v>
      </c>
    </row>
    <row r="31" spans="3:47" ht="18" customHeight="1" x14ac:dyDescent="0.15">
      <c r="C31" s="1200" t="s">
        <v>325</v>
      </c>
      <c r="D31" s="1201"/>
      <c r="E31" s="431"/>
      <c r="F31" s="432"/>
      <c r="G31" s="431"/>
      <c r="H31" s="430"/>
      <c r="I31" s="429"/>
      <c r="J31" s="427">
        <f>名簿入力!BT40</f>
        <v>0</v>
      </c>
      <c r="K31" s="427">
        <f>名簿入力!BU40</f>
        <v>0</v>
      </c>
      <c r="L31" s="426">
        <f>名簿入力!BV40</f>
        <v>0</v>
      </c>
      <c r="M31" s="433"/>
      <c r="N31" s="427">
        <f>名簿入力!BX40</f>
        <v>0</v>
      </c>
      <c r="O31" s="427">
        <f>名簿入力!BY40</f>
        <v>0</v>
      </c>
      <c r="P31" s="426">
        <f>名簿入力!BZ40</f>
        <v>0</v>
      </c>
      <c r="Q31" s="433"/>
      <c r="R31" s="427">
        <f>名簿入力!CB40</f>
        <v>0</v>
      </c>
      <c r="S31" s="427">
        <f>名簿入力!CC40</f>
        <v>0</v>
      </c>
      <c r="T31" s="426">
        <f>名簿入力!CD40</f>
        <v>0</v>
      </c>
      <c r="U31" s="433"/>
      <c r="V31" s="427">
        <f>名簿入力!CF40</f>
        <v>0</v>
      </c>
      <c r="W31" s="427">
        <f>名簿入力!CG40</f>
        <v>0</v>
      </c>
      <c r="X31" s="427">
        <f>名簿入力!CH40</f>
        <v>0</v>
      </c>
      <c r="Y31" s="433"/>
      <c r="Z31" s="427">
        <f>名簿入力!CJ40</f>
        <v>0</v>
      </c>
      <c r="AA31" s="427">
        <f>名簿入力!CK40</f>
        <v>0</v>
      </c>
      <c r="AB31" s="426">
        <f>名簿入力!CL40</f>
        <v>0</v>
      </c>
      <c r="AC31" s="736"/>
      <c r="AD31" s="427">
        <f>名簿入力!CN40</f>
        <v>0</v>
      </c>
      <c r="AE31" s="427">
        <f>名簿入力!CO40</f>
        <v>0</v>
      </c>
      <c r="AF31" s="426">
        <f>名簿入力!CP40</f>
        <v>0</v>
      </c>
    </row>
    <row r="32" spans="3:47" ht="18" customHeight="1" x14ac:dyDescent="0.15">
      <c r="C32" s="1200" t="s">
        <v>326</v>
      </c>
      <c r="D32" s="1201"/>
      <c r="E32" s="431"/>
      <c r="F32" s="432"/>
      <c r="G32" s="431"/>
      <c r="H32" s="430"/>
      <c r="I32" s="429"/>
      <c r="J32" s="427">
        <f>名簿入力!BT41</f>
        <v>0</v>
      </c>
      <c r="K32" s="427">
        <f>名簿入力!BU41</f>
        <v>0</v>
      </c>
      <c r="L32" s="426">
        <f>名簿入力!BV41</f>
        <v>0</v>
      </c>
      <c r="M32" s="428"/>
      <c r="N32" s="427">
        <f>名簿入力!BX41</f>
        <v>0</v>
      </c>
      <c r="O32" s="427">
        <f>名簿入力!BY41</f>
        <v>0</v>
      </c>
      <c r="P32" s="426">
        <f>名簿入力!BZ41</f>
        <v>0</v>
      </c>
      <c r="Q32" s="428"/>
      <c r="R32" s="427">
        <f>名簿入力!CB41</f>
        <v>0</v>
      </c>
      <c r="S32" s="427">
        <f>名簿入力!CC41</f>
        <v>0</v>
      </c>
      <c r="T32" s="426">
        <f>名簿入力!CD41</f>
        <v>0</v>
      </c>
      <c r="U32" s="428"/>
      <c r="V32" s="427">
        <f>名簿入力!CF41</f>
        <v>0</v>
      </c>
      <c r="W32" s="427">
        <f>名簿入力!CG41</f>
        <v>0</v>
      </c>
      <c r="X32" s="427">
        <f>名簿入力!CH41</f>
        <v>0</v>
      </c>
      <c r="Y32" s="428"/>
      <c r="Z32" s="427">
        <f>名簿入力!CJ41</f>
        <v>0</v>
      </c>
      <c r="AA32" s="427">
        <f>名簿入力!CK41</f>
        <v>0</v>
      </c>
      <c r="AB32" s="426">
        <f>名簿入力!CL41</f>
        <v>0</v>
      </c>
      <c r="AC32" s="736"/>
      <c r="AD32" s="427">
        <f>名簿入力!CN41</f>
        <v>0</v>
      </c>
      <c r="AE32" s="427">
        <f>名簿入力!CO41</f>
        <v>0</v>
      </c>
      <c r="AF32" s="426">
        <f>名簿入力!CP41</f>
        <v>0</v>
      </c>
    </row>
    <row r="33" spans="3:32" ht="18" customHeight="1" x14ac:dyDescent="0.15">
      <c r="C33" s="1207" t="s">
        <v>363</v>
      </c>
      <c r="D33" s="1208"/>
      <c r="E33" s="424"/>
      <c r="F33" s="425"/>
      <c r="G33" s="424"/>
      <c r="H33" s="423"/>
      <c r="I33" s="422"/>
      <c r="J33" s="420">
        <f>名簿入力!BT42</f>
        <v>0</v>
      </c>
      <c r="K33" s="420">
        <f>名簿入力!BU42</f>
        <v>0</v>
      </c>
      <c r="L33" s="419">
        <f>名簿入力!BV42</f>
        <v>0</v>
      </c>
      <c r="M33" s="421"/>
      <c r="N33" s="420">
        <f>名簿入力!BX42</f>
        <v>0</v>
      </c>
      <c r="O33" s="420">
        <f>名簿入力!BY42</f>
        <v>0</v>
      </c>
      <c r="P33" s="419">
        <f>名簿入力!BZ42</f>
        <v>0</v>
      </c>
      <c r="Q33" s="421"/>
      <c r="R33" s="420">
        <f>名簿入力!CB42</f>
        <v>0</v>
      </c>
      <c r="S33" s="420">
        <f>名簿入力!CC42</f>
        <v>0</v>
      </c>
      <c r="T33" s="419">
        <f>名簿入力!CD42</f>
        <v>0</v>
      </c>
      <c r="U33" s="421"/>
      <c r="V33" s="420">
        <f>名簿入力!CF42</f>
        <v>0</v>
      </c>
      <c r="W33" s="420">
        <f>名簿入力!CG42</f>
        <v>0</v>
      </c>
      <c r="X33" s="419">
        <f>名簿入力!CH42</f>
        <v>0</v>
      </c>
      <c r="Y33" s="421"/>
      <c r="Z33" s="420">
        <f>名簿入力!CJ42</f>
        <v>0</v>
      </c>
      <c r="AA33" s="420">
        <f>名簿入力!CK42</f>
        <v>0</v>
      </c>
      <c r="AB33" s="419">
        <f>名簿入力!CL42</f>
        <v>0</v>
      </c>
      <c r="AC33" s="737"/>
      <c r="AD33" s="420">
        <f>名簿入力!CN42</f>
        <v>0</v>
      </c>
      <c r="AE33" s="420">
        <f>名簿入力!CO42</f>
        <v>0</v>
      </c>
      <c r="AF33" s="419">
        <f>名簿入力!CP42</f>
        <v>0</v>
      </c>
    </row>
    <row r="34" spans="3:32" ht="18" customHeight="1" x14ac:dyDescent="0.15">
      <c r="C34" s="415"/>
      <c r="D34" s="415"/>
      <c r="E34" s="418"/>
      <c r="F34" s="418"/>
      <c r="G34" s="417"/>
      <c r="H34" s="417"/>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row>
    <row r="35" spans="3:32" ht="18" customHeight="1" x14ac:dyDescent="0.15">
      <c r="C35" s="415" t="s">
        <v>362</v>
      </c>
      <c r="D35" s="415"/>
      <c r="E35" s="112"/>
      <c r="F35" s="112"/>
      <c r="G35" s="416"/>
      <c r="H35" s="416"/>
      <c r="I35" s="112"/>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row>
    <row r="36" spans="3:32" ht="18" customHeight="1" x14ac:dyDescent="0.15">
      <c r="C36" s="415"/>
      <c r="D36" s="415"/>
      <c r="E36" s="112"/>
      <c r="F36" s="414"/>
      <c r="G36" s="413"/>
      <c r="H36" s="413"/>
      <c r="I36" s="112"/>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row>
    <row r="37" spans="3:32" ht="18" customHeight="1" x14ac:dyDescent="0.15">
      <c r="C37" s="412"/>
      <c r="D37" s="412"/>
      <c r="E37" s="412"/>
      <c r="F37" s="411" t="s">
        <v>78</v>
      </c>
      <c r="G37" s="1209">
        <f>SUM(G39:H45)</f>
        <v>0</v>
      </c>
      <c r="H37" s="1210"/>
      <c r="I37" s="1209">
        <f>SUM(I39:J45)</f>
        <v>0</v>
      </c>
      <c r="J37" s="1211"/>
      <c r="K37" s="1212" t="s">
        <v>79</v>
      </c>
      <c r="L37" s="1213"/>
      <c r="M37" s="1209">
        <f>SUM(M39:N45)</f>
        <v>0</v>
      </c>
      <c r="N37" s="1210"/>
      <c r="O37" s="1209">
        <f>SUM(O39:P45)</f>
        <v>0</v>
      </c>
      <c r="P37" s="1211"/>
      <c r="Q37" s="396"/>
      <c r="R37" s="396"/>
      <c r="S37" s="396"/>
      <c r="T37" s="396"/>
      <c r="U37" s="396"/>
      <c r="V37" s="396"/>
      <c r="W37" s="396"/>
      <c r="X37" s="396"/>
      <c r="Y37" s="396"/>
      <c r="Z37" s="396"/>
      <c r="AA37" s="396"/>
      <c r="AB37" s="396"/>
      <c r="AC37" s="396"/>
      <c r="AD37" s="396"/>
      <c r="AE37" s="396"/>
      <c r="AF37" s="396"/>
    </row>
    <row r="38" spans="3:32" ht="18" customHeight="1" x14ac:dyDescent="0.15">
      <c r="C38" s="1214" t="s">
        <v>328</v>
      </c>
      <c r="D38" s="1214"/>
      <c r="E38" s="410">
        <f>SUM(E39:E45)</f>
        <v>0</v>
      </c>
      <c r="F38" s="409">
        <f>SUM(F39:F45)</f>
        <v>0</v>
      </c>
      <c r="G38" s="1215" t="s">
        <v>155</v>
      </c>
      <c r="H38" s="1216"/>
      <c r="I38" s="1215" t="s">
        <v>322</v>
      </c>
      <c r="J38" s="1217"/>
      <c r="K38" s="1218">
        <f>SUM(K39:L45)</f>
        <v>0</v>
      </c>
      <c r="L38" s="1219"/>
      <c r="M38" s="1215" t="s">
        <v>155</v>
      </c>
      <c r="N38" s="1216"/>
      <c r="O38" s="1215" t="s">
        <v>322</v>
      </c>
      <c r="P38" s="1217"/>
      <c r="Q38" s="396"/>
      <c r="R38" s="396"/>
      <c r="S38" s="396"/>
      <c r="T38" s="396"/>
      <c r="U38" s="396"/>
      <c r="V38" s="396"/>
      <c r="W38" s="396"/>
      <c r="X38" s="396"/>
      <c r="Y38" s="396"/>
      <c r="Z38" s="396"/>
      <c r="AA38" s="396"/>
      <c r="AB38" s="396"/>
      <c r="AC38" s="396"/>
      <c r="AD38" s="396"/>
      <c r="AE38" s="396"/>
      <c r="AF38" s="396"/>
    </row>
    <row r="39" spans="3:32" ht="18" customHeight="1" x14ac:dyDescent="0.15">
      <c r="C39" s="1202" t="s">
        <v>323</v>
      </c>
      <c r="D39" s="1203"/>
      <c r="E39" s="408">
        <f>名簿入力!BP5</f>
        <v>0</v>
      </c>
      <c r="F39" s="405">
        <f>名簿入力!BQ5</f>
        <v>0</v>
      </c>
      <c r="G39" s="1204">
        <f>名簿入力!BS5</f>
        <v>0</v>
      </c>
      <c r="H39" s="1205"/>
      <c r="I39" s="1204">
        <f>名簿入力!BU5</f>
        <v>0</v>
      </c>
      <c r="J39" s="1205"/>
      <c r="K39" s="1191">
        <f>名簿入力!BW5</f>
        <v>0</v>
      </c>
      <c r="L39" s="1192"/>
      <c r="M39" s="1204">
        <f>名簿入力!BY5</f>
        <v>0</v>
      </c>
      <c r="N39" s="1205"/>
      <c r="O39" s="1204">
        <f>名簿入力!CA5</f>
        <v>0</v>
      </c>
      <c r="P39" s="1206"/>
      <c r="Q39" s="396"/>
      <c r="R39" s="396"/>
      <c r="S39" s="396"/>
      <c r="T39" s="396"/>
      <c r="U39" s="396"/>
      <c r="V39" s="396"/>
      <c r="W39" s="396"/>
      <c r="X39" s="396"/>
      <c r="Y39" s="396"/>
      <c r="Z39" s="396"/>
      <c r="AA39" s="396"/>
      <c r="AB39" s="396"/>
      <c r="AC39" s="396"/>
      <c r="AD39" s="396"/>
      <c r="AE39" s="396"/>
      <c r="AF39" s="396"/>
    </row>
    <row r="40" spans="3:32" ht="18" customHeight="1" x14ac:dyDescent="0.15">
      <c r="C40" s="1200" t="s">
        <v>324</v>
      </c>
      <c r="D40" s="1201"/>
      <c r="E40" s="406">
        <f>名簿入力!BP6</f>
        <v>0</v>
      </c>
      <c r="F40" s="405">
        <f>名簿入力!BQ6</f>
        <v>0</v>
      </c>
      <c r="G40" s="1189">
        <f>名簿入力!BS6</f>
        <v>0</v>
      </c>
      <c r="H40" s="1190"/>
      <c r="I40" s="1189">
        <f>名簿入力!BU6</f>
        <v>0</v>
      </c>
      <c r="J40" s="1190"/>
      <c r="K40" s="1191">
        <f>名簿入力!BW6</f>
        <v>0</v>
      </c>
      <c r="L40" s="1192"/>
      <c r="M40" s="1189">
        <f>名簿入力!BY6</f>
        <v>0</v>
      </c>
      <c r="N40" s="1190"/>
      <c r="O40" s="1189">
        <f>名簿入力!CA6</f>
        <v>0</v>
      </c>
      <c r="P40" s="1193"/>
      <c r="Q40" s="396"/>
      <c r="R40" s="396"/>
      <c r="S40" s="396"/>
      <c r="T40" s="396"/>
      <c r="U40" s="396"/>
      <c r="V40" s="396"/>
      <c r="W40" s="396"/>
      <c r="X40" s="396"/>
      <c r="Y40" s="396"/>
      <c r="Z40" s="396"/>
      <c r="AA40" s="396"/>
      <c r="AB40" s="396"/>
      <c r="AC40" s="396"/>
      <c r="AD40" s="396"/>
      <c r="AE40" s="396"/>
      <c r="AF40" s="396"/>
    </row>
    <row r="41" spans="3:32" ht="18" customHeight="1" x14ac:dyDescent="0.15">
      <c r="C41" s="1200" t="s">
        <v>84</v>
      </c>
      <c r="D41" s="1201"/>
      <c r="E41" s="406">
        <f>名簿入力!BP7</f>
        <v>0</v>
      </c>
      <c r="F41" s="405">
        <f>名簿入力!BQ7</f>
        <v>0</v>
      </c>
      <c r="G41" s="1189">
        <f>名簿入力!BS7</f>
        <v>0</v>
      </c>
      <c r="H41" s="1190"/>
      <c r="I41" s="1189">
        <f>名簿入力!BU7</f>
        <v>0</v>
      </c>
      <c r="J41" s="1190"/>
      <c r="K41" s="1191">
        <f>名簿入力!BW7</f>
        <v>0</v>
      </c>
      <c r="L41" s="1192"/>
      <c r="M41" s="1189">
        <f>名簿入力!BY7</f>
        <v>0</v>
      </c>
      <c r="N41" s="1190"/>
      <c r="O41" s="1189">
        <f>名簿入力!CA7</f>
        <v>0</v>
      </c>
      <c r="P41" s="1193"/>
      <c r="Q41" s="396"/>
      <c r="R41" s="396"/>
      <c r="S41" s="396"/>
      <c r="T41" s="396"/>
      <c r="U41" s="396"/>
      <c r="V41" s="396"/>
      <c r="W41" s="396"/>
      <c r="X41" s="397"/>
      <c r="Y41" s="396"/>
      <c r="Z41" s="396"/>
      <c r="AA41" s="396"/>
      <c r="AB41" s="396"/>
      <c r="AC41" s="396"/>
      <c r="AD41" s="396"/>
      <c r="AE41" s="396"/>
      <c r="AF41" s="396"/>
    </row>
    <row r="42" spans="3:32" ht="18" customHeight="1" x14ac:dyDescent="0.15">
      <c r="C42" s="1187" t="s">
        <v>85</v>
      </c>
      <c r="D42" s="1188"/>
      <c r="E42" s="406">
        <f>名簿入力!BP8</f>
        <v>0</v>
      </c>
      <c r="F42" s="405">
        <f>名簿入力!BQ8</f>
        <v>0</v>
      </c>
      <c r="G42" s="1189">
        <f>名簿入力!BS8</f>
        <v>0</v>
      </c>
      <c r="H42" s="1190"/>
      <c r="I42" s="1189">
        <f>名簿入力!BU8</f>
        <v>0</v>
      </c>
      <c r="J42" s="1190"/>
      <c r="K42" s="1191">
        <f>名簿入力!BW8</f>
        <v>0</v>
      </c>
      <c r="L42" s="1192"/>
      <c r="M42" s="1189">
        <f>名簿入力!BY8</f>
        <v>0</v>
      </c>
      <c r="N42" s="1190"/>
      <c r="O42" s="1189">
        <f>名簿入力!CA8</f>
        <v>0</v>
      </c>
      <c r="P42" s="1193"/>
      <c r="Q42" s="396"/>
      <c r="R42" s="396"/>
      <c r="S42" s="396"/>
      <c r="T42" s="396"/>
      <c r="U42" s="396"/>
      <c r="V42" s="396"/>
      <c r="W42" s="396"/>
      <c r="X42" s="396"/>
      <c r="Y42" s="396"/>
      <c r="Z42" s="396"/>
      <c r="AA42" s="396"/>
      <c r="AB42" s="396"/>
      <c r="AC42" s="396"/>
      <c r="AD42" s="396"/>
      <c r="AE42" s="396"/>
      <c r="AF42" s="396"/>
    </row>
    <row r="43" spans="3:32" ht="18" customHeight="1" x14ac:dyDescent="0.15">
      <c r="C43" s="1187" t="s">
        <v>325</v>
      </c>
      <c r="D43" s="1188"/>
      <c r="E43" s="406">
        <f>名簿入力!BP9</f>
        <v>0</v>
      </c>
      <c r="F43" s="405">
        <f>名簿入力!BQ9</f>
        <v>0</v>
      </c>
      <c r="G43" s="1189">
        <f>名簿入力!BS9</f>
        <v>0</v>
      </c>
      <c r="H43" s="1190"/>
      <c r="I43" s="1189">
        <f>名簿入力!BU9</f>
        <v>0</v>
      </c>
      <c r="J43" s="1190"/>
      <c r="K43" s="1191">
        <f>名簿入力!BW9</f>
        <v>0</v>
      </c>
      <c r="L43" s="1192"/>
      <c r="M43" s="1189">
        <f>名簿入力!BY9</f>
        <v>0</v>
      </c>
      <c r="N43" s="1190"/>
      <c r="O43" s="1189">
        <f>名簿入力!CA9</f>
        <v>0</v>
      </c>
      <c r="P43" s="1193"/>
      <c r="Q43" s="396"/>
      <c r="R43" s="396"/>
      <c r="S43" s="396"/>
      <c r="T43" s="396"/>
      <c r="U43" s="407"/>
      <c r="V43" s="396"/>
      <c r="W43" s="396"/>
      <c r="X43" s="396"/>
      <c r="Y43" s="396"/>
      <c r="Z43" s="396"/>
      <c r="AA43" s="396"/>
      <c r="AB43" s="396"/>
      <c r="AC43" s="396"/>
      <c r="AD43" s="396"/>
      <c r="AE43" s="396"/>
      <c r="AF43" s="396"/>
    </row>
    <row r="44" spans="3:32" ht="18" customHeight="1" x14ac:dyDescent="0.15">
      <c r="C44" s="1187" t="s">
        <v>326</v>
      </c>
      <c r="D44" s="1188"/>
      <c r="E44" s="406">
        <f>名簿入力!BP10</f>
        <v>0</v>
      </c>
      <c r="F44" s="405">
        <f>名簿入力!BQ10</f>
        <v>0</v>
      </c>
      <c r="G44" s="1189">
        <f>名簿入力!BS10</f>
        <v>0</v>
      </c>
      <c r="H44" s="1190"/>
      <c r="I44" s="1189">
        <f>名簿入力!BU10</f>
        <v>0</v>
      </c>
      <c r="J44" s="1190"/>
      <c r="K44" s="1191">
        <f>名簿入力!BW10</f>
        <v>0</v>
      </c>
      <c r="L44" s="1192"/>
      <c r="M44" s="1189">
        <f>名簿入力!BY10</f>
        <v>0</v>
      </c>
      <c r="N44" s="1190"/>
      <c r="O44" s="1189">
        <f>名簿入力!CA10</f>
        <v>0</v>
      </c>
      <c r="P44" s="1193"/>
      <c r="Q44" s="396"/>
      <c r="R44" s="396"/>
      <c r="S44" s="396"/>
      <c r="T44" s="396"/>
      <c r="U44" s="396"/>
      <c r="V44" s="396"/>
      <c r="W44" s="396"/>
      <c r="X44" s="396"/>
      <c r="Y44" s="396"/>
      <c r="Z44" s="396"/>
      <c r="AA44" s="396"/>
      <c r="AB44" s="396"/>
      <c r="AC44" s="396"/>
      <c r="AD44" s="396"/>
      <c r="AE44" s="396"/>
      <c r="AF44" s="396"/>
    </row>
    <row r="45" spans="3:32" ht="18" customHeight="1" x14ac:dyDescent="0.15">
      <c r="C45" s="1196" t="s">
        <v>361</v>
      </c>
      <c r="D45" s="1197"/>
      <c r="E45" s="404">
        <f>名簿入力!BP11</f>
        <v>0</v>
      </c>
      <c r="F45" s="403">
        <f>名簿入力!BQ11</f>
        <v>0</v>
      </c>
      <c r="G45" s="1185">
        <f>名簿入力!BS11</f>
        <v>0</v>
      </c>
      <c r="H45" s="1198"/>
      <c r="I45" s="1185">
        <f>名簿入力!BU11</f>
        <v>0</v>
      </c>
      <c r="J45" s="1186"/>
      <c r="K45" s="1191">
        <f>名簿入力!BW11</f>
        <v>0</v>
      </c>
      <c r="L45" s="1192"/>
      <c r="M45" s="1185">
        <f>名簿入力!BY11</f>
        <v>0</v>
      </c>
      <c r="N45" s="1199"/>
      <c r="O45" s="1185">
        <f>名簿入力!CA11</f>
        <v>0</v>
      </c>
      <c r="P45" s="1186"/>
      <c r="Q45" s="396"/>
      <c r="R45" s="396"/>
      <c r="S45" s="396"/>
      <c r="T45" s="396"/>
      <c r="U45" s="396"/>
      <c r="V45" s="396"/>
      <c r="W45" s="396"/>
      <c r="X45" s="397"/>
      <c r="Y45" s="396"/>
      <c r="Z45" s="396"/>
      <c r="AA45" s="396"/>
      <c r="AB45" s="396"/>
      <c r="AC45" s="396"/>
      <c r="AD45" s="396"/>
      <c r="AE45" s="396"/>
      <c r="AF45" s="396"/>
    </row>
    <row r="46" spans="3:32" ht="18" customHeight="1" x14ac:dyDescent="0.15">
      <c r="C46" s="402"/>
      <c r="D46" s="402"/>
      <c r="E46" s="401"/>
      <c r="F46" s="400"/>
      <c r="G46" s="398"/>
      <c r="H46" s="398"/>
      <c r="I46" s="398"/>
      <c r="J46" s="398"/>
      <c r="K46" s="399"/>
      <c r="L46" s="399"/>
      <c r="M46" s="398"/>
      <c r="N46" s="398"/>
      <c r="O46" s="398"/>
      <c r="P46" s="398"/>
      <c r="Q46" s="396"/>
      <c r="R46" s="396"/>
      <c r="S46" s="396"/>
      <c r="T46" s="396"/>
      <c r="U46" s="396"/>
      <c r="V46" s="396"/>
      <c r="W46" s="396"/>
      <c r="X46" s="396"/>
      <c r="Y46" s="396"/>
      <c r="Z46" s="396"/>
      <c r="AA46" s="396"/>
      <c r="AB46" s="397"/>
      <c r="AC46" s="396"/>
      <c r="AD46" s="396"/>
      <c r="AE46" s="396"/>
      <c r="AF46" s="396"/>
    </row>
  </sheetData>
  <dataConsolidate/>
  <mergeCells count="291">
    <mergeCell ref="Y24:AB24"/>
    <mergeCell ref="AC24:AF24"/>
    <mergeCell ref="AJ3:AK3"/>
    <mergeCell ref="AL3:AM3"/>
    <mergeCell ref="AN3:AO3"/>
    <mergeCell ref="AP3:AQ3"/>
    <mergeCell ref="AR3:AS3"/>
    <mergeCell ref="AT3:AU3"/>
    <mergeCell ref="I3:L3"/>
    <mergeCell ref="K8:L8"/>
    <mergeCell ref="M8:N8"/>
    <mergeCell ref="I9:J9"/>
    <mergeCell ref="K9:L9"/>
    <mergeCell ref="M9:N9"/>
    <mergeCell ref="I10:J10"/>
    <mergeCell ref="K10:L10"/>
    <mergeCell ref="M10:N10"/>
    <mergeCell ref="I11:J11"/>
    <mergeCell ref="K11:L11"/>
    <mergeCell ref="M11:N11"/>
    <mergeCell ref="I12:J12"/>
    <mergeCell ref="K12:L12"/>
    <mergeCell ref="O17:P17"/>
    <mergeCell ref="O18:P18"/>
    <mergeCell ref="C9:D9"/>
    <mergeCell ref="C10:D10"/>
    <mergeCell ref="C11:D11"/>
    <mergeCell ref="C12:D12"/>
    <mergeCell ref="C18:D18"/>
    <mergeCell ref="I20:J20"/>
    <mergeCell ref="K19:L19"/>
    <mergeCell ref="K20:L20"/>
    <mergeCell ref="I4:J4"/>
    <mergeCell ref="K4:L4"/>
    <mergeCell ref="C5:D5"/>
    <mergeCell ref="C6:D6"/>
    <mergeCell ref="I6:J6"/>
    <mergeCell ref="K6:L6"/>
    <mergeCell ref="C15:D15"/>
    <mergeCell ref="I15:J15"/>
    <mergeCell ref="K15:L15"/>
    <mergeCell ref="C17:D17"/>
    <mergeCell ref="C7:D7"/>
    <mergeCell ref="C8:D8"/>
    <mergeCell ref="C19:D19"/>
    <mergeCell ref="C20:D20"/>
    <mergeCell ref="I19:J19"/>
    <mergeCell ref="I8:J8"/>
    <mergeCell ref="I17:J17"/>
    <mergeCell ref="I18:J18"/>
    <mergeCell ref="I21:J21"/>
    <mergeCell ref="K17:L17"/>
    <mergeCell ref="K18:L18"/>
    <mergeCell ref="O19:P19"/>
    <mergeCell ref="O20:P20"/>
    <mergeCell ref="M19:N19"/>
    <mergeCell ref="M20:N20"/>
    <mergeCell ref="M17:N17"/>
    <mergeCell ref="M18:N18"/>
    <mergeCell ref="K21:L21"/>
    <mergeCell ref="M21:N21"/>
    <mergeCell ref="O11:P11"/>
    <mergeCell ref="M3:P3"/>
    <mergeCell ref="Q3:T3"/>
    <mergeCell ref="U3:X3"/>
    <mergeCell ref="Y3:AB3"/>
    <mergeCell ref="Y4:Z4"/>
    <mergeCell ref="AA4:AB4"/>
    <mergeCell ref="U6:V6"/>
    <mergeCell ref="W6:X6"/>
    <mergeCell ref="M6:N6"/>
    <mergeCell ref="O6:P6"/>
    <mergeCell ref="Q6:R6"/>
    <mergeCell ref="S6:T6"/>
    <mergeCell ref="Y6:Z6"/>
    <mergeCell ref="AA6:AB6"/>
    <mergeCell ref="O8:P8"/>
    <mergeCell ref="Q8:R8"/>
    <mergeCell ref="S8:T8"/>
    <mergeCell ref="U8:V8"/>
    <mergeCell ref="W8:X8"/>
    <mergeCell ref="Y8:Z8"/>
    <mergeCell ref="AA8:AB8"/>
    <mergeCell ref="O10:P10"/>
    <mergeCell ref="Q10:R10"/>
    <mergeCell ref="AC3:AF3"/>
    <mergeCell ref="M4:N4"/>
    <mergeCell ref="O4:P4"/>
    <mergeCell ref="Q4:R4"/>
    <mergeCell ref="S4:T4"/>
    <mergeCell ref="U4:V4"/>
    <mergeCell ref="W4:X4"/>
    <mergeCell ref="AC4:AD4"/>
    <mergeCell ref="AE4:AF4"/>
    <mergeCell ref="AC6:AD6"/>
    <mergeCell ref="AE6:AF6"/>
    <mergeCell ref="I7:J7"/>
    <mergeCell ref="K7:L7"/>
    <mergeCell ref="M7:N7"/>
    <mergeCell ref="O7:P7"/>
    <mergeCell ref="Q7:R7"/>
    <mergeCell ref="S7:T7"/>
    <mergeCell ref="U7:V7"/>
    <mergeCell ref="W7:X7"/>
    <mergeCell ref="Y7:Z7"/>
    <mergeCell ref="AA7:AB7"/>
    <mergeCell ref="AC7:AD7"/>
    <mergeCell ref="AE7:AF7"/>
    <mergeCell ref="AC8:AD8"/>
    <mergeCell ref="AE8:AF8"/>
    <mergeCell ref="O9:P9"/>
    <mergeCell ref="Q9:R9"/>
    <mergeCell ref="S9:T9"/>
    <mergeCell ref="U9:V9"/>
    <mergeCell ref="W9:X9"/>
    <mergeCell ref="Y9:Z9"/>
    <mergeCell ref="AA9:AB9"/>
    <mergeCell ref="AC9:AD9"/>
    <mergeCell ref="AE9:AF9"/>
    <mergeCell ref="S10:T10"/>
    <mergeCell ref="U10:V10"/>
    <mergeCell ref="W10:X10"/>
    <mergeCell ref="Y10:Z10"/>
    <mergeCell ref="AA10:AB10"/>
    <mergeCell ref="AC10:AD10"/>
    <mergeCell ref="AE10:AF10"/>
    <mergeCell ref="Q11:R11"/>
    <mergeCell ref="S11:T11"/>
    <mergeCell ref="U11:V11"/>
    <mergeCell ref="W11:X11"/>
    <mergeCell ref="Y11:Z11"/>
    <mergeCell ref="AA11:AB11"/>
    <mergeCell ref="AC11:AD11"/>
    <mergeCell ref="AE11:AF11"/>
    <mergeCell ref="AE12:AF12"/>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M12:N12"/>
    <mergeCell ref="O12:P12"/>
    <mergeCell ref="Q12:R12"/>
    <mergeCell ref="S12:T12"/>
    <mergeCell ref="U12:V12"/>
    <mergeCell ref="W12:X12"/>
    <mergeCell ref="Y12:Z12"/>
    <mergeCell ref="AA12:AB12"/>
    <mergeCell ref="AC12:AD12"/>
    <mergeCell ref="AE15:AF15"/>
    <mergeCell ref="C16:D16"/>
    <mergeCell ref="I16:J16"/>
    <mergeCell ref="K16:L16"/>
    <mergeCell ref="M16:N16"/>
    <mergeCell ref="O16:P16"/>
    <mergeCell ref="Q16:R16"/>
    <mergeCell ref="S16:T16"/>
    <mergeCell ref="U16:V16"/>
    <mergeCell ref="W16:X16"/>
    <mergeCell ref="Y16:Z16"/>
    <mergeCell ref="AA16:AB16"/>
    <mergeCell ref="AC16:AD16"/>
    <mergeCell ref="AE16:AF16"/>
    <mergeCell ref="M15:N15"/>
    <mergeCell ref="O15:P15"/>
    <mergeCell ref="Q15:R15"/>
    <mergeCell ref="S15:T15"/>
    <mergeCell ref="U15:V15"/>
    <mergeCell ref="W15:X15"/>
    <mergeCell ref="Y15:Z15"/>
    <mergeCell ref="AA15:AB15"/>
    <mergeCell ref="AC15:AD15"/>
    <mergeCell ref="Q17:R17"/>
    <mergeCell ref="S17:T17"/>
    <mergeCell ref="U17:V17"/>
    <mergeCell ref="W17:X17"/>
    <mergeCell ref="Y17:Z17"/>
    <mergeCell ref="AA17:AB17"/>
    <mergeCell ref="AC17:AD17"/>
    <mergeCell ref="AE17:AF17"/>
    <mergeCell ref="Q18:R18"/>
    <mergeCell ref="S18:T18"/>
    <mergeCell ref="U18:V18"/>
    <mergeCell ref="W18:X18"/>
    <mergeCell ref="Y18:Z18"/>
    <mergeCell ref="AA18:AB18"/>
    <mergeCell ref="AC18:AD18"/>
    <mergeCell ref="AE18:AF18"/>
    <mergeCell ref="AC20:AD20"/>
    <mergeCell ref="AE20:AF20"/>
    <mergeCell ref="Q19:R19"/>
    <mergeCell ref="S19:T19"/>
    <mergeCell ref="U19:V19"/>
    <mergeCell ref="W19:X19"/>
    <mergeCell ref="Y19:Z19"/>
    <mergeCell ref="AA19:AB19"/>
    <mergeCell ref="Y21:Z21"/>
    <mergeCell ref="AA21:AB21"/>
    <mergeCell ref="AC19:AD19"/>
    <mergeCell ref="AE19:AF19"/>
    <mergeCell ref="Q20:R20"/>
    <mergeCell ref="S20:T20"/>
    <mergeCell ref="U20:V20"/>
    <mergeCell ref="W20:X20"/>
    <mergeCell ref="Y20:Z20"/>
    <mergeCell ref="AA20:AB20"/>
    <mergeCell ref="AC21:AD21"/>
    <mergeCell ref="AE21:AF21"/>
    <mergeCell ref="C26:D26"/>
    <mergeCell ref="C27:D27"/>
    <mergeCell ref="C28:D28"/>
    <mergeCell ref="C29:D29"/>
    <mergeCell ref="Q21:R21"/>
    <mergeCell ref="S21:T21"/>
    <mergeCell ref="U21:V21"/>
    <mergeCell ref="W21:X21"/>
    <mergeCell ref="C30:D30"/>
    <mergeCell ref="G25:H25"/>
    <mergeCell ref="C21:D21"/>
    <mergeCell ref="I24:L24"/>
    <mergeCell ref="M24:P24"/>
    <mergeCell ref="Q24:T24"/>
    <mergeCell ref="U24:X24"/>
    <mergeCell ref="O21:P21"/>
    <mergeCell ref="C31:D31"/>
    <mergeCell ref="C32:D32"/>
    <mergeCell ref="C33:D33"/>
    <mergeCell ref="G37:H37"/>
    <mergeCell ref="I37:J37"/>
    <mergeCell ref="K37:L37"/>
    <mergeCell ref="M37:N37"/>
    <mergeCell ref="O37:P37"/>
    <mergeCell ref="C38:D38"/>
    <mergeCell ref="G38:H38"/>
    <mergeCell ref="I38:J38"/>
    <mergeCell ref="K38:L38"/>
    <mergeCell ref="M38:N38"/>
    <mergeCell ref="O38:P38"/>
    <mergeCell ref="C39:D39"/>
    <mergeCell ref="G39:H39"/>
    <mergeCell ref="I39:J39"/>
    <mergeCell ref="K39:L39"/>
    <mergeCell ref="M39:N39"/>
    <mergeCell ref="O39:P39"/>
    <mergeCell ref="C40:D40"/>
    <mergeCell ref="G40:H40"/>
    <mergeCell ref="I40:J40"/>
    <mergeCell ref="K40:L40"/>
    <mergeCell ref="M40:N40"/>
    <mergeCell ref="O40:P40"/>
    <mergeCell ref="O41:P41"/>
    <mergeCell ref="M43:N43"/>
    <mergeCell ref="O43:P43"/>
    <mergeCell ref="C42:D42"/>
    <mergeCell ref="G42:H42"/>
    <mergeCell ref="I42:J42"/>
    <mergeCell ref="K42:L42"/>
    <mergeCell ref="M42:N42"/>
    <mergeCell ref="O42:P42"/>
    <mergeCell ref="I1:AF2"/>
    <mergeCell ref="C1:C2"/>
    <mergeCell ref="O45:P45"/>
    <mergeCell ref="C44:D44"/>
    <mergeCell ref="G44:H44"/>
    <mergeCell ref="I44:J44"/>
    <mergeCell ref="K44:L44"/>
    <mergeCell ref="M44:N44"/>
    <mergeCell ref="O44:P44"/>
    <mergeCell ref="G4:H4"/>
    <mergeCell ref="C45:D45"/>
    <mergeCell ref="G45:H45"/>
    <mergeCell ref="I45:J45"/>
    <mergeCell ref="K45:L45"/>
    <mergeCell ref="M45:N45"/>
    <mergeCell ref="C43:D43"/>
    <mergeCell ref="G43:H43"/>
    <mergeCell ref="I43:J43"/>
    <mergeCell ref="K43:L43"/>
    <mergeCell ref="C41:D41"/>
    <mergeCell ref="G41:H41"/>
    <mergeCell ref="I41:J41"/>
    <mergeCell ref="K41:L41"/>
    <mergeCell ref="M41:N41"/>
  </mergeCells>
  <phoneticPr fontId="1"/>
  <pageMargins left="0.70866141732283472" right="0.70866141732283472" top="0.74803149606299213" bottom="0.74803149606299213" header="0.31496062992125984" footer="0.31496062992125984"/>
  <pageSetup paperSize="9" scale="7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AR67"/>
  <sheetViews>
    <sheetView showGridLines="0" view="pageBreakPreview" topLeftCell="A40" zoomScale="120" zoomScaleNormal="100" zoomScaleSheetLayoutView="120" workbookViewId="0">
      <selection activeCell="U62" sqref="U62:Z62"/>
    </sheetView>
  </sheetViews>
  <sheetFormatPr defaultRowHeight="13.5" x14ac:dyDescent="0.15"/>
  <cols>
    <col min="1" max="1" width="0.375" style="22" customWidth="1"/>
    <col min="2" max="2" width="0.5" style="22" customWidth="1"/>
    <col min="3" max="3" width="2.25" style="22" customWidth="1"/>
    <col min="4" max="4" width="8.75" style="22" customWidth="1"/>
    <col min="5" max="5" width="2.25" style="22" customWidth="1"/>
    <col min="6" max="7" width="2.375" style="22" customWidth="1"/>
    <col min="8" max="8" width="2.25" style="22" customWidth="1"/>
    <col min="9" max="11" width="2.375" style="22" customWidth="1"/>
    <col min="12" max="12" width="2.25" style="22" customWidth="1"/>
    <col min="13" max="13" width="2.375" style="22" customWidth="1"/>
    <col min="14" max="14" width="2.25" style="22" customWidth="1"/>
    <col min="15" max="16" width="2.375" style="22" customWidth="1"/>
    <col min="17" max="17" width="2.25" style="22" customWidth="1"/>
    <col min="18" max="20" width="2.375" style="22" customWidth="1"/>
    <col min="21" max="21" width="2.25" style="22" customWidth="1"/>
    <col min="22" max="22" width="2.375" style="22" customWidth="1"/>
    <col min="23" max="23" width="2.25" style="22" customWidth="1"/>
    <col min="24" max="25" width="2.375" style="22" customWidth="1"/>
    <col min="26" max="26" width="2.25" style="22" customWidth="1"/>
    <col min="27" max="28" width="2.375" style="22" customWidth="1"/>
    <col min="29" max="29" width="2.25" style="22" customWidth="1"/>
    <col min="30" max="33" width="2.375" style="22" customWidth="1"/>
    <col min="34" max="35" width="2.25" style="22" customWidth="1"/>
    <col min="36" max="37" width="2.375" style="22" customWidth="1"/>
    <col min="38" max="38" width="2.25" style="22" customWidth="1"/>
    <col min="39" max="40" width="2.375" style="22" customWidth="1"/>
    <col min="41" max="41" width="0.375" style="22" customWidth="1"/>
    <col min="42" max="16384" width="9" style="22"/>
  </cols>
  <sheetData>
    <row r="1" spans="1:44" ht="17.25" customHeight="1" x14ac:dyDescent="0.15">
      <c r="C1" s="2794" t="s">
        <v>332</v>
      </c>
      <c r="D1" s="2794"/>
      <c r="E1" s="2794"/>
      <c r="F1" s="2794"/>
      <c r="G1" s="2794"/>
      <c r="H1" s="2794"/>
      <c r="I1" s="2794"/>
      <c r="J1" s="2794"/>
      <c r="K1" s="2794"/>
      <c r="L1" s="2794"/>
      <c r="M1" s="2794"/>
      <c r="N1" s="2794"/>
      <c r="O1" s="2794"/>
      <c r="P1" s="2794"/>
      <c r="Q1" s="2794"/>
      <c r="R1" s="2794"/>
      <c r="S1" s="2794"/>
      <c r="T1" s="2794"/>
      <c r="U1" s="2794"/>
      <c r="V1" s="2794"/>
      <c r="W1" s="2794"/>
      <c r="X1" s="2794"/>
      <c r="Y1" s="2667" t="s">
        <v>6</v>
      </c>
      <c r="Z1" s="2667"/>
      <c r="AA1" s="2667"/>
      <c r="AB1" s="2667"/>
      <c r="AC1" s="2667"/>
      <c r="AD1" s="2667"/>
      <c r="AE1" s="2800"/>
      <c r="AF1" s="2800"/>
      <c r="AG1" s="2800" t="s">
        <v>119</v>
      </c>
      <c r="AH1" s="2800"/>
      <c r="AI1" s="2800"/>
      <c r="AJ1" s="2801">
        <f>入力ページ!AF2</f>
        <v>0</v>
      </c>
      <c r="AK1" s="2801"/>
      <c r="AL1" s="2801"/>
      <c r="AM1" s="2801"/>
      <c r="AN1" s="2801"/>
      <c r="AO1" s="72"/>
    </row>
    <row r="2" spans="1:44" ht="18.75" customHeight="1" x14ac:dyDescent="0.15">
      <c r="C2" s="2794"/>
      <c r="D2" s="2794"/>
      <c r="E2" s="2794"/>
      <c r="F2" s="2794"/>
      <c r="G2" s="2794"/>
      <c r="H2" s="2794"/>
      <c r="I2" s="2794"/>
      <c r="J2" s="2794"/>
      <c r="K2" s="2794"/>
      <c r="L2" s="2794"/>
      <c r="M2" s="2794"/>
      <c r="N2" s="2794"/>
      <c r="O2" s="2794"/>
      <c r="P2" s="2794"/>
      <c r="Q2" s="2794"/>
      <c r="R2" s="2794"/>
      <c r="S2" s="2794"/>
      <c r="T2" s="2794"/>
      <c r="U2" s="2794"/>
      <c r="V2" s="2794"/>
      <c r="W2" s="2794"/>
      <c r="X2" s="2794"/>
      <c r="Y2" s="2668" t="s">
        <v>7</v>
      </c>
      <c r="Z2" s="2668"/>
      <c r="AA2" s="2668"/>
      <c r="AB2" s="2668"/>
      <c r="AC2" s="2668"/>
      <c r="AD2" s="2668"/>
      <c r="AE2" s="2675" t="s">
        <v>448</v>
      </c>
      <c r="AF2" s="2675"/>
      <c r="AG2" s="2675"/>
      <c r="AH2" s="2675"/>
      <c r="AI2" s="2675"/>
      <c r="AJ2" s="2675"/>
      <c r="AK2" s="2675"/>
      <c r="AL2" s="2675"/>
      <c r="AM2" s="2675"/>
      <c r="AN2" s="2675"/>
      <c r="AO2" s="66"/>
    </row>
    <row r="3" spans="1:44" ht="3.75" customHeight="1" x14ac:dyDescent="0.15">
      <c r="B3" s="310"/>
      <c r="C3" s="310"/>
      <c r="D3" s="316"/>
      <c r="E3" s="18"/>
      <c r="F3" s="18"/>
      <c r="G3" s="18"/>
      <c r="H3" s="16"/>
      <c r="I3" s="20"/>
      <c r="J3" s="315"/>
      <c r="K3" s="316"/>
      <c r="L3" s="316"/>
      <c r="M3" s="316"/>
      <c r="N3" s="316"/>
      <c r="O3" s="15"/>
      <c r="P3" s="15"/>
      <c r="Q3" s="18"/>
      <c r="R3" s="18"/>
      <c r="S3" s="15"/>
      <c r="T3" s="18"/>
      <c r="U3" s="18"/>
      <c r="V3" s="18"/>
      <c r="W3" s="18"/>
      <c r="X3" s="316"/>
      <c r="Y3" s="316"/>
      <c r="Z3" s="18"/>
      <c r="AA3" s="16"/>
      <c r="AB3" s="16"/>
      <c r="AC3" s="314"/>
      <c r="AD3" s="314"/>
      <c r="AE3" s="314"/>
      <c r="AF3" s="16"/>
      <c r="AG3" s="16"/>
      <c r="AH3" s="16"/>
      <c r="AI3" s="16"/>
      <c r="AJ3" s="16"/>
      <c r="AK3" s="16"/>
      <c r="AL3" s="16"/>
      <c r="AM3" s="16"/>
      <c r="AN3" s="16"/>
      <c r="AO3" s="14"/>
    </row>
    <row r="4" spans="1:44" ht="22.5" customHeight="1" x14ac:dyDescent="0.15">
      <c r="A4" s="2"/>
      <c r="B4" s="2721" t="s">
        <v>138</v>
      </c>
      <c r="C4" s="2722"/>
      <c r="D4" s="2723"/>
      <c r="E4" s="2700" t="str">
        <f>入力ページ!G22&amp;" 年"</f>
        <v xml:space="preserve"> 年</v>
      </c>
      <c r="F4" s="2701"/>
      <c r="G4" s="2701"/>
      <c r="H4" s="2701"/>
      <c r="I4" s="2701">
        <f>入力ページ!F63</f>
        <v>0</v>
      </c>
      <c r="J4" s="2802"/>
      <c r="K4" s="2803" t="s">
        <v>335</v>
      </c>
      <c r="L4" s="2803"/>
      <c r="M4" s="2804">
        <f>入力ページ!H63</f>
        <v>0</v>
      </c>
      <c r="N4" s="2804"/>
      <c r="O4" s="2692" t="s">
        <v>429</v>
      </c>
      <c r="P4" s="2692"/>
      <c r="Q4" s="2693" t="str">
        <f>入力ページ!J63</f>
        <v/>
      </c>
      <c r="R4" s="2693"/>
      <c r="S4" s="496" t="s">
        <v>428</v>
      </c>
      <c r="T4" s="2693" t="str">
        <f>入力ページ!L63</f>
        <v/>
      </c>
      <c r="U4" s="2693"/>
      <c r="V4" s="2685" t="s">
        <v>430</v>
      </c>
      <c r="W4" s="2685"/>
      <c r="X4" s="2687" t="s">
        <v>431</v>
      </c>
      <c r="Y4" s="2687"/>
      <c r="Z4" s="2702" t="str">
        <f>入力ページ!O63</f>
        <v/>
      </c>
      <c r="AA4" s="2702"/>
      <c r="AB4" s="2805" t="s">
        <v>335</v>
      </c>
      <c r="AC4" s="2805"/>
      <c r="AD4" s="2806" t="str">
        <f>入力ページ!Q63</f>
        <v/>
      </c>
      <c r="AE4" s="2806"/>
      <c r="AF4" s="2692" t="s">
        <v>429</v>
      </c>
      <c r="AG4" s="2692"/>
      <c r="AH4" s="2693" t="str">
        <f>入力ページ!S63</f>
        <v/>
      </c>
      <c r="AI4" s="2693"/>
      <c r="AJ4" s="496" t="s">
        <v>428</v>
      </c>
      <c r="AK4" s="2693" t="str">
        <f>入力ページ!U63</f>
        <v/>
      </c>
      <c r="AL4" s="2693"/>
      <c r="AM4" s="2685" t="s">
        <v>430</v>
      </c>
      <c r="AN4" s="2686"/>
    </row>
    <row r="5" spans="1:44" ht="22.5" customHeight="1" x14ac:dyDescent="0.15">
      <c r="A5" s="2"/>
      <c r="B5" s="2724" t="s">
        <v>8</v>
      </c>
      <c r="C5" s="2725"/>
      <c r="D5" s="2726"/>
      <c r="E5" s="2694">
        <f>入力ページ!F11</f>
        <v>0</v>
      </c>
      <c r="F5" s="2695"/>
      <c r="G5" s="2695"/>
      <c r="H5" s="2695"/>
      <c r="I5" s="2695"/>
      <c r="J5" s="2695"/>
      <c r="K5" s="2695"/>
      <c r="L5" s="2695"/>
      <c r="M5" s="2695"/>
      <c r="N5" s="2695"/>
      <c r="O5" s="2695"/>
      <c r="P5" s="2695"/>
      <c r="Q5" s="2695"/>
      <c r="R5" s="2695"/>
      <c r="S5" s="2695"/>
      <c r="T5" s="2695"/>
      <c r="U5" s="2695"/>
      <c r="V5" s="2696"/>
      <c r="W5" s="2697" t="s">
        <v>9</v>
      </c>
      <c r="X5" s="2698"/>
      <c r="Y5" s="2698"/>
      <c r="Z5" s="2698"/>
      <c r="AA5" s="2698"/>
      <c r="AB5" s="2698"/>
      <c r="AC5" s="2694">
        <f>入力ページ!Q14</f>
        <v>0</v>
      </c>
      <c r="AD5" s="2695"/>
      <c r="AE5" s="2695"/>
      <c r="AF5" s="2695"/>
      <c r="AG5" s="2695"/>
      <c r="AH5" s="2695"/>
      <c r="AI5" s="2695"/>
      <c r="AJ5" s="2695"/>
      <c r="AK5" s="2695"/>
      <c r="AL5" s="2695"/>
      <c r="AM5" s="2695"/>
      <c r="AN5" s="2696"/>
      <c r="AO5" s="24"/>
      <c r="AQ5" s="302"/>
    </row>
    <row r="6" spans="1:44" ht="13.5" customHeight="1" x14ac:dyDescent="0.15">
      <c r="A6" s="2"/>
      <c r="B6" s="2727" t="s">
        <v>139</v>
      </c>
      <c r="C6" s="2728"/>
      <c r="D6" s="2729"/>
      <c r="E6" s="2812" t="s">
        <v>137</v>
      </c>
      <c r="F6" s="2813"/>
      <c r="G6" s="2703">
        <f>入力ページ!G16</f>
        <v>0</v>
      </c>
      <c r="H6" s="2703"/>
      <c r="I6" s="2703"/>
      <c r="J6" s="2704" t="s">
        <v>19</v>
      </c>
      <c r="K6" s="2704"/>
      <c r="L6" s="2703">
        <f>入力ページ!I16</f>
        <v>0</v>
      </c>
      <c r="M6" s="2703"/>
      <c r="N6" s="2703"/>
      <c r="O6" s="2703"/>
      <c r="P6" s="73"/>
      <c r="Q6" s="73"/>
      <c r="R6" s="75"/>
      <c r="S6" s="75"/>
      <c r="T6" s="75"/>
      <c r="U6" s="76"/>
      <c r="V6" s="2688" t="s">
        <v>140</v>
      </c>
      <c r="W6" s="2688"/>
      <c r="X6" s="2688"/>
      <c r="Y6" s="2689">
        <f>入力ページ!Q19</f>
        <v>0</v>
      </c>
      <c r="Z6" s="2689"/>
      <c r="AA6" s="2689"/>
      <c r="AB6" s="2689"/>
      <c r="AC6" s="2690" t="s">
        <v>432</v>
      </c>
      <c r="AD6" s="2690"/>
      <c r="AE6" s="2691">
        <f>入力ページ!T19</f>
        <v>0</v>
      </c>
      <c r="AF6" s="2691"/>
      <c r="AG6" s="2691"/>
      <c r="AH6" s="2691"/>
      <c r="AI6" s="2690" t="s">
        <v>17</v>
      </c>
      <c r="AJ6" s="2690"/>
      <c r="AK6" s="2691">
        <f>入力ページ!W19</f>
        <v>0</v>
      </c>
      <c r="AL6" s="2691"/>
      <c r="AM6" s="2691"/>
      <c r="AN6" s="2699"/>
      <c r="AO6" s="24"/>
    </row>
    <row r="7" spans="1:44" ht="15" customHeight="1" x14ac:dyDescent="0.15">
      <c r="A7" s="2"/>
      <c r="B7" s="2730"/>
      <c r="C7" s="2731"/>
      <c r="D7" s="2732"/>
      <c r="E7" s="2809" t="str">
        <f>IF(入力ページ!L16&lt;&gt;"","　"&amp;入力ページ!L16&amp;入力ページ!N16&amp;入力ページ!O16,"")</f>
        <v/>
      </c>
      <c r="F7" s="2810"/>
      <c r="G7" s="2810"/>
      <c r="H7" s="2810"/>
      <c r="I7" s="2810"/>
      <c r="J7" s="2810"/>
      <c r="K7" s="2810"/>
      <c r="L7" s="2810"/>
      <c r="M7" s="2810"/>
      <c r="N7" s="2810"/>
      <c r="O7" s="2810"/>
      <c r="P7" s="2810"/>
      <c r="Q7" s="2810"/>
      <c r="R7" s="2810"/>
      <c r="S7" s="2810"/>
      <c r="T7" s="2810"/>
      <c r="U7" s="2810"/>
      <c r="V7" s="2810"/>
      <c r="W7" s="2810"/>
      <c r="X7" s="2810"/>
      <c r="Y7" s="2810"/>
      <c r="Z7" s="2810"/>
      <c r="AA7" s="2810"/>
      <c r="AB7" s="2810"/>
      <c r="AC7" s="2810"/>
      <c r="AD7" s="2810"/>
      <c r="AE7" s="2810"/>
      <c r="AF7" s="2810"/>
      <c r="AG7" s="2810"/>
      <c r="AH7" s="2810"/>
      <c r="AI7" s="2810"/>
      <c r="AJ7" s="2810"/>
      <c r="AK7" s="2810"/>
      <c r="AL7" s="2810"/>
      <c r="AM7" s="2810"/>
      <c r="AN7" s="2811"/>
      <c r="AO7" s="24"/>
      <c r="AP7" s="2"/>
    </row>
    <row r="8" spans="1:44" ht="2.25" customHeight="1" x14ac:dyDescent="0.15">
      <c r="X8" s="2"/>
      <c r="Y8" s="2"/>
      <c r="Z8" s="2"/>
      <c r="AA8" s="2"/>
      <c r="AB8" s="2"/>
      <c r="AC8" s="2"/>
      <c r="AD8" s="2"/>
      <c r="AE8" s="2"/>
      <c r="AF8" s="2"/>
      <c r="AG8" s="2"/>
      <c r="AH8" s="2"/>
      <c r="AI8" s="313"/>
      <c r="AJ8" s="312"/>
      <c r="AK8" s="312"/>
      <c r="AL8" s="312"/>
      <c r="AM8" s="312"/>
      <c r="AN8" s="89"/>
      <c r="AO8" s="89"/>
      <c r="AP8" s="2"/>
    </row>
    <row r="9" spans="1:44" s="68" customFormat="1" ht="16.5" customHeight="1" x14ac:dyDescent="0.15">
      <c r="A9" s="70"/>
      <c r="B9" s="2799" t="s">
        <v>339</v>
      </c>
      <c r="C9" s="2799"/>
      <c r="D9" s="2799"/>
      <c r="E9" s="2799"/>
      <c r="F9" s="2799"/>
      <c r="G9" s="2799"/>
      <c r="H9" s="2799"/>
      <c r="I9" s="2799"/>
      <c r="J9" s="2799"/>
      <c r="K9" s="2808" t="s">
        <v>338</v>
      </c>
      <c r="L9" s="2808"/>
      <c r="M9" s="2808"/>
      <c r="N9" s="2808"/>
      <c r="O9" s="2808"/>
      <c r="P9" s="2808"/>
      <c r="Q9" s="2808"/>
      <c r="R9" s="2808"/>
      <c r="S9" s="2808"/>
      <c r="T9" s="2808"/>
      <c r="U9" s="2808"/>
      <c r="V9" s="2808"/>
      <c r="W9" s="2797" t="s">
        <v>16</v>
      </c>
      <c r="X9" s="2797"/>
      <c r="Y9" s="2798" t="str">
        <f>IF(入力ページ!H60="あり","○","")</f>
        <v/>
      </c>
      <c r="Z9" s="2798"/>
      <c r="AA9" s="318" t="s">
        <v>17</v>
      </c>
      <c r="AB9" s="2807" t="s">
        <v>444</v>
      </c>
      <c r="AC9" s="2807"/>
      <c r="AD9" s="2807"/>
      <c r="AE9" s="2797" t="s">
        <v>443</v>
      </c>
      <c r="AF9" s="2797"/>
      <c r="AG9" s="2798" t="str">
        <f>IF(入力ページ!H60="なし","○","")</f>
        <v/>
      </c>
      <c r="AH9" s="2798"/>
      <c r="AI9" s="318" t="s">
        <v>17</v>
      </c>
      <c r="AJ9" s="2807" t="s">
        <v>445</v>
      </c>
      <c r="AK9" s="2807"/>
      <c r="AL9" s="2807"/>
      <c r="AM9" s="2807"/>
      <c r="AN9" s="319"/>
      <c r="AO9" s="319"/>
    </row>
    <row r="10" spans="1:44" s="68" customFormat="1" ht="16.5" customHeight="1" x14ac:dyDescent="0.15">
      <c r="A10" s="70"/>
      <c r="B10" s="2823" t="s">
        <v>590</v>
      </c>
      <c r="C10" s="2823"/>
      <c r="D10" s="2823"/>
      <c r="E10" s="2823"/>
      <c r="F10" s="2823"/>
      <c r="G10" s="2823"/>
      <c r="H10" s="2823"/>
      <c r="I10" s="2823"/>
      <c r="J10" s="2823"/>
      <c r="K10" s="1172"/>
      <c r="L10" s="1172"/>
      <c r="M10" s="1172"/>
      <c r="N10" s="1172"/>
      <c r="O10" s="1172"/>
      <c r="P10" s="1172"/>
      <c r="Q10" s="1172"/>
      <c r="R10" s="1172"/>
      <c r="S10" s="1172"/>
      <c r="T10" s="1172"/>
      <c r="U10" s="1172"/>
      <c r="V10" s="1172"/>
      <c r="W10" s="2824" t="s">
        <v>591</v>
      </c>
      <c r="X10" s="2824"/>
      <c r="Y10" s="2826" t="str">
        <f>IF(入力ページ!F94="あり","○","")</f>
        <v/>
      </c>
      <c r="Z10" s="2826"/>
      <c r="AA10" s="1173" t="s">
        <v>592</v>
      </c>
      <c r="AB10" s="2825" t="s">
        <v>593</v>
      </c>
      <c r="AC10" s="2825"/>
      <c r="AD10" s="2825"/>
      <c r="AE10" s="2824" t="s">
        <v>96</v>
      </c>
      <c r="AF10" s="2824"/>
      <c r="AG10" s="2826" t="str">
        <f>IF(入力ページ!F94="なし","○","")</f>
        <v>○</v>
      </c>
      <c r="AH10" s="2826"/>
      <c r="AI10" s="1173" t="s">
        <v>594</v>
      </c>
      <c r="AJ10" s="2827" t="s">
        <v>445</v>
      </c>
      <c r="AK10" s="2827"/>
      <c r="AL10" s="1171"/>
      <c r="AM10" s="1171"/>
      <c r="AN10" s="1174"/>
      <c r="AO10" s="319"/>
    </row>
    <row r="11" spans="1:44" s="68" customFormat="1" ht="13.5" customHeight="1" x14ac:dyDescent="0.15">
      <c r="A11" s="70"/>
      <c r="B11" s="2733" t="s">
        <v>123</v>
      </c>
      <c r="C11" s="2734"/>
      <c r="D11" s="2735"/>
      <c r="E11" s="2746" t="s">
        <v>120</v>
      </c>
      <c r="F11" s="2747"/>
      <c r="G11" s="2747"/>
      <c r="H11" s="2747"/>
      <c r="I11" s="2747"/>
      <c r="J11" s="2747"/>
      <c r="K11" s="2747"/>
      <c r="L11" s="2747"/>
      <c r="M11" s="2747"/>
      <c r="N11" s="2747"/>
      <c r="O11" s="2747"/>
      <c r="P11" s="2795"/>
      <c r="Q11" s="2796" t="s">
        <v>121</v>
      </c>
      <c r="R11" s="2747"/>
      <c r="S11" s="2747"/>
      <c r="T11" s="2747"/>
      <c r="U11" s="2747"/>
      <c r="V11" s="2747"/>
      <c r="W11" s="2747"/>
      <c r="X11" s="2747"/>
      <c r="Y11" s="2747"/>
      <c r="Z11" s="2747"/>
      <c r="AA11" s="2747"/>
      <c r="AB11" s="2795"/>
      <c r="AC11" s="2747" t="s">
        <v>122</v>
      </c>
      <c r="AD11" s="2747"/>
      <c r="AE11" s="2747"/>
      <c r="AF11" s="2747"/>
      <c r="AG11" s="2747"/>
      <c r="AH11" s="2747"/>
      <c r="AI11" s="2747"/>
      <c r="AJ11" s="2747"/>
      <c r="AK11" s="2747"/>
      <c r="AL11" s="2747"/>
      <c r="AM11" s="2747"/>
      <c r="AN11" s="2748"/>
      <c r="AO11" s="70"/>
    </row>
    <row r="12" spans="1:44" s="68" customFormat="1" ht="13.5" customHeight="1" x14ac:dyDescent="0.15">
      <c r="A12" s="70"/>
      <c r="B12" s="2736"/>
      <c r="C12" s="2737"/>
      <c r="D12" s="2738"/>
      <c r="E12" s="2746" t="s">
        <v>124</v>
      </c>
      <c r="F12" s="2747"/>
      <c r="G12" s="2747"/>
      <c r="H12" s="2747"/>
      <c r="I12" s="2747"/>
      <c r="J12" s="2747"/>
      <c r="K12" s="2747"/>
      <c r="L12" s="2747"/>
      <c r="M12" s="2748"/>
      <c r="N12" s="2814" t="s">
        <v>125</v>
      </c>
      <c r="O12" s="2815"/>
      <c r="P12" s="2816"/>
      <c r="Q12" s="2828" t="s">
        <v>124</v>
      </c>
      <c r="R12" s="2828"/>
      <c r="S12" s="2828"/>
      <c r="T12" s="2828"/>
      <c r="U12" s="2828"/>
      <c r="V12" s="2828"/>
      <c r="W12" s="2828"/>
      <c r="X12" s="2828"/>
      <c r="Y12" s="2829"/>
      <c r="Z12" s="2814" t="s">
        <v>125</v>
      </c>
      <c r="AA12" s="2815"/>
      <c r="AB12" s="2816"/>
      <c r="AC12" s="2796" t="s">
        <v>124</v>
      </c>
      <c r="AD12" s="2747"/>
      <c r="AE12" s="2747"/>
      <c r="AF12" s="2747"/>
      <c r="AG12" s="2747"/>
      <c r="AH12" s="2747"/>
      <c r="AI12" s="2747"/>
      <c r="AJ12" s="2747"/>
      <c r="AK12" s="2748"/>
      <c r="AL12" s="2814" t="s">
        <v>125</v>
      </c>
      <c r="AM12" s="2815"/>
      <c r="AN12" s="2820"/>
    </row>
    <row r="13" spans="1:44" s="68" customFormat="1" ht="21" customHeight="1" x14ac:dyDescent="0.15">
      <c r="A13" s="70"/>
      <c r="B13" s="2736"/>
      <c r="C13" s="2737"/>
      <c r="D13" s="2738"/>
      <c r="E13" s="2752" t="s">
        <v>126</v>
      </c>
      <c r="F13" s="2753"/>
      <c r="G13" s="2754"/>
      <c r="H13" s="2752" t="s">
        <v>127</v>
      </c>
      <c r="I13" s="2753"/>
      <c r="J13" s="2754"/>
      <c r="K13" s="2755" t="s">
        <v>84</v>
      </c>
      <c r="L13" s="2756"/>
      <c r="M13" s="2757"/>
      <c r="N13" s="2817"/>
      <c r="O13" s="2818"/>
      <c r="P13" s="2819"/>
      <c r="Q13" s="2753" t="s">
        <v>126</v>
      </c>
      <c r="R13" s="2753"/>
      <c r="S13" s="2754"/>
      <c r="T13" s="2752" t="s">
        <v>127</v>
      </c>
      <c r="U13" s="2753"/>
      <c r="V13" s="2754"/>
      <c r="W13" s="2755" t="s">
        <v>84</v>
      </c>
      <c r="X13" s="2756"/>
      <c r="Y13" s="2757"/>
      <c r="Z13" s="2817"/>
      <c r="AA13" s="2818"/>
      <c r="AB13" s="2819"/>
      <c r="AC13" s="2822" t="s">
        <v>126</v>
      </c>
      <c r="AD13" s="2753"/>
      <c r="AE13" s="2754"/>
      <c r="AF13" s="2752" t="s">
        <v>127</v>
      </c>
      <c r="AG13" s="2753"/>
      <c r="AH13" s="2754"/>
      <c r="AI13" s="2755" t="s">
        <v>84</v>
      </c>
      <c r="AJ13" s="2756"/>
      <c r="AK13" s="2757"/>
      <c r="AL13" s="2817"/>
      <c r="AM13" s="2818"/>
      <c r="AN13" s="2821"/>
      <c r="AR13" s="186"/>
    </row>
    <row r="14" spans="1:44" s="68" customFormat="1" ht="11.25" customHeight="1" thickBot="1" x14ac:dyDescent="0.2">
      <c r="A14" s="70"/>
      <c r="B14" s="2739"/>
      <c r="C14" s="2740"/>
      <c r="D14" s="2741"/>
      <c r="E14" s="2749" t="s">
        <v>128</v>
      </c>
      <c r="F14" s="2750"/>
      <c r="G14" s="2751"/>
      <c r="H14" s="1176" t="s">
        <v>596</v>
      </c>
      <c r="I14" s="1181">
        <f>入力ページ!F68</f>
        <v>370</v>
      </c>
      <c r="J14" s="1175" t="s">
        <v>597</v>
      </c>
      <c r="K14" s="1177" t="s">
        <v>599</v>
      </c>
      <c r="L14" s="1181">
        <f>入力ページ!F69</f>
        <v>530</v>
      </c>
      <c r="M14" s="1178" t="s">
        <v>597</v>
      </c>
      <c r="N14" s="1176" t="s">
        <v>598</v>
      </c>
      <c r="O14" s="1181">
        <f>入力ページ!F70</f>
        <v>640</v>
      </c>
      <c r="P14" s="1179" t="s">
        <v>597</v>
      </c>
      <c r="Q14" s="2772" t="s">
        <v>128</v>
      </c>
      <c r="R14" s="2750"/>
      <c r="S14" s="2751"/>
      <c r="T14" s="1176" t="s">
        <v>599</v>
      </c>
      <c r="U14" s="1181">
        <f>入力ページ!F72</f>
        <v>400</v>
      </c>
      <c r="V14" s="1180" t="s">
        <v>597</v>
      </c>
      <c r="W14" s="1177" t="s">
        <v>599</v>
      </c>
      <c r="X14" s="1181">
        <f>入力ページ!F73</f>
        <v>550</v>
      </c>
      <c r="Y14" s="1178" t="s">
        <v>597</v>
      </c>
      <c r="Z14" s="1176" t="s">
        <v>600</v>
      </c>
      <c r="AA14" s="1181">
        <f>入力ページ!F74</f>
        <v>670</v>
      </c>
      <c r="AB14" s="1179" t="s">
        <v>597</v>
      </c>
      <c r="AC14" s="2772" t="s">
        <v>128</v>
      </c>
      <c r="AD14" s="2750"/>
      <c r="AE14" s="2751"/>
      <c r="AF14" s="1176" t="s">
        <v>599</v>
      </c>
      <c r="AG14" s="1181">
        <f>入力ページ!F77</f>
        <v>440</v>
      </c>
      <c r="AH14" s="1180" t="s">
        <v>597</v>
      </c>
      <c r="AI14" s="1177" t="s">
        <v>601</v>
      </c>
      <c r="AJ14" s="1181">
        <f>入力ページ!F78</f>
        <v>880</v>
      </c>
      <c r="AK14" s="1178" t="s">
        <v>597</v>
      </c>
      <c r="AL14" s="1176" t="s">
        <v>602</v>
      </c>
      <c r="AM14" s="1181">
        <f>入力ページ!F79</f>
        <v>1090</v>
      </c>
      <c r="AN14" s="1180" t="s">
        <v>597</v>
      </c>
    </row>
    <row r="15" spans="1:44" s="68" customFormat="1" ht="12" customHeight="1" thickTop="1" x14ac:dyDescent="0.15">
      <c r="A15" s="70"/>
      <c r="B15" s="2713" t="str">
        <f>入力ページ!I65</f>
        <v/>
      </c>
      <c r="C15" s="2714"/>
      <c r="D15" s="2758" t="s">
        <v>334</v>
      </c>
      <c r="E15" s="2773" t="s">
        <v>134</v>
      </c>
      <c r="F15" s="2774"/>
      <c r="G15" s="2775"/>
      <c r="H15" s="2773" t="s">
        <v>134</v>
      </c>
      <c r="I15" s="2774"/>
      <c r="J15" s="2775"/>
      <c r="K15" s="2773" t="s">
        <v>134</v>
      </c>
      <c r="L15" s="2774"/>
      <c r="M15" s="2775"/>
      <c r="N15" s="2773" t="s">
        <v>134</v>
      </c>
      <c r="O15" s="2774"/>
      <c r="P15" s="2776"/>
      <c r="Q15" s="2773" t="s">
        <v>134</v>
      </c>
      <c r="R15" s="2774"/>
      <c r="S15" s="2775"/>
      <c r="T15" s="2773" t="s">
        <v>134</v>
      </c>
      <c r="U15" s="2774"/>
      <c r="V15" s="2775"/>
      <c r="W15" s="2773" t="s">
        <v>134</v>
      </c>
      <c r="X15" s="2774"/>
      <c r="Y15" s="2775"/>
      <c r="Z15" s="2773" t="s">
        <v>134</v>
      </c>
      <c r="AA15" s="2774"/>
      <c r="AB15" s="2776"/>
      <c r="AC15" s="2777" t="s">
        <v>134</v>
      </c>
      <c r="AD15" s="2774"/>
      <c r="AE15" s="2775"/>
      <c r="AF15" s="2773" t="s">
        <v>134</v>
      </c>
      <c r="AG15" s="2774"/>
      <c r="AH15" s="2775"/>
      <c r="AI15" s="2773" t="s">
        <v>134</v>
      </c>
      <c r="AJ15" s="2774"/>
      <c r="AK15" s="2775"/>
      <c r="AL15" s="2773" t="s">
        <v>134</v>
      </c>
      <c r="AM15" s="2774"/>
      <c r="AN15" s="2775"/>
    </row>
    <row r="16" spans="1:44" s="68" customFormat="1" ht="12" customHeight="1" x14ac:dyDescent="0.15">
      <c r="A16" s="70"/>
      <c r="B16" s="2705" t="s">
        <v>61</v>
      </c>
      <c r="C16" s="2706"/>
      <c r="D16" s="2758"/>
      <c r="E16" s="2759"/>
      <c r="F16" s="2760"/>
      <c r="G16" s="2761"/>
      <c r="H16" s="2759"/>
      <c r="I16" s="2760"/>
      <c r="J16" s="2761"/>
      <c r="K16" s="2759"/>
      <c r="L16" s="2760"/>
      <c r="M16" s="2761"/>
      <c r="N16" s="2759"/>
      <c r="O16" s="2760"/>
      <c r="P16" s="2786"/>
      <c r="Q16" s="2787">
        <f>入力ページ!H71</f>
        <v>0</v>
      </c>
      <c r="R16" s="2760"/>
      <c r="S16" s="2761"/>
      <c r="T16" s="2759">
        <f>入力ページ!H72</f>
        <v>0</v>
      </c>
      <c r="U16" s="2760"/>
      <c r="V16" s="2761"/>
      <c r="W16" s="2759">
        <f>入力ページ!H73</f>
        <v>0</v>
      </c>
      <c r="X16" s="2760"/>
      <c r="Y16" s="2761"/>
      <c r="Z16" s="2759">
        <f>入力ページ!H74</f>
        <v>0</v>
      </c>
      <c r="AA16" s="2760"/>
      <c r="AB16" s="2786"/>
      <c r="AC16" s="2787">
        <f>入力ページ!H76</f>
        <v>0</v>
      </c>
      <c r="AD16" s="2760"/>
      <c r="AE16" s="2761"/>
      <c r="AF16" s="2759">
        <f>入力ページ!H77</f>
        <v>0</v>
      </c>
      <c r="AG16" s="2760"/>
      <c r="AH16" s="2761"/>
      <c r="AI16" s="2759">
        <f>入力ページ!H78</f>
        <v>0</v>
      </c>
      <c r="AJ16" s="2760"/>
      <c r="AK16" s="2761"/>
      <c r="AL16" s="2759">
        <f>入力ページ!H79</f>
        <v>0</v>
      </c>
      <c r="AM16" s="2760"/>
      <c r="AN16" s="2761"/>
    </row>
    <row r="17" spans="1:41" s="68" customFormat="1" ht="12" customHeight="1" thickBot="1" x14ac:dyDescent="0.2">
      <c r="A17" s="70"/>
      <c r="B17" s="2707" t="str">
        <f>入力ページ!I65</f>
        <v/>
      </c>
      <c r="C17" s="2708"/>
      <c r="D17" s="2758"/>
      <c r="E17" s="2759"/>
      <c r="F17" s="2760"/>
      <c r="G17" s="2761"/>
      <c r="H17" s="2759"/>
      <c r="I17" s="2760"/>
      <c r="J17" s="2761"/>
      <c r="K17" s="2759"/>
      <c r="L17" s="2760"/>
      <c r="M17" s="2761"/>
      <c r="N17" s="2759"/>
      <c r="O17" s="2760"/>
      <c r="P17" s="2786"/>
      <c r="Q17" s="2787"/>
      <c r="R17" s="2760"/>
      <c r="S17" s="2761"/>
      <c r="T17" s="2868"/>
      <c r="U17" s="2869"/>
      <c r="V17" s="2870"/>
      <c r="W17" s="2868"/>
      <c r="X17" s="2869"/>
      <c r="Y17" s="2870"/>
      <c r="Z17" s="2868"/>
      <c r="AA17" s="2869"/>
      <c r="AB17" s="2879"/>
      <c r="AC17" s="2880"/>
      <c r="AD17" s="2869"/>
      <c r="AE17" s="2870"/>
      <c r="AF17" s="2868"/>
      <c r="AG17" s="2869"/>
      <c r="AH17" s="2870"/>
      <c r="AI17" s="2868"/>
      <c r="AJ17" s="2869"/>
      <c r="AK17" s="2870"/>
      <c r="AL17" s="2868"/>
      <c r="AM17" s="2869"/>
      <c r="AN17" s="2870"/>
    </row>
    <row r="18" spans="1:41" s="68" customFormat="1" ht="12" customHeight="1" x14ac:dyDescent="0.15">
      <c r="A18" s="70"/>
      <c r="B18" s="2742" t="str">
        <f>"日("&amp;TEXT(入力ページ!I65,"aaa")&amp;")"</f>
        <v>日()</v>
      </c>
      <c r="C18" s="2743"/>
      <c r="D18" s="2764" t="s">
        <v>333</v>
      </c>
      <c r="E18" s="2766"/>
      <c r="F18" s="2767"/>
      <c r="G18" s="2768"/>
      <c r="H18" s="2766"/>
      <c r="I18" s="2767"/>
      <c r="J18" s="2767"/>
      <c r="K18" s="2766"/>
      <c r="L18" s="2767"/>
      <c r="M18" s="2767"/>
      <c r="N18" s="2766"/>
      <c r="O18" s="2767"/>
      <c r="P18" s="2784"/>
      <c r="Q18" s="2767">
        <f>入力ページ!J71</f>
        <v>0</v>
      </c>
      <c r="R18" s="2767"/>
      <c r="S18" s="2767"/>
      <c r="T18" s="2766">
        <f>入力ページ!J72</f>
        <v>0</v>
      </c>
      <c r="U18" s="2767"/>
      <c r="V18" s="2767"/>
      <c r="W18" s="2766">
        <f>入力ページ!J73</f>
        <v>0</v>
      </c>
      <c r="X18" s="2767"/>
      <c r="Y18" s="2767"/>
      <c r="Z18" s="2766">
        <f>入力ページ!J74</f>
        <v>0</v>
      </c>
      <c r="AA18" s="2767"/>
      <c r="AB18" s="2784"/>
      <c r="AC18" s="2767">
        <f>入力ページ!J76</f>
        <v>0</v>
      </c>
      <c r="AD18" s="2767"/>
      <c r="AE18" s="2767"/>
      <c r="AF18" s="2766">
        <f>入力ページ!J77</f>
        <v>0</v>
      </c>
      <c r="AG18" s="2767"/>
      <c r="AH18" s="2767"/>
      <c r="AI18" s="2766">
        <f>入力ページ!J78</f>
        <v>0</v>
      </c>
      <c r="AJ18" s="2767"/>
      <c r="AK18" s="2767"/>
      <c r="AL18" s="2766">
        <f>入力ページ!J79</f>
        <v>0</v>
      </c>
      <c r="AM18" s="2767"/>
      <c r="AN18" s="2767"/>
      <c r="AO18" s="176"/>
    </row>
    <row r="19" spans="1:41" s="68" customFormat="1" ht="10.5" customHeight="1" thickBot="1" x14ac:dyDescent="0.2">
      <c r="A19" s="70"/>
      <c r="B19" s="2742"/>
      <c r="C19" s="2743"/>
      <c r="D19" s="2765"/>
      <c r="E19" s="2769"/>
      <c r="F19" s="2770"/>
      <c r="G19" s="2771"/>
      <c r="H19" s="2769"/>
      <c r="I19" s="2770"/>
      <c r="J19" s="2770"/>
      <c r="K19" s="2769"/>
      <c r="L19" s="2770"/>
      <c r="M19" s="2770"/>
      <c r="N19" s="2769"/>
      <c r="O19" s="2770"/>
      <c r="P19" s="2785"/>
      <c r="Q19" s="2770"/>
      <c r="R19" s="2770"/>
      <c r="S19" s="2770"/>
      <c r="T19" s="2769"/>
      <c r="U19" s="2770"/>
      <c r="V19" s="2770"/>
      <c r="W19" s="2769"/>
      <c r="X19" s="2770"/>
      <c r="Y19" s="2770"/>
      <c r="Z19" s="2769"/>
      <c r="AA19" s="2770"/>
      <c r="AB19" s="2785"/>
      <c r="AC19" s="2770"/>
      <c r="AD19" s="2770"/>
      <c r="AE19" s="2770"/>
      <c r="AF19" s="2769"/>
      <c r="AG19" s="2770"/>
      <c r="AH19" s="2770"/>
      <c r="AI19" s="2769"/>
      <c r="AJ19" s="2770"/>
      <c r="AK19" s="2770"/>
      <c r="AL19" s="2769"/>
      <c r="AM19" s="2770"/>
      <c r="AN19" s="2770"/>
      <c r="AO19" s="176"/>
    </row>
    <row r="20" spans="1:41" s="68" customFormat="1" ht="12" customHeight="1" x14ac:dyDescent="0.15">
      <c r="A20" s="70"/>
      <c r="B20" s="2742"/>
      <c r="C20" s="2743"/>
      <c r="D20" s="2762" t="s">
        <v>595</v>
      </c>
      <c r="E20" s="2778"/>
      <c r="F20" s="2779"/>
      <c r="G20" s="2779"/>
      <c r="H20" s="2779"/>
      <c r="I20" s="2779"/>
      <c r="J20" s="2779"/>
      <c r="K20" s="2779"/>
      <c r="L20" s="2779"/>
      <c r="M20" s="2779"/>
      <c r="N20" s="2779"/>
      <c r="O20" s="2779"/>
      <c r="P20" s="2780"/>
      <c r="Q20" s="2788">
        <f>SUM(Q16:S19)</f>
        <v>0</v>
      </c>
      <c r="R20" s="2789"/>
      <c r="S20" s="2790"/>
      <c r="T20" s="2789">
        <f t="shared" ref="T20" si="0">SUM(T16:V19)</f>
        <v>0</v>
      </c>
      <c r="U20" s="2789"/>
      <c r="V20" s="2790"/>
      <c r="W20" s="2789">
        <f t="shared" ref="W20" si="1">SUM(W16:Y19)</f>
        <v>0</v>
      </c>
      <c r="X20" s="2789"/>
      <c r="Y20" s="2789"/>
      <c r="Z20" s="2877">
        <f t="shared" ref="Z20" si="2">SUM(Z16:AB19)</f>
        <v>0</v>
      </c>
      <c r="AA20" s="2789"/>
      <c r="AB20" s="2789"/>
      <c r="AC20" s="2788">
        <f>SUM(AC16:AE19)</f>
        <v>0</v>
      </c>
      <c r="AD20" s="2789"/>
      <c r="AE20" s="2790"/>
      <c r="AF20" s="2789">
        <f t="shared" ref="AF20" si="3">SUM(AF16:AH19)</f>
        <v>0</v>
      </c>
      <c r="AG20" s="2789"/>
      <c r="AH20" s="2790"/>
      <c r="AI20" s="2789">
        <f t="shared" ref="AI20" si="4">SUM(AI16:AK19)</f>
        <v>0</v>
      </c>
      <c r="AJ20" s="2789"/>
      <c r="AK20" s="2789"/>
      <c r="AL20" s="2877">
        <f t="shared" ref="AL20" si="5">SUM(AL16:AN19)</f>
        <v>0</v>
      </c>
      <c r="AM20" s="2789"/>
      <c r="AN20" s="2789"/>
    </row>
    <row r="21" spans="1:41" s="68" customFormat="1" ht="10.5" customHeight="1" thickBot="1" x14ac:dyDescent="0.2">
      <c r="A21" s="70"/>
      <c r="B21" s="2744"/>
      <c r="C21" s="2745"/>
      <c r="D21" s="2763"/>
      <c r="E21" s="2781"/>
      <c r="F21" s="2782"/>
      <c r="G21" s="2782"/>
      <c r="H21" s="2782"/>
      <c r="I21" s="2782"/>
      <c r="J21" s="2782"/>
      <c r="K21" s="2782"/>
      <c r="L21" s="2782"/>
      <c r="M21" s="2782"/>
      <c r="N21" s="2782"/>
      <c r="O21" s="2782"/>
      <c r="P21" s="2783"/>
      <c r="Q21" s="2791"/>
      <c r="R21" s="2792"/>
      <c r="S21" s="2793"/>
      <c r="T21" s="2792"/>
      <c r="U21" s="2792"/>
      <c r="V21" s="2793"/>
      <c r="W21" s="2792"/>
      <c r="X21" s="2792"/>
      <c r="Y21" s="2792"/>
      <c r="Z21" s="2878"/>
      <c r="AA21" s="2792"/>
      <c r="AB21" s="2792"/>
      <c r="AC21" s="2791"/>
      <c r="AD21" s="2792"/>
      <c r="AE21" s="2793"/>
      <c r="AF21" s="2792"/>
      <c r="AG21" s="2792"/>
      <c r="AH21" s="2793"/>
      <c r="AI21" s="2792"/>
      <c r="AJ21" s="2792"/>
      <c r="AK21" s="2792"/>
      <c r="AL21" s="2878"/>
      <c r="AM21" s="2792"/>
      <c r="AN21" s="2792"/>
    </row>
    <row r="22" spans="1:41" s="68" customFormat="1" ht="12" customHeight="1" thickTop="1" x14ac:dyDescent="0.15">
      <c r="A22" s="70"/>
      <c r="B22" s="2713" t="str">
        <f>入力ページ!M65</f>
        <v/>
      </c>
      <c r="C22" s="2714"/>
      <c r="D22" s="2758" t="s">
        <v>334</v>
      </c>
      <c r="E22" s="2773" t="s">
        <v>134</v>
      </c>
      <c r="F22" s="2774"/>
      <c r="G22" s="2775"/>
      <c r="H22" s="2773" t="s">
        <v>134</v>
      </c>
      <c r="I22" s="2774"/>
      <c r="J22" s="2775"/>
      <c r="K22" s="2773" t="s">
        <v>134</v>
      </c>
      <c r="L22" s="2774"/>
      <c r="M22" s="2775"/>
      <c r="N22" s="2773" t="s">
        <v>134</v>
      </c>
      <c r="O22" s="2774"/>
      <c r="P22" s="2776"/>
      <c r="Q22" s="2773" t="s">
        <v>134</v>
      </c>
      <c r="R22" s="2774"/>
      <c r="S22" s="2775"/>
      <c r="T22" s="2773" t="s">
        <v>134</v>
      </c>
      <c r="U22" s="2774"/>
      <c r="V22" s="2775"/>
      <c r="W22" s="2773" t="s">
        <v>134</v>
      </c>
      <c r="X22" s="2774"/>
      <c r="Y22" s="2775"/>
      <c r="Z22" s="2773" t="s">
        <v>134</v>
      </c>
      <c r="AA22" s="2774"/>
      <c r="AB22" s="2776"/>
      <c r="AC22" s="2777" t="s">
        <v>134</v>
      </c>
      <c r="AD22" s="2774"/>
      <c r="AE22" s="2775"/>
      <c r="AF22" s="2773" t="s">
        <v>134</v>
      </c>
      <c r="AG22" s="2774"/>
      <c r="AH22" s="2775"/>
      <c r="AI22" s="2773" t="s">
        <v>134</v>
      </c>
      <c r="AJ22" s="2774"/>
      <c r="AK22" s="2775"/>
      <c r="AL22" s="2773" t="s">
        <v>134</v>
      </c>
      <c r="AM22" s="2774"/>
      <c r="AN22" s="2775"/>
    </row>
    <row r="23" spans="1:41" s="68" customFormat="1" ht="12" customHeight="1" x14ac:dyDescent="0.15">
      <c r="A23" s="70"/>
      <c r="B23" s="2705" t="s">
        <v>61</v>
      </c>
      <c r="C23" s="2706"/>
      <c r="D23" s="2758"/>
      <c r="E23" s="2759">
        <f>入力ページ!L67</f>
        <v>0</v>
      </c>
      <c r="F23" s="2760"/>
      <c r="G23" s="2761"/>
      <c r="H23" s="2759">
        <f>入力ページ!L68</f>
        <v>0</v>
      </c>
      <c r="I23" s="2760"/>
      <c r="J23" s="2761"/>
      <c r="K23" s="2759">
        <f>入力ページ!L69</f>
        <v>0</v>
      </c>
      <c r="L23" s="2760"/>
      <c r="M23" s="2761"/>
      <c r="N23" s="2759">
        <f>入力ページ!L70</f>
        <v>0</v>
      </c>
      <c r="O23" s="2760"/>
      <c r="P23" s="2786"/>
      <c r="Q23" s="2787">
        <f>入力ページ!L71</f>
        <v>0</v>
      </c>
      <c r="R23" s="2760"/>
      <c r="S23" s="2761"/>
      <c r="T23" s="2759">
        <f>入力ページ!L72</f>
        <v>0</v>
      </c>
      <c r="U23" s="2760"/>
      <c r="V23" s="2761"/>
      <c r="W23" s="2759">
        <f>入力ページ!L73</f>
        <v>0</v>
      </c>
      <c r="X23" s="2760"/>
      <c r="Y23" s="2761"/>
      <c r="Z23" s="2759">
        <f>入力ページ!L74</f>
        <v>0</v>
      </c>
      <c r="AA23" s="2760"/>
      <c r="AB23" s="2786"/>
      <c r="AC23" s="2787">
        <f>入力ページ!L76</f>
        <v>0</v>
      </c>
      <c r="AD23" s="2760"/>
      <c r="AE23" s="2761"/>
      <c r="AF23" s="2759">
        <f>入力ページ!L77</f>
        <v>0</v>
      </c>
      <c r="AG23" s="2760"/>
      <c r="AH23" s="2761"/>
      <c r="AI23" s="2759">
        <f>入力ページ!L78</f>
        <v>0</v>
      </c>
      <c r="AJ23" s="2760"/>
      <c r="AK23" s="2761"/>
      <c r="AL23" s="2759">
        <f>入力ページ!L79</f>
        <v>0</v>
      </c>
      <c r="AM23" s="2760"/>
      <c r="AN23" s="2761"/>
    </row>
    <row r="24" spans="1:41" s="68" customFormat="1" ht="12" customHeight="1" thickBot="1" x14ac:dyDescent="0.2">
      <c r="A24" s="70"/>
      <c r="B24" s="2707" t="str">
        <f>入力ページ!M65</f>
        <v/>
      </c>
      <c r="C24" s="2708"/>
      <c r="D24" s="2758"/>
      <c r="E24" s="2759"/>
      <c r="F24" s="2760"/>
      <c r="G24" s="2761"/>
      <c r="H24" s="2868"/>
      <c r="I24" s="2869"/>
      <c r="J24" s="2870"/>
      <c r="K24" s="2868"/>
      <c r="L24" s="2869"/>
      <c r="M24" s="2870"/>
      <c r="N24" s="2868"/>
      <c r="O24" s="2869"/>
      <c r="P24" s="2879"/>
      <c r="Q24" s="2880"/>
      <c r="R24" s="2869"/>
      <c r="S24" s="2870"/>
      <c r="T24" s="2868"/>
      <c r="U24" s="2869"/>
      <c r="V24" s="2870"/>
      <c r="W24" s="2868"/>
      <c r="X24" s="2869"/>
      <c r="Y24" s="2870"/>
      <c r="Z24" s="2868"/>
      <c r="AA24" s="2869"/>
      <c r="AB24" s="2879"/>
      <c r="AC24" s="2880"/>
      <c r="AD24" s="2869"/>
      <c r="AE24" s="2870"/>
      <c r="AF24" s="2868"/>
      <c r="AG24" s="2869"/>
      <c r="AH24" s="2870"/>
      <c r="AI24" s="2868"/>
      <c r="AJ24" s="2869"/>
      <c r="AK24" s="2870"/>
      <c r="AL24" s="2868"/>
      <c r="AM24" s="2869"/>
      <c r="AN24" s="2870"/>
    </row>
    <row r="25" spans="1:41" s="68" customFormat="1" ht="13.5" customHeight="1" x14ac:dyDescent="0.15">
      <c r="A25" s="70"/>
      <c r="B25" s="2709" t="str">
        <f>"日("&amp;(IF(入力ページ!M65="","",TEXT(入力ページ!M65,"aaa"))&amp;")")</f>
        <v>日()</v>
      </c>
      <c r="C25" s="2710"/>
      <c r="D25" s="2764" t="s">
        <v>333</v>
      </c>
      <c r="E25" s="2766">
        <f>入力ページ!N67</f>
        <v>0</v>
      </c>
      <c r="F25" s="2767"/>
      <c r="G25" s="2768"/>
      <c r="H25" s="2766">
        <f>入力ページ!N68</f>
        <v>0</v>
      </c>
      <c r="I25" s="2767"/>
      <c r="J25" s="2767"/>
      <c r="K25" s="2766">
        <f>入力ページ!N69</f>
        <v>0</v>
      </c>
      <c r="L25" s="2767"/>
      <c r="M25" s="2767"/>
      <c r="N25" s="2766">
        <f>入力ページ!N70</f>
        <v>0</v>
      </c>
      <c r="O25" s="2767"/>
      <c r="P25" s="2784"/>
      <c r="Q25" s="2767">
        <f>入力ページ!N71</f>
        <v>0</v>
      </c>
      <c r="R25" s="2767"/>
      <c r="S25" s="2767"/>
      <c r="T25" s="2766">
        <f>入力ページ!N72</f>
        <v>0</v>
      </c>
      <c r="U25" s="2767"/>
      <c r="V25" s="2767"/>
      <c r="W25" s="2766">
        <f>入力ページ!N73</f>
        <v>0</v>
      </c>
      <c r="X25" s="2767"/>
      <c r="Y25" s="2767"/>
      <c r="Z25" s="2766">
        <f>入力ページ!N74</f>
        <v>0</v>
      </c>
      <c r="AA25" s="2767"/>
      <c r="AB25" s="2784"/>
      <c r="AC25" s="2767">
        <f>入力ページ!N76</f>
        <v>0</v>
      </c>
      <c r="AD25" s="2767"/>
      <c r="AE25" s="2767"/>
      <c r="AF25" s="2766">
        <f>入力ページ!N77</f>
        <v>0</v>
      </c>
      <c r="AG25" s="2767"/>
      <c r="AH25" s="2767"/>
      <c r="AI25" s="2766">
        <f>入力ページ!N78</f>
        <v>0</v>
      </c>
      <c r="AJ25" s="2767"/>
      <c r="AK25" s="2767"/>
      <c r="AL25" s="2766">
        <f>入力ページ!N79</f>
        <v>0</v>
      </c>
      <c r="AM25" s="2767"/>
      <c r="AN25" s="2871"/>
    </row>
    <row r="26" spans="1:41" s="68" customFormat="1" ht="9" customHeight="1" thickBot="1" x14ac:dyDescent="0.2">
      <c r="A26" s="70"/>
      <c r="B26" s="2709"/>
      <c r="C26" s="2710"/>
      <c r="D26" s="2765"/>
      <c r="E26" s="2769"/>
      <c r="F26" s="2770"/>
      <c r="G26" s="2771"/>
      <c r="H26" s="2769"/>
      <c r="I26" s="2770"/>
      <c r="J26" s="2770"/>
      <c r="K26" s="2769"/>
      <c r="L26" s="2770"/>
      <c r="M26" s="2770"/>
      <c r="N26" s="2769"/>
      <c r="O26" s="2770"/>
      <c r="P26" s="2785"/>
      <c r="Q26" s="2770"/>
      <c r="R26" s="2770"/>
      <c r="S26" s="2770"/>
      <c r="T26" s="2769"/>
      <c r="U26" s="2770"/>
      <c r="V26" s="2770"/>
      <c r="W26" s="2769"/>
      <c r="X26" s="2770"/>
      <c r="Y26" s="2770"/>
      <c r="Z26" s="2769"/>
      <c r="AA26" s="2770"/>
      <c r="AB26" s="2785"/>
      <c r="AC26" s="2770"/>
      <c r="AD26" s="2770"/>
      <c r="AE26" s="2770"/>
      <c r="AF26" s="2769"/>
      <c r="AG26" s="2770"/>
      <c r="AH26" s="2770"/>
      <c r="AI26" s="2769"/>
      <c r="AJ26" s="2770"/>
      <c r="AK26" s="2770"/>
      <c r="AL26" s="2769"/>
      <c r="AM26" s="2770"/>
      <c r="AN26" s="2872"/>
    </row>
    <row r="27" spans="1:41" s="68" customFormat="1" ht="13.5" customHeight="1" x14ac:dyDescent="0.15">
      <c r="A27" s="70"/>
      <c r="B27" s="2709"/>
      <c r="C27" s="2710"/>
      <c r="D27" s="2762" t="s">
        <v>595</v>
      </c>
      <c r="E27" s="2883">
        <f>SUM(E23:G26)</f>
        <v>0</v>
      </c>
      <c r="F27" s="2883"/>
      <c r="G27" s="2883"/>
      <c r="H27" s="2883">
        <f t="shared" ref="H27" si="6">SUM(H23:J26)</f>
        <v>0</v>
      </c>
      <c r="I27" s="2883"/>
      <c r="J27" s="2883"/>
      <c r="K27" s="2883">
        <f t="shared" ref="K27" si="7">SUM(K23:M26)</f>
        <v>0</v>
      </c>
      <c r="L27" s="2883"/>
      <c r="M27" s="2883"/>
      <c r="N27" s="2883">
        <f t="shared" ref="N27" si="8">SUM(N23:P26)</f>
        <v>0</v>
      </c>
      <c r="O27" s="2883"/>
      <c r="P27" s="2890"/>
      <c r="Q27" s="2886">
        <f t="shared" ref="Q27" si="9">SUM(Q23:S26)</f>
        <v>0</v>
      </c>
      <c r="R27" s="2883"/>
      <c r="S27" s="2883"/>
      <c r="T27" s="2883">
        <f t="shared" ref="T27" si="10">SUM(T23:V26)</f>
        <v>0</v>
      </c>
      <c r="U27" s="2883"/>
      <c r="V27" s="2883"/>
      <c r="W27" s="2883">
        <f t="shared" ref="W27" si="11">SUM(W23:Y26)</f>
        <v>0</v>
      </c>
      <c r="X27" s="2883"/>
      <c r="Y27" s="2883"/>
      <c r="Z27" s="2883">
        <f t="shared" ref="Z27" si="12">SUM(Z23:AB26)</f>
        <v>0</v>
      </c>
      <c r="AA27" s="2883"/>
      <c r="AB27" s="2890"/>
      <c r="AC27" s="2886">
        <f t="shared" ref="AC27" si="13">SUM(AC23:AE26)</f>
        <v>0</v>
      </c>
      <c r="AD27" s="2883"/>
      <c r="AE27" s="2883"/>
      <c r="AF27" s="2883">
        <f t="shared" ref="AF27" si="14">SUM(AF23:AH26)</f>
        <v>0</v>
      </c>
      <c r="AG27" s="2883"/>
      <c r="AH27" s="2883"/>
      <c r="AI27" s="2883">
        <f t="shared" ref="AI27" si="15">SUM(AI23:AK26)</f>
        <v>0</v>
      </c>
      <c r="AJ27" s="2883"/>
      <c r="AK27" s="2883"/>
      <c r="AL27" s="2883">
        <f t="shared" ref="AL27" si="16">SUM(AL23:AN26)</f>
        <v>0</v>
      </c>
      <c r="AM27" s="2883"/>
      <c r="AN27" s="2883"/>
    </row>
    <row r="28" spans="1:41" s="68" customFormat="1" ht="9" customHeight="1" thickBot="1" x14ac:dyDescent="0.2">
      <c r="A28" s="70"/>
      <c r="B28" s="2711"/>
      <c r="C28" s="2712"/>
      <c r="D28" s="2763"/>
      <c r="E28" s="2884"/>
      <c r="F28" s="2884"/>
      <c r="G28" s="2884"/>
      <c r="H28" s="2884"/>
      <c r="I28" s="2884"/>
      <c r="J28" s="2884"/>
      <c r="K28" s="2884"/>
      <c r="L28" s="2884"/>
      <c r="M28" s="2884"/>
      <c r="N28" s="2884"/>
      <c r="O28" s="2884"/>
      <c r="P28" s="2891"/>
      <c r="Q28" s="2887"/>
      <c r="R28" s="2884"/>
      <c r="S28" s="2884"/>
      <c r="T28" s="2884"/>
      <c r="U28" s="2884"/>
      <c r="V28" s="2884"/>
      <c r="W28" s="2884"/>
      <c r="X28" s="2884"/>
      <c r="Y28" s="2884"/>
      <c r="Z28" s="2884"/>
      <c r="AA28" s="2884"/>
      <c r="AB28" s="2891"/>
      <c r="AC28" s="2887"/>
      <c r="AD28" s="2884"/>
      <c r="AE28" s="2884"/>
      <c r="AF28" s="2884"/>
      <c r="AG28" s="2884"/>
      <c r="AH28" s="2884"/>
      <c r="AI28" s="2884"/>
      <c r="AJ28" s="2884"/>
      <c r="AK28" s="2884"/>
      <c r="AL28" s="2884"/>
      <c r="AM28" s="2884"/>
      <c r="AN28" s="2884"/>
    </row>
    <row r="29" spans="1:41" s="68" customFormat="1" ht="12" customHeight="1" thickTop="1" x14ac:dyDescent="0.15">
      <c r="A29" s="70"/>
      <c r="B29" s="2713" t="str">
        <f>入力ページ!Q65</f>
        <v/>
      </c>
      <c r="C29" s="2714"/>
      <c r="D29" s="2758" t="s">
        <v>334</v>
      </c>
      <c r="E29" s="2773" t="s">
        <v>134</v>
      </c>
      <c r="F29" s="2774"/>
      <c r="G29" s="2775"/>
      <c r="H29" s="2773" t="s">
        <v>134</v>
      </c>
      <c r="I29" s="2774"/>
      <c r="J29" s="2775"/>
      <c r="K29" s="2773" t="s">
        <v>134</v>
      </c>
      <c r="L29" s="2774"/>
      <c r="M29" s="2775"/>
      <c r="N29" s="2773" t="s">
        <v>134</v>
      </c>
      <c r="O29" s="2774"/>
      <c r="P29" s="2776"/>
      <c r="Q29" s="2773" t="s">
        <v>134</v>
      </c>
      <c r="R29" s="2774"/>
      <c r="S29" s="2775"/>
      <c r="T29" s="2773" t="s">
        <v>134</v>
      </c>
      <c r="U29" s="2774"/>
      <c r="V29" s="2775"/>
      <c r="W29" s="2773" t="s">
        <v>134</v>
      </c>
      <c r="X29" s="2774"/>
      <c r="Y29" s="2775"/>
      <c r="Z29" s="2773" t="s">
        <v>134</v>
      </c>
      <c r="AA29" s="2774"/>
      <c r="AB29" s="2776"/>
      <c r="AC29" s="2777" t="s">
        <v>134</v>
      </c>
      <c r="AD29" s="2774"/>
      <c r="AE29" s="2775"/>
      <c r="AF29" s="2773" t="s">
        <v>134</v>
      </c>
      <c r="AG29" s="2774"/>
      <c r="AH29" s="2775"/>
      <c r="AI29" s="2773" t="s">
        <v>134</v>
      </c>
      <c r="AJ29" s="2774"/>
      <c r="AK29" s="2775"/>
      <c r="AL29" s="2773" t="s">
        <v>134</v>
      </c>
      <c r="AM29" s="2774"/>
      <c r="AN29" s="2775"/>
    </row>
    <row r="30" spans="1:41" s="68" customFormat="1" ht="12" customHeight="1" x14ac:dyDescent="0.15">
      <c r="A30" s="70"/>
      <c r="B30" s="2705" t="s">
        <v>61</v>
      </c>
      <c r="C30" s="2706"/>
      <c r="D30" s="2758"/>
      <c r="E30" s="2759">
        <f>入力ページ!P67</f>
        <v>0</v>
      </c>
      <c r="F30" s="2760"/>
      <c r="G30" s="2761"/>
      <c r="H30" s="2759">
        <f>入力ページ!P68</f>
        <v>0</v>
      </c>
      <c r="I30" s="2760"/>
      <c r="J30" s="2761"/>
      <c r="K30" s="2759">
        <f>入力ページ!P69</f>
        <v>0</v>
      </c>
      <c r="L30" s="2760"/>
      <c r="M30" s="2761"/>
      <c r="N30" s="2759">
        <f>入力ページ!P70</f>
        <v>0</v>
      </c>
      <c r="O30" s="2760"/>
      <c r="P30" s="2786"/>
      <c r="Q30" s="2787">
        <f>入力ページ!P71</f>
        <v>0</v>
      </c>
      <c r="R30" s="2760"/>
      <c r="S30" s="2761"/>
      <c r="T30" s="2759">
        <f>入力ページ!P72</f>
        <v>0</v>
      </c>
      <c r="U30" s="2760"/>
      <c r="V30" s="2761"/>
      <c r="W30" s="2759">
        <f>入力ページ!P73</f>
        <v>0</v>
      </c>
      <c r="X30" s="2760"/>
      <c r="Y30" s="2761"/>
      <c r="Z30" s="2759">
        <f>入力ページ!P74</f>
        <v>0</v>
      </c>
      <c r="AA30" s="2760"/>
      <c r="AB30" s="2786"/>
      <c r="AC30" s="2787">
        <f>入力ページ!P76</f>
        <v>0</v>
      </c>
      <c r="AD30" s="2760"/>
      <c r="AE30" s="2761"/>
      <c r="AF30" s="2759">
        <f>入力ページ!P77</f>
        <v>0</v>
      </c>
      <c r="AG30" s="2760"/>
      <c r="AH30" s="2761"/>
      <c r="AI30" s="2759">
        <f>入力ページ!P78</f>
        <v>0</v>
      </c>
      <c r="AJ30" s="2760"/>
      <c r="AK30" s="2761"/>
      <c r="AL30" s="2759">
        <f>入力ページ!P79</f>
        <v>0</v>
      </c>
      <c r="AM30" s="2760"/>
      <c r="AN30" s="2761"/>
    </row>
    <row r="31" spans="1:41" s="68" customFormat="1" ht="12" customHeight="1" thickBot="1" x14ac:dyDescent="0.2">
      <c r="A31" s="70"/>
      <c r="B31" s="2707" t="str">
        <f>入力ページ!Q65</f>
        <v/>
      </c>
      <c r="C31" s="2708"/>
      <c r="D31" s="2758"/>
      <c r="E31" s="2759"/>
      <c r="F31" s="2760"/>
      <c r="G31" s="2761"/>
      <c r="H31" s="2868"/>
      <c r="I31" s="2869"/>
      <c r="J31" s="2870"/>
      <c r="K31" s="2868"/>
      <c r="L31" s="2869"/>
      <c r="M31" s="2870"/>
      <c r="N31" s="2868"/>
      <c r="O31" s="2869"/>
      <c r="P31" s="2879"/>
      <c r="Q31" s="2880"/>
      <c r="R31" s="2869"/>
      <c r="S31" s="2870"/>
      <c r="T31" s="2868"/>
      <c r="U31" s="2869"/>
      <c r="V31" s="2870"/>
      <c r="W31" s="2868"/>
      <c r="X31" s="2869"/>
      <c r="Y31" s="2870"/>
      <c r="Z31" s="2868"/>
      <c r="AA31" s="2869"/>
      <c r="AB31" s="2879"/>
      <c r="AC31" s="2880"/>
      <c r="AD31" s="2869"/>
      <c r="AE31" s="2870"/>
      <c r="AF31" s="2868"/>
      <c r="AG31" s="2869"/>
      <c r="AH31" s="2870"/>
      <c r="AI31" s="2868"/>
      <c r="AJ31" s="2869"/>
      <c r="AK31" s="2870"/>
      <c r="AL31" s="2868"/>
      <c r="AM31" s="2869"/>
      <c r="AN31" s="2870"/>
    </row>
    <row r="32" spans="1:41" s="68" customFormat="1" ht="13.5" customHeight="1" x14ac:dyDescent="0.15">
      <c r="A32" s="70"/>
      <c r="B32" s="2709" t="str">
        <f>"日("&amp;(IF(入力ページ!Q65="","",TEXT(入力ページ!Q65,"aaa"))&amp;")")</f>
        <v>日()</v>
      </c>
      <c r="C32" s="2710"/>
      <c r="D32" s="2881" t="s">
        <v>333</v>
      </c>
      <c r="E32" s="2766">
        <f>入力ページ!R67</f>
        <v>0</v>
      </c>
      <c r="F32" s="2767"/>
      <c r="G32" s="2768"/>
      <c r="H32" s="2766">
        <f>入力ページ!R68</f>
        <v>0</v>
      </c>
      <c r="I32" s="2767"/>
      <c r="J32" s="2767"/>
      <c r="K32" s="2766">
        <f>入力ページ!R69</f>
        <v>0</v>
      </c>
      <c r="L32" s="2767"/>
      <c r="M32" s="2767"/>
      <c r="N32" s="2766">
        <f>入力ページ!R70</f>
        <v>0</v>
      </c>
      <c r="O32" s="2767"/>
      <c r="P32" s="2784"/>
      <c r="Q32" s="2767">
        <f>入力ページ!R71</f>
        <v>0</v>
      </c>
      <c r="R32" s="2767"/>
      <c r="S32" s="2767"/>
      <c r="T32" s="2766">
        <f>入力ページ!R72</f>
        <v>0</v>
      </c>
      <c r="U32" s="2767"/>
      <c r="V32" s="2767"/>
      <c r="W32" s="2766">
        <f>入力ページ!R73</f>
        <v>0</v>
      </c>
      <c r="X32" s="2767"/>
      <c r="Y32" s="2767"/>
      <c r="Z32" s="2766">
        <f>入力ページ!R74</f>
        <v>0</v>
      </c>
      <c r="AA32" s="2767"/>
      <c r="AB32" s="2784"/>
      <c r="AC32" s="2767">
        <f>入力ページ!R76</f>
        <v>0</v>
      </c>
      <c r="AD32" s="2767"/>
      <c r="AE32" s="2767"/>
      <c r="AF32" s="2766">
        <f>入力ページ!R77</f>
        <v>0</v>
      </c>
      <c r="AG32" s="2767"/>
      <c r="AH32" s="2767"/>
      <c r="AI32" s="2766">
        <f>入力ページ!R78</f>
        <v>0</v>
      </c>
      <c r="AJ32" s="2767"/>
      <c r="AK32" s="2767"/>
      <c r="AL32" s="2766">
        <f>入力ページ!R79</f>
        <v>0</v>
      </c>
      <c r="AM32" s="2767"/>
      <c r="AN32" s="2871"/>
    </row>
    <row r="33" spans="1:43" s="68" customFormat="1" ht="9" customHeight="1" thickBot="1" x14ac:dyDescent="0.2">
      <c r="A33" s="70"/>
      <c r="B33" s="2709"/>
      <c r="C33" s="2710"/>
      <c r="D33" s="2882"/>
      <c r="E33" s="2769"/>
      <c r="F33" s="2770"/>
      <c r="G33" s="2771"/>
      <c r="H33" s="2769"/>
      <c r="I33" s="2770"/>
      <c r="J33" s="2770"/>
      <c r="K33" s="2769"/>
      <c r="L33" s="2770"/>
      <c r="M33" s="2770"/>
      <c r="N33" s="2769"/>
      <c r="O33" s="2770"/>
      <c r="P33" s="2785"/>
      <c r="Q33" s="2770"/>
      <c r="R33" s="2770"/>
      <c r="S33" s="2770"/>
      <c r="T33" s="2769"/>
      <c r="U33" s="2770"/>
      <c r="V33" s="2770"/>
      <c r="W33" s="2769"/>
      <c r="X33" s="2770"/>
      <c r="Y33" s="2770"/>
      <c r="Z33" s="2769"/>
      <c r="AA33" s="2770"/>
      <c r="AB33" s="2785"/>
      <c r="AC33" s="2770"/>
      <c r="AD33" s="2770"/>
      <c r="AE33" s="2770"/>
      <c r="AF33" s="2769"/>
      <c r="AG33" s="2770"/>
      <c r="AH33" s="2770"/>
      <c r="AI33" s="2769"/>
      <c r="AJ33" s="2770"/>
      <c r="AK33" s="2770"/>
      <c r="AL33" s="2769"/>
      <c r="AM33" s="2770"/>
      <c r="AN33" s="2872"/>
    </row>
    <row r="34" spans="1:43" s="68" customFormat="1" ht="13.5" customHeight="1" x14ac:dyDescent="0.15">
      <c r="A34" s="70"/>
      <c r="B34" s="2709"/>
      <c r="C34" s="2710"/>
      <c r="D34" s="2762" t="s">
        <v>595</v>
      </c>
      <c r="E34" s="2873">
        <f>SUM(E30:G33)</f>
        <v>0</v>
      </c>
      <c r="F34" s="2874"/>
      <c r="G34" s="2874"/>
      <c r="H34" s="2873">
        <f t="shared" ref="H34" si="17">SUM(H30:J33)</f>
        <v>0</v>
      </c>
      <c r="I34" s="2874"/>
      <c r="J34" s="2874"/>
      <c r="K34" s="2873">
        <f t="shared" ref="K34" si="18">SUM(K30:M33)</f>
        <v>0</v>
      </c>
      <c r="L34" s="2874"/>
      <c r="M34" s="2874"/>
      <c r="N34" s="2873">
        <f t="shared" ref="N34" si="19">SUM(N30:P33)</f>
        <v>0</v>
      </c>
      <c r="O34" s="2874"/>
      <c r="P34" s="2888"/>
      <c r="Q34" s="2874">
        <f t="shared" ref="Q34" si="20">SUM(Q30:S33)</f>
        <v>0</v>
      </c>
      <c r="R34" s="2874"/>
      <c r="S34" s="2874"/>
      <c r="T34" s="2873">
        <f t="shared" ref="T34" si="21">SUM(T30:V33)</f>
        <v>0</v>
      </c>
      <c r="U34" s="2874"/>
      <c r="V34" s="2874"/>
      <c r="W34" s="2873">
        <f t="shared" ref="W34" si="22">SUM(W30:Y33)</f>
        <v>0</v>
      </c>
      <c r="X34" s="2874"/>
      <c r="Y34" s="2874"/>
      <c r="Z34" s="2873">
        <f t="shared" ref="Z34" si="23">SUM(Z30:AB33)</f>
        <v>0</v>
      </c>
      <c r="AA34" s="2874"/>
      <c r="AB34" s="2888"/>
      <c r="AC34" s="2874">
        <f t="shared" ref="AC34" si="24">SUM(AC30:AE33)</f>
        <v>0</v>
      </c>
      <c r="AD34" s="2874"/>
      <c r="AE34" s="2874"/>
      <c r="AF34" s="2873">
        <f t="shared" ref="AF34" si="25">SUM(AF30:AH33)</f>
        <v>0</v>
      </c>
      <c r="AG34" s="2874"/>
      <c r="AH34" s="2874"/>
      <c r="AI34" s="2873">
        <f t="shared" ref="AI34" si="26">SUM(AI30:AK33)</f>
        <v>0</v>
      </c>
      <c r="AJ34" s="2874"/>
      <c r="AK34" s="2874"/>
      <c r="AL34" s="2873">
        <f t="shared" ref="AL34" si="27">SUM(AL30:AN33)</f>
        <v>0</v>
      </c>
      <c r="AM34" s="2874"/>
      <c r="AN34" s="2874"/>
    </row>
    <row r="35" spans="1:43" s="68" customFormat="1" ht="9" customHeight="1" thickBot="1" x14ac:dyDescent="0.2">
      <c r="A35" s="70"/>
      <c r="B35" s="2711"/>
      <c r="C35" s="2712"/>
      <c r="D35" s="2763"/>
      <c r="E35" s="2875"/>
      <c r="F35" s="2876"/>
      <c r="G35" s="2876"/>
      <c r="H35" s="2875"/>
      <c r="I35" s="2876"/>
      <c r="J35" s="2876"/>
      <c r="K35" s="2875"/>
      <c r="L35" s="2876"/>
      <c r="M35" s="2876"/>
      <c r="N35" s="2875"/>
      <c r="O35" s="2876"/>
      <c r="P35" s="2889"/>
      <c r="Q35" s="2876"/>
      <c r="R35" s="2876"/>
      <c r="S35" s="2876"/>
      <c r="T35" s="2875"/>
      <c r="U35" s="2876"/>
      <c r="V35" s="2876"/>
      <c r="W35" s="2875"/>
      <c r="X35" s="2876"/>
      <c r="Y35" s="2876"/>
      <c r="Z35" s="2875"/>
      <c r="AA35" s="2876"/>
      <c r="AB35" s="2889"/>
      <c r="AC35" s="2876"/>
      <c r="AD35" s="2876"/>
      <c r="AE35" s="2876"/>
      <c r="AF35" s="2875"/>
      <c r="AG35" s="2876"/>
      <c r="AH35" s="2876"/>
      <c r="AI35" s="2875"/>
      <c r="AJ35" s="2876"/>
      <c r="AK35" s="2876"/>
      <c r="AL35" s="2875"/>
      <c r="AM35" s="2876"/>
      <c r="AN35" s="2876"/>
    </row>
    <row r="36" spans="1:43" s="68" customFormat="1" ht="12" customHeight="1" thickTop="1" x14ac:dyDescent="0.15">
      <c r="A36" s="70"/>
      <c r="B36" s="2713" t="str">
        <f>入力ページ!U65</f>
        <v/>
      </c>
      <c r="C36" s="2714"/>
      <c r="D36" s="2758" t="s">
        <v>334</v>
      </c>
      <c r="E36" s="2773" t="s">
        <v>134</v>
      </c>
      <c r="F36" s="2774"/>
      <c r="G36" s="2775"/>
      <c r="H36" s="2773" t="s">
        <v>134</v>
      </c>
      <c r="I36" s="2774"/>
      <c r="J36" s="2775"/>
      <c r="K36" s="2773" t="s">
        <v>134</v>
      </c>
      <c r="L36" s="2774"/>
      <c r="M36" s="2775"/>
      <c r="N36" s="2773" t="s">
        <v>134</v>
      </c>
      <c r="O36" s="2774"/>
      <c r="P36" s="2776"/>
      <c r="Q36" s="2773" t="s">
        <v>134</v>
      </c>
      <c r="R36" s="2774"/>
      <c r="S36" s="2775"/>
      <c r="T36" s="2773" t="s">
        <v>134</v>
      </c>
      <c r="U36" s="2774"/>
      <c r="V36" s="2775"/>
      <c r="W36" s="2773" t="s">
        <v>134</v>
      </c>
      <c r="X36" s="2774"/>
      <c r="Y36" s="2775"/>
      <c r="Z36" s="2773" t="s">
        <v>134</v>
      </c>
      <c r="AA36" s="2774"/>
      <c r="AB36" s="2776"/>
      <c r="AC36" s="2777" t="s">
        <v>134</v>
      </c>
      <c r="AD36" s="2774"/>
      <c r="AE36" s="2775"/>
      <c r="AF36" s="2773" t="s">
        <v>134</v>
      </c>
      <c r="AG36" s="2774"/>
      <c r="AH36" s="2775"/>
      <c r="AI36" s="2773" t="s">
        <v>134</v>
      </c>
      <c r="AJ36" s="2774"/>
      <c r="AK36" s="2775"/>
      <c r="AL36" s="2773" t="s">
        <v>134</v>
      </c>
      <c r="AM36" s="2774"/>
      <c r="AN36" s="2775"/>
    </row>
    <row r="37" spans="1:43" s="68" customFormat="1" ht="12" customHeight="1" x14ac:dyDescent="0.15">
      <c r="A37" s="70"/>
      <c r="B37" s="2705" t="s">
        <v>61</v>
      </c>
      <c r="C37" s="2706"/>
      <c r="D37" s="2758"/>
      <c r="E37" s="2759">
        <f>入力ページ!T67</f>
        <v>0</v>
      </c>
      <c r="F37" s="2760"/>
      <c r="G37" s="2761"/>
      <c r="H37" s="2759">
        <f>入力ページ!T68</f>
        <v>0</v>
      </c>
      <c r="I37" s="2760"/>
      <c r="J37" s="2761"/>
      <c r="K37" s="2759">
        <f>入力ページ!T69</f>
        <v>0</v>
      </c>
      <c r="L37" s="2760"/>
      <c r="M37" s="2761"/>
      <c r="N37" s="2759">
        <f>入力ページ!T70</f>
        <v>0</v>
      </c>
      <c r="O37" s="2760"/>
      <c r="P37" s="2786"/>
      <c r="Q37" s="2787">
        <f>入力ページ!T71</f>
        <v>0</v>
      </c>
      <c r="R37" s="2760"/>
      <c r="S37" s="2761"/>
      <c r="T37" s="2759">
        <f>入力ページ!T72</f>
        <v>0</v>
      </c>
      <c r="U37" s="2760"/>
      <c r="V37" s="2761"/>
      <c r="W37" s="2759">
        <f>入力ページ!T73</f>
        <v>0</v>
      </c>
      <c r="X37" s="2760"/>
      <c r="Y37" s="2761"/>
      <c r="Z37" s="2759">
        <f>入力ページ!T74</f>
        <v>0</v>
      </c>
      <c r="AA37" s="2760"/>
      <c r="AB37" s="2786"/>
      <c r="AC37" s="2787">
        <f>入力ページ!T76</f>
        <v>0</v>
      </c>
      <c r="AD37" s="2760"/>
      <c r="AE37" s="2761"/>
      <c r="AF37" s="2759">
        <f>入力ページ!T77</f>
        <v>0</v>
      </c>
      <c r="AG37" s="2760"/>
      <c r="AH37" s="2761"/>
      <c r="AI37" s="2759">
        <f>入力ページ!T78</f>
        <v>0</v>
      </c>
      <c r="AJ37" s="2760"/>
      <c r="AK37" s="2761"/>
      <c r="AL37" s="2759">
        <f>入力ページ!T79</f>
        <v>0</v>
      </c>
      <c r="AM37" s="2760"/>
      <c r="AN37" s="2761"/>
    </row>
    <row r="38" spans="1:43" s="68" customFormat="1" ht="12" customHeight="1" thickBot="1" x14ac:dyDescent="0.2">
      <c r="A38" s="70"/>
      <c r="B38" s="2707" t="str">
        <f>入力ページ!U65</f>
        <v/>
      </c>
      <c r="C38" s="2708"/>
      <c r="D38" s="2758"/>
      <c r="E38" s="2759"/>
      <c r="F38" s="2760"/>
      <c r="G38" s="2761"/>
      <c r="H38" s="2868"/>
      <c r="I38" s="2869"/>
      <c r="J38" s="2870"/>
      <c r="K38" s="2868"/>
      <c r="L38" s="2869"/>
      <c r="M38" s="2870"/>
      <c r="N38" s="2868"/>
      <c r="O38" s="2869"/>
      <c r="P38" s="2879"/>
      <c r="Q38" s="2880"/>
      <c r="R38" s="2869"/>
      <c r="S38" s="2870"/>
      <c r="T38" s="2868"/>
      <c r="U38" s="2869"/>
      <c r="V38" s="2870"/>
      <c r="W38" s="2868"/>
      <c r="X38" s="2869"/>
      <c r="Y38" s="2870"/>
      <c r="Z38" s="2868"/>
      <c r="AA38" s="2869"/>
      <c r="AB38" s="2879"/>
      <c r="AC38" s="2880"/>
      <c r="AD38" s="2869"/>
      <c r="AE38" s="2870"/>
      <c r="AF38" s="2868"/>
      <c r="AG38" s="2869"/>
      <c r="AH38" s="2870"/>
      <c r="AI38" s="2868"/>
      <c r="AJ38" s="2869"/>
      <c r="AK38" s="2870"/>
      <c r="AL38" s="2868"/>
      <c r="AM38" s="2869"/>
      <c r="AN38" s="2870"/>
    </row>
    <row r="39" spans="1:43" s="68" customFormat="1" ht="13.5" customHeight="1" x14ac:dyDescent="0.15">
      <c r="A39" s="70"/>
      <c r="B39" s="2709" t="str">
        <f>"日("&amp;(IF(入力ページ!U65="","",TEXT(入力ページ!U65,"aaa"))&amp;")")</f>
        <v>日()</v>
      </c>
      <c r="C39" s="2710"/>
      <c r="D39" s="2881" t="s">
        <v>333</v>
      </c>
      <c r="E39" s="2766">
        <f>入力ページ!V67</f>
        <v>0</v>
      </c>
      <c r="F39" s="2767"/>
      <c r="G39" s="2768"/>
      <c r="H39" s="2766">
        <f>入力ページ!V68</f>
        <v>0</v>
      </c>
      <c r="I39" s="2767"/>
      <c r="J39" s="2767"/>
      <c r="K39" s="2766">
        <f>入力ページ!V69</f>
        <v>0</v>
      </c>
      <c r="L39" s="2767"/>
      <c r="M39" s="2767"/>
      <c r="N39" s="2766">
        <f>入力ページ!V70</f>
        <v>0</v>
      </c>
      <c r="O39" s="2767"/>
      <c r="P39" s="2784"/>
      <c r="Q39" s="2767">
        <f>入力ページ!V71</f>
        <v>0</v>
      </c>
      <c r="R39" s="2767"/>
      <c r="S39" s="2767"/>
      <c r="T39" s="2766">
        <f>入力ページ!V72</f>
        <v>0</v>
      </c>
      <c r="U39" s="2767"/>
      <c r="V39" s="2767"/>
      <c r="W39" s="2766">
        <f>入力ページ!V73</f>
        <v>0</v>
      </c>
      <c r="X39" s="2767"/>
      <c r="Y39" s="2767"/>
      <c r="Z39" s="2766">
        <f>入力ページ!V74</f>
        <v>0</v>
      </c>
      <c r="AA39" s="2767"/>
      <c r="AB39" s="2784"/>
      <c r="AC39" s="2767">
        <f>入力ページ!V76</f>
        <v>0</v>
      </c>
      <c r="AD39" s="2767"/>
      <c r="AE39" s="2767"/>
      <c r="AF39" s="2766">
        <f>入力ページ!V77</f>
        <v>0</v>
      </c>
      <c r="AG39" s="2767"/>
      <c r="AH39" s="2767"/>
      <c r="AI39" s="2766">
        <f>入力ページ!V78</f>
        <v>0</v>
      </c>
      <c r="AJ39" s="2767"/>
      <c r="AK39" s="2767"/>
      <c r="AL39" s="2766">
        <f>入力ページ!V79</f>
        <v>0</v>
      </c>
      <c r="AM39" s="2767"/>
      <c r="AN39" s="2871"/>
    </row>
    <row r="40" spans="1:43" s="68" customFormat="1" ht="9" customHeight="1" thickBot="1" x14ac:dyDescent="0.2">
      <c r="A40" s="70"/>
      <c r="B40" s="2709"/>
      <c r="C40" s="2710"/>
      <c r="D40" s="2882"/>
      <c r="E40" s="2769"/>
      <c r="F40" s="2770"/>
      <c r="G40" s="2771"/>
      <c r="H40" s="2769"/>
      <c r="I40" s="2770"/>
      <c r="J40" s="2770"/>
      <c r="K40" s="2769"/>
      <c r="L40" s="2770"/>
      <c r="M40" s="2770"/>
      <c r="N40" s="2769"/>
      <c r="O40" s="2770"/>
      <c r="P40" s="2785"/>
      <c r="Q40" s="2770"/>
      <c r="R40" s="2770"/>
      <c r="S40" s="2770"/>
      <c r="T40" s="2769"/>
      <c r="U40" s="2770"/>
      <c r="V40" s="2770"/>
      <c r="W40" s="2769"/>
      <c r="X40" s="2770"/>
      <c r="Y40" s="2770"/>
      <c r="Z40" s="2769"/>
      <c r="AA40" s="2770"/>
      <c r="AB40" s="2785"/>
      <c r="AC40" s="2770"/>
      <c r="AD40" s="2770"/>
      <c r="AE40" s="2770"/>
      <c r="AF40" s="2769"/>
      <c r="AG40" s="2770"/>
      <c r="AH40" s="2770"/>
      <c r="AI40" s="2769"/>
      <c r="AJ40" s="2770"/>
      <c r="AK40" s="2770"/>
      <c r="AL40" s="2769"/>
      <c r="AM40" s="2770"/>
      <c r="AN40" s="2872"/>
      <c r="AP40" s="71"/>
      <c r="AQ40" s="71"/>
    </row>
    <row r="41" spans="1:43" s="68" customFormat="1" ht="13.5" customHeight="1" x14ac:dyDescent="0.15">
      <c r="A41" s="70"/>
      <c r="B41" s="2709"/>
      <c r="C41" s="2710"/>
      <c r="D41" s="2762" t="s">
        <v>595</v>
      </c>
      <c r="E41" s="2873">
        <f>SUM(E37:G40)</f>
        <v>0</v>
      </c>
      <c r="F41" s="2874"/>
      <c r="G41" s="2874"/>
      <c r="H41" s="2873">
        <f t="shared" ref="H41" si="28">SUM(H37:J40)</f>
        <v>0</v>
      </c>
      <c r="I41" s="2874"/>
      <c r="J41" s="2874"/>
      <c r="K41" s="2873">
        <f t="shared" ref="K41" si="29">SUM(K37:M40)</f>
        <v>0</v>
      </c>
      <c r="L41" s="2874"/>
      <c r="M41" s="2874"/>
      <c r="N41" s="2873">
        <f t="shared" ref="N41" si="30">SUM(N37:P40)</f>
        <v>0</v>
      </c>
      <c r="O41" s="2874"/>
      <c r="P41" s="2888"/>
      <c r="Q41" s="2874">
        <f t="shared" ref="Q41" si="31">SUM(Q37:S40)</f>
        <v>0</v>
      </c>
      <c r="R41" s="2874"/>
      <c r="S41" s="2874"/>
      <c r="T41" s="2873">
        <f t="shared" ref="T41" si="32">SUM(T37:V40)</f>
        <v>0</v>
      </c>
      <c r="U41" s="2874"/>
      <c r="V41" s="2874"/>
      <c r="W41" s="2873">
        <f t="shared" ref="W41" si="33">SUM(W37:Y40)</f>
        <v>0</v>
      </c>
      <c r="X41" s="2874"/>
      <c r="Y41" s="2874"/>
      <c r="Z41" s="2873">
        <f t="shared" ref="Z41" si="34">SUM(Z37:AB40)</f>
        <v>0</v>
      </c>
      <c r="AA41" s="2874"/>
      <c r="AB41" s="2888"/>
      <c r="AC41" s="2874">
        <f t="shared" ref="AC41" si="35">SUM(AC37:AE40)</f>
        <v>0</v>
      </c>
      <c r="AD41" s="2874"/>
      <c r="AE41" s="2874"/>
      <c r="AF41" s="2873">
        <f t="shared" ref="AF41" si="36">SUM(AF37:AH40)</f>
        <v>0</v>
      </c>
      <c r="AG41" s="2874"/>
      <c r="AH41" s="2874"/>
      <c r="AI41" s="2873">
        <f t="shared" ref="AI41" si="37">SUM(AI37:AK40)</f>
        <v>0</v>
      </c>
      <c r="AJ41" s="2874"/>
      <c r="AK41" s="2874"/>
      <c r="AL41" s="2873">
        <f t="shared" ref="AL41" si="38">SUM(AL37:AN40)</f>
        <v>0</v>
      </c>
      <c r="AM41" s="2874"/>
      <c r="AN41" s="2874"/>
    </row>
    <row r="42" spans="1:43" s="68" customFormat="1" ht="9.75" customHeight="1" thickBot="1" x14ac:dyDescent="0.2">
      <c r="A42" s="70"/>
      <c r="B42" s="2711"/>
      <c r="C42" s="2712"/>
      <c r="D42" s="2763"/>
      <c r="E42" s="2875"/>
      <c r="F42" s="2876"/>
      <c r="G42" s="2876"/>
      <c r="H42" s="2875"/>
      <c r="I42" s="2876"/>
      <c r="J42" s="2876"/>
      <c r="K42" s="2875"/>
      <c r="L42" s="2876"/>
      <c r="M42" s="2876"/>
      <c r="N42" s="2875"/>
      <c r="O42" s="2876"/>
      <c r="P42" s="2889"/>
      <c r="Q42" s="2876"/>
      <c r="R42" s="2876"/>
      <c r="S42" s="2876"/>
      <c r="T42" s="2875"/>
      <c r="U42" s="2876"/>
      <c r="V42" s="2876"/>
      <c r="W42" s="2875"/>
      <c r="X42" s="2876"/>
      <c r="Y42" s="2876"/>
      <c r="Z42" s="2875"/>
      <c r="AA42" s="2876"/>
      <c r="AB42" s="2889"/>
      <c r="AC42" s="2876"/>
      <c r="AD42" s="2876"/>
      <c r="AE42" s="2876"/>
      <c r="AF42" s="2875"/>
      <c r="AG42" s="2876"/>
      <c r="AH42" s="2876"/>
      <c r="AI42" s="2875"/>
      <c r="AJ42" s="2876"/>
      <c r="AK42" s="2876"/>
      <c r="AL42" s="2875"/>
      <c r="AM42" s="2876"/>
      <c r="AN42" s="2876"/>
    </row>
    <row r="43" spans="1:43" s="68" customFormat="1" ht="12" customHeight="1" thickTop="1" x14ac:dyDescent="0.15">
      <c r="A43" s="70"/>
      <c r="B43" s="2713" t="str">
        <f>入力ページ!Y65</f>
        <v/>
      </c>
      <c r="C43" s="2714"/>
      <c r="D43" s="2758" t="s">
        <v>334</v>
      </c>
      <c r="E43" s="2773" t="s">
        <v>134</v>
      </c>
      <c r="F43" s="2774"/>
      <c r="G43" s="2775"/>
      <c r="H43" s="2773" t="s">
        <v>134</v>
      </c>
      <c r="I43" s="2774"/>
      <c r="J43" s="2775"/>
      <c r="K43" s="2773" t="s">
        <v>134</v>
      </c>
      <c r="L43" s="2774"/>
      <c r="M43" s="2775"/>
      <c r="N43" s="2773" t="s">
        <v>134</v>
      </c>
      <c r="O43" s="2774"/>
      <c r="P43" s="2776"/>
      <c r="Q43" s="2773" t="s">
        <v>134</v>
      </c>
      <c r="R43" s="2774"/>
      <c r="S43" s="2775"/>
      <c r="T43" s="2773" t="s">
        <v>134</v>
      </c>
      <c r="U43" s="2774"/>
      <c r="V43" s="2775"/>
      <c r="W43" s="2773" t="s">
        <v>134</v>
      </c>
      <c r="X43" s="2774"/>
      <c r="Y43" s="2775"/>
      <c r="Z43" s="2773" t="s">
        <v>134</v>
      </c>
      <c r="AA43" s="2774"/>
      <c r="AB43" s="2776"/>
      <c r="AC43" s="2777" t="s">
        <v>134</v>
      </c>
      <c r="AD43" s="2774"/>
      <c r="AE43" s="2775"/>
      <c r="AF43" s="2773" t="s">
        <v>134</v>
      </c>
      <c r="AG43" s="2774"/>
      <c r="AH43" s="2775"/>
      <c r="AI43" s="2773" t="s">
        <v>134</v>
      </c>
      <c r="AJ43" s="2774"/>
      <c r="AK43" s="2775"/>
      <c r="AL43" s="2773" t="s">
        <v>134</v>
      </c>
      <c r="AM43" s="2774"/>
      <c r="AN43" s="2775"/>
    </row>
    <row r="44" spans="1:43" s="68" customFormat="1" ht="12" customHeight="1" x14ac:dyDescent="0.15">
      <c r="A44" s="70"/>
      <c r="B44" s="2705" t="s">
        <v>61</v>
      </c>
      <c r="C44" s="2706"/>
      <c r="D44" s="2758"/>
      <c r="E44" s="2759">
        <f>入力ページ!X67</f>
        <v>0</v>
      </c>
      <c r="F44" s="2760"/>
      <c r="G44" s="2761"/>
      <c r="H44" s="2759">
        <f>入力ページ!X68</f>
        <v>0</v>
      </c>
      <c r="I44" s="2760"/>
      <c r="J44" s="2761"/>
      <c r="K44" s="2759">
        <f>入力ページ!X69</f>
        <v>0</v>
      </c>
      <c r="L44" s="2760"/>
      <c r="M44" s="2761"/>
      <c r="N44" s="2759">
        <f>入力ページ!X70</f>
        <v>0</v>
      </c>
      <c r="O44" s="2760"/>
      <c r="P44" s="2786"/>
      <c r="Q44" s="2787">
        <f>入力ページ!X71</f>
        <v>0</v>
      </c>
      <c r="R44" s="2760"/>
      <c r="S44" s="2761"/>
      <c r="T44" s="2759">
        <f>入力ページ!X72</f>
        <v>0</v>
      </c>
      <c r="U44" s="2760"/>
      <c r="V44" s="2761"/>
      <c r="W44" s="2759">
        <f>入力ページ!X73</f>
        <v>0</v>
      </c>
      <c r="X44" s="2760"/>
      <c r="Y44" s="2761"/>
      <c r="Z44" s="2759">
        <f>入力ページ!X74</f>
        <v>0</v>
      </c>
      <c r="AA44" s="2760"/>
      <c r="AB44" s="2786"/>
      <c r="AC44" s="2787">
        <f>入力ページ!X76</f>
        <v>0</v>
      </c>
      <c r="AD44" s="2760"/>
      <c r="AE44" s="2761"/>
      <c r="AF44" s="2759">
        <f>入力ページ!X77</f>
        <v>0</v>
      </c>
      <c r="AG44" s="2760"/>
      <c r="AH44" s="2761"/>
      <c r="AI44" s="2759">
        <f>入力ページ!X78</f>
        <v>0</v>
      </c>
      <c r="AJ44" s="2760"/>
      <c r="AK44" s="2761"/>
      <c r="AL44" s="2759">
        <f>入力ページ!X79</f>
        <v>0</v>
      </c>
      <c r="AM44" s="2760"/>
      <c r="AN44" s="2761"/>
    </row>
    <row r="45" spans="1:43" s="68" customFormat="1" ht="12" customHeight="1" thickBot="1" x14ac:dyDescent="0.2">
      <c r="A45" s="70"/>
      <c r="B45" s="2707" t="str">
        <f>入力ページ!Y65</f>
        <v/>
      </c>
      <c r="C45" s="2708"/>
      <c r="D45" s="2758"/>
      <c r="E45" s="2759"/>
      <c r="F45" s="2760"/>
      <c r="G45" s="2761"/>
      <c r="H45" s="2868"/>
      <c r="I45" s="2869"/>
      <c r="J45" s="2870"/>
      <c r="K45" s="2868"/>
      <c r="L45" s="2869"/>
      <c r="M45" s="2870"/>
      <c r="N45" s="2868"/>
      <c r="O45" s="2869"/>
      <c r="P45" s="2879"/>
      <c r="Q45" s="2880"/>
      <c r="R45" s="2869"/>
      <c r="S45" s="2870"/>
      <c r="T45" s="2868"/>
      <c r="U45" s="2869"/>
      <c r="V45" s="2870"/>
      <c r="W45" s="2868"/>
      <c r="X45" s="2869"/>
      <c r="Y45" s="2870"/>
      <c r="Z45" s="2868"/>
      <c r="AA45" s="2869"/>
      <c r="AB45" s="2879"/>
      <c r="AC45" s="2880"/>
      <c r="AD45" s="2869"/>
      <c r="AE45" s="2870"/>
      <c r="AF45" s="2868"/>
      <c r="AG45" s="2869"/>
      <c r="AH45" s="2870"/>
      <c r="AI45" s="2868"/>
      <c r="AJ45" s="2869"/>
      <c r="AK45" s="2870"/>
      <c r="AL45" s="2868"/>
      <c r="AM45" s="2869"/>
      <c r="AN45" s="2870"/>
    </row>
    <row r="46" spans="1:43" s="68" customFormat="1" ht="13.5" customHeight="1" x14ac:dyDescent="0.15">
      <c r="A46" s="70"/>
      <c r="B46" s="2709" t="str">
        <f>"日("&amp;(IF(入力ページ!Y65="","",TEXT(入力ページ!Y65,"aaa"))&amp;")")</f>
        <v>日()</v>
      </c>
      <c r="C46" s="2710"/>
      <c r="D46" s="2881" t="s">
        <v>333</v>
      </c>
      <c r="E46" s="2766">
        <f>入力ページ!Z67</f>
        <v>0</v>
      </c>
      <c r="F46" s="2767"/>
      <c r="G46" s="2768"/>
      <c r="H46" s="2766">
        <f>入力ページ!Z68</f>
        <v>0</v>
      </c>
      <c r="I46" s="2767"/>
      <c r="J46" s="2767"/>
      <c r="K46" s="2766">
        <f>入力ページ!Z69</f>
        <v>0</v>
      </c>
      <c r="L46" s="2767"/>
      <c r="M46" s="2767"/>
      <c r="N46" s="2766">
        <f>入力ページ!Z70</f>
        <v>0</v>
      </c>
      <c r="O46" s="2767"/>
      <c r="P46" s="2784"/>
      <c r="Q46" s="2767">
        <f>入力ページ!Z71</f>
        <v>0</v>
      </c>
      <c r="R46" s="2767"/>
      <c r="S46" s="2767"/>
      <c r="T46" s="2766">
        <f>入力ページ!Z72</f>
        <v>0</v>
      </c>
      <c r="U46" s="2767"/>
      <c r="V46" s="2767"/>
      <c r="W46" s="2766">
        <f>入力ページ!Z73</f>
        <v>0</v>
      </c>
      <c r="X46" s="2767"/>
      <c r="Y46" s="2767"/>
      <c r="Z46" s="2766">
        <f>入力ページ!Z74</f>
        <v>0</v>
      </c>
      <c r="AA46" s="2767"/>
      <c r="AB46" s="2784"/>
      <c r="AC46" s="2767">
        <f>入力ページ!Z76</f>
        <v>0</v>
      </c>
      <c r="AD46" s="2767"/>
      <c r="AE46" s="2767"/>
      <c r="AF46" s="2766">
        <f>入力ページ!Z77</f>
        <v>0</v>
      </c>
      <c r="AG46" s="2767"/>
      <c r="AH46" s="2767"/>
      <c r="AI46" s="2766">
        <f>入力ページ!Z78</f>
        <v>0</v>
      </c>
      <c r="AJ46" s="2767"/>
      <c r="AK46" s="2767"/>
      <c r="AL46" s="2766">
        <f>入力ページ!Z79</f>
        <v>0</v>
      </c>
      <c r="AM46" s="2767"/>
      <c r="AN46" s="2871"/>
    </row>
    <row r="47" spans="1:43" s="68" customFormat="1" ht="9" customHeight="1" thickBot="1" x14ac:dyDescent="0.2">
      <c r="A47" s="70"/>
      <c r="B47" s="2709"/>
      <c r="C47" s="2710"/>
      <c r="D47" s="2882"/>
      <c r="E47" s="2769"/>
      <c r="F47" s="2770"/>
      <c r="G47" s="2771"/>
      <c r="H47" s="2769"/>
      <c r="I47" s="2770"/>
      <c r="J47" s="2770"/>
      <c r="K47" s="2769"/>
      <c r="L47" s="2770"/>
      <c r="M47" s="2770"/>
      <c r="N47" s="2769"/>
      <c r="O47" s="2770"/>
      <c r="P47" s="2785"/>
      <c r="Q47" s="2770"/>
      <c r="R47" s="2770"/>
      <c r="S47" s="2770"/>
      <c r="T47" s="2769"/>
      <c r="U47" s="2770"/>
      <c r="V47" s="2770"/>
      <c r="W47" s="2769"/>
      <c r="X47" s="2770"/>
      <c r="Y47" s="2770"/>
      <c r="Z47" s="2769"/>
      <c r="AA47" s="2770"/>
      <c r="AB47" s="2785"/>
      <c r="AC47" s="2770"/>
      <c r="AD47" s="2770"/>
      <c r="AE47" s="2770"/>
      <c r="AF47" s="2769"/>
      <c r="AG47" s="2770"/>
      <c r="AH47" s="2770"/>
      <c r="AI47" s="2769"/>
      <c r="AJ47" s="2770"/>
      <c r="AK47" s="2770"/>
      <c r="AL47" s="2769"/>
      <c r="AM47" s="2770"/>
      <c r="AN47" s="2872"/>
    </row>
    <row r="48" spans="1:43" s="68" customFormat="1" ht="13.5" customHeight="1" x14ac:dyDescent="0.15">
      <c r="A48" s="70"/>
      <c r="B48" s="2709"/>
      <c r="C48" s="2710"/>
      <c r="D48" s="2762" t="s">
        <v>595</v>
      </c>
      <c r="E48" s="2873">
        <f>SUM(E44:G47)</f>
        <v>0</v>
      </c>
      <c r="F48" s="2874"/>
      <c r="G48" s="2874"/>
      <c r="H48" s="2873">
        <f t="shared" ref="H48" si="39">SUM(H44:J47)</f>
        <v>0</v>
      </c>
      <c r="I48" s="2874"/>
      <c r="J48" s="2874"/>
      <c r="K48" s="2873">
        <f t="shared" ref="K48" si="40">SUM(K44:M47)</f>
        <v>0</v>
      </c>
      <c r="L48" s="2874"/>
      <c r="M48" s="2874"/>
      <c r="N48" s="2873">
        <f t="shared" ref="N48" si="41">SUM(N44:P47)</f>
        <v>0</v>
      </c>
      <c r="O48" s="2874"/>
      <c r="P48" s="2888"/>
      <c r="Q48" s="2874">
        <f t="shared" ref="Q48" si="42">SUM(Q44:S47)</f>
        <v>0</v>
      </c>
      <c r="R48" s="2874"/>
      <c r="S48" s="2874"/>
      <c r="T48" s="2873">
        <f t="shared" ref="T48" si="43">SUM(T44:V47)</f>
        <v>0</v>
      </c>
      <c r="U48" s="2874"/>
      <c r="V48" s="2874"/>
      <c r="W48" s="2873">
        <f t="shared" ref="W48" si="44">SUM(W44:Y47)</f>
        <v>0</v>
      </c>
      <c r="X48" s="2874"/>
      <c r="Y48" s="2874"/>
      <c r="Z48" s="2873">
        <f t="shared" ref="Z48" si="45">SUM(Z44:AB47)</f>
        <v>0</v>
      </c>
      <c r="AA48" s="2874"/>
      <c r="AB48" s="2888"/>
      <c r="AC48" s="2874">
        <f t="shared" ref="AC48" si="46">SUM(AC44:AE47)</f>
        <v>0</v>
      </c>
      <c r="AD48" s="2874"/>
      <c r="AE48" s="2874"/>
      <c r="AF48" s="2873">
        <f t="shared" ref="AF48" si="47">SUM(AF44:AH47)</f>
        <v>0</v>
      </c>
      <c r="AG48" s="2874"/>
      <c r="AH48" s="2874"/>
      <c r="AI48" s="2873">
        <f t="shared" ref="AI48" si="48">SUM(AI44:AK47)</f>
        <v>0</v>
      </c>
      <c r="AJ48" s="2874"/>
      <c r="AK48" s="2874"/>
      <c r="AL48" s="2873">
        <f t="shared" ref="AL48" si="49">SUM(AL44:AN47)</f>
        <v>0</v>
      </c>
      <c r="AM48" s="2874"/>
      <c r="AN48" s="2874"/>
    </row>
    <row r="49" spans="1:43" s="68" customFormat="1" ht="9" customHeight="1" thickBot="1" x14ac:dyDescent="0.2">
      <c r="A49" s="70"/>
      <c r="B49" s="2711"/>
      <c r="C49" s="2712"/>
      <c r="D49" s="2763"/>
      <c r="E49" s="2875"/>
      <c r="F49" s="2876"/>
      <c r="G49" s="2876"/>
      <c r="H49" s="2875"/>
      <c r="I49" s="2876"/>
      <c r="J49" s="2876"/>
      <c r="K49" s="2875"/>
      <c r="L49" s="2876"/>
      <c r="M49" s="2876"/>
      <c r="N49" s="2875"/>
      <c r="O49" s="2876"/>
      <c r="P49" s="2889"/>
      <c r="Q49" s="2876"/>
      <c r="R49" s="2876"/>
      <c r="S49" s="2876"/>
      <c r="T49" s="2875"/>
      <c r="U49" s="2876"/>
      <c r="V49" s="2876"/>
      <c r="W49" s="2875"/>
      <c r="X49" s="2876"/>
      <c r="Y49" s="2876"/>
      <c r="Z49" s="2875"/>
      <c r="AA49" s="2876"/>
      <c r="AB49" s="2889"/>
      <c r="AC49" s="2876"/>
      <c r="AD49" s="2876"/>
      <c r="AE49" s="2876"/>
      <c r="AF49" s="2875"/>
      <c r="AG49" s="2876"/>
      <c r="AH49" s="2876"/>
      <c r="AI49" s="2875"/>
      <c r="AJ49" s="2876"/>
      <c r="AK49" s="2876"/>
      <c r="AL49" s="2875"/>
      <c r="AM49" s="2876"/>
      <c r="AN49" s="2876"/>
    </row>
    <row r="50" spans="1:43" s="68" customFormat="1" ht="12" customHeight="1" thickTop="1" x14ac:dyDescent="0.15">
      <c r="A50" s="70"/>
      <c r="B50" s="2713" t="str">
        <f>入力ページ!AC65</f>
        <v/>
      </c>
      <c r="C50" s="2714"/>
      <c r="D50" s="2758" t="s">
        <v>334</v>
      </c>
      <c r="E50" s="2773" t="s">
        <v>134</v>
      </c>
      <c r="F50" s="2774"/>
      <c r="G50" s="2775"/>
      <c r="H50" s="2773" t="s">
        <v>134</v>
      </c>
      <c r="I50" s="2774"/>
      <c r="J50" s="2775"/>
      <c r="K50" s="2773" t="s">
        <v>134</v>
      </c>
      <c r="L50" s="2774"/>
      <c r="M50" s="2775"/>
      <c r="N50" s="2773" t="s">
        <v>134</v>
      </c>
      <c r="O50" s="2774"/>
      <c r="P50" s="2776"/>
      <c r="Q50" s="2773" t="s">
        <v>134</v>
      </c>
      <c r="R50" s="2774"/>
      <c r="S50" s="2775"/>
      <c r="T50" s="2773" t="s">
        <v>134</v>
      </c>
      <c r="U50" s="2774"/>
      <c r="V50" s="2775"/>
      <c r="W50" s="2773" t="s">
        <v>134</v>
      </c>
      <c r="X50" s="2774"/>
      <c r="Y50" s="2775"/>
      <c r="Z50" s="2773" t="s">
        <v>134</v>
      </c>
      <c r="AA50" s="2774"/>
      <c r="AB50" s="2776"/>
      <c r="AC50" s="2777" t="s">
        <v>134</v>
      </c>
      <c r="AD50" s="2774"/>
      <c r="AE50" s="2775"/>
      <c r="AF50" s="2773" t="s">
        <v>134</v>
      </c>
      <c r="AG50" s="2774"/>
      <c r="AH50" s="2775"/>
      <c r="AI50" s="2773" t="s">
        <v>134</v>
      </c>
      <c r="AJ50" s="2774"/>
      <c r="AK50" s="2775"/>
      <c r="AL50" s="2773" t="s">
        <v>134</v>
      </c>
      <c r="AM50" s="2774"/>
      <c r="AN50" s="2775"/>
    </row>
    <row r="51" spans="1:43" s="68" customFormat="1" ht="12" customHeight="1" x14ac:dyDescent="0.15">
      <c r="A51" s="70"/>
      <c r="B51" s="2705" t="s">
        <v>61</v>
      </c>
      <c r="C51" s="2706"/>
      <c r="D51" s="2758"/>
      <c r="E51" s="2759">
        <f>入力ページ!AB67</f>
        <v>0</v>
      </c>
      <c r="F51" s="2760"/>
      <c r="G51" s="2761"/>
      <c r="H51" s="2759">
        <f>入力ページ!AB68</f>
        <v>0</v>
      </c>
      <c r="I51" s="2760"/>
      <c r="J51" s="2761"/>
      <c r="K51" s="2759">
        <f>入力ページ!AB69</f>
        <v>0</v>
      </c>
      <c r="L51" s="2760"/>
      <c r="M51" s="2761"/>
      <c r="N51" s="2759">
        <f>入力ページ!AB70</f>
        <v>0</v>
      </c>
      <c r="O51" s="2760"/>
      <c r="P51" s="2786"/>
      <c r="Q51" s="2787">
        <f>入力ページ!AB71</f>
        <v>0</v>
      </c>
      <c r="R51" s="2760"/>
      <c r="S51" s="2761"/>
      <c r="T51" s="2759">
        <f>入力ページ!AB72</f>
        <v>0</v>
      </c>
      <c r="U51" s="2760"/>
      <c r="V51" s="2761"/>
      <c r="W51" s="2759">
        <f>入力ページ!AB73</f>
        <v>0</v>
      </c>
      <c r="X51" s="2760"/>
      <c r="Y51" s="2761"/>
      <c r="Z51" s="2759">
        <f>入力ページ!AB74</f>
        <v>0</v>
      </c>
      <c r="AA51" s="2760"/>
      <c r="AB51" s="2786"/>
      <c r="AC51" s="2787"/>
      <c r="AD51" s="2760"/>
      <c r="AE51" s="2761"/>
      <c r="AF51" s="2759"/>
      <c r="AG51" s="2760"/>
      <c r="AH51" s="2761"/>
      <c r="AI51" s="2759"/>
      <c r="AJ51" s="2760"/>
      <c r="AK51" s="2761"/>
      <c r="AL51" s="2759"/>
      <c r="AM51" s="2760"/>
      <c r="AN51" s="2761"/>
    </row>
    <row r="52" spans="1:43" s="68" customFormat="1" ht="12" customHeight="1" thickBot="1" x14ac:dyDescent="0.2">
      <c r="A52" s="70"/>
      <c r="B52" s="2707" t="str">
        <f>入力ページ!AC65</f>
        <v/>
      </c>
      <c r="C52" s="2708"/>
      <c r="D52" s="2758"/>
      <c r="E52" s="2759"/>
      <c r="F52" s="2760"/>
      <c r="G52" s="2761"/>
      <c r="H52" s="2868"/>
      <c r="I52" s="2869"/>
      <c r="J52" s="2870"/>
      <c r="K52" s="2868"/>
      <c r="L52" s="2869"/>
      <c r="M52" s="2870"/>
      <c r="N52" s="2868"/>
      <c r="O52" s="2869"/>
      <c r="P52" s="2879"/>
      <c r="Q52" s="2880"/>
      <c r="R52" s="2869"/>
      <c r="S52" s="2870"/>
      <c r="T52" s="2868"/>
      <c r="U52" s="2869"/>
      <c r="V52" s="2870"/>
      <c r="W52" s="2868"/>
      <c r="X52" s="2869"/>
      <c r="Y52" s="2870"/>
      <c r="Z52" s="2868"/>
      <c r="AA52" s="2869"/>
      <c r="AB52" s="2879"/>
      <c r="AC52" s="2880"/>
      <c r="AD52" s="2869"/>
      <c r="AE52" s="2870"/>
      <c r="AF52" s="2868"/>
      <c r="AG52" s="2869"/>
      <c r="AH52" s="2870"/>
      <c r="AI52" s="2868"/>
      <c r="AJ52" s="2869"/>
      <c r="AK52" s="2870"/>
      <c r="AL52" s="2868"/>
      <c r="AM52" s="2869"/>
      <c r="AN52" s="2870"/>
    </row>
    <row r="53" spans="1:43" s="68" customFormat="1" ht="13.5" customHeight="1" x14ac:dyDescent="0.15">
      <c r="A53" s="70"/>
      <c r="B53" s="2709" t="str">
        <f>"日("&amp;(IF(入力ページ!AC65="","",TEXT(入力ページ!AC65,"aaa"))&amp;")")</f>
        <v>日()</v>
      </c>
      <c r="C53" s="2710"/>
      <c r="D53" s="2881" t="s">
        <v>333</v>
      </c>
      <c r="E53" s="2766">
        <f>入力ページ!AD67</f>
        <v>0</v>
      </c>
      <c r="F53" s="2767"/>
      <c r="G53" s="2768"/>
      <c r="H53" s="2766">
        <f>入力ページ!AD68</f>
        <v>0</v>
      </c>
      <c r="I53" s="2767"/>
      <c r="J53" s="2767"/>
      <c r="K53" s="2766">
        <f>入力ページ!AD69</f>
        <v>0</v>
      </c>
      <c r="L53" s="2767"/>
      <c r="M53" s="2767"/>
      <c r="N53" s="2766">
        <f>入力ページ!AD70</f>
        <v>0</v>
      </c>
      <c r="O53" s="2767"/>
      <c r="P53" s="2784"/>
      <c r="Q53" s="2767">
        <f>入力ページ!AD71</f>
        <v>0</v>
      </c>
      <c r="R53" s="2767"/>
      <c r="S53" s="2767"/>
      <c r="T53" s="2766">
        <f>入力ページ!AD72</f>
        <v>0</v>
      </c>
      <c r="U53" s="2767"/>
      <c r="V53" s="2767"/>
      <c r="W53" s="2766">
        <f>入力ページ!AD73</f>
        <v>0</v>
      </c>
      <c r="X53" s="2767"/>
      <c r="Y53" s="2767"/>
      <c r="Z53" s="2766">
        <f>入力ページ!AD74</f>
        <v>0</v>
      </c>
      <c r="AA53" s="2767"/>
      <c r="AB53" s="2784"/>
      <c r="AC53" s="2767"/>
      <c r="AD53" s="2767"/>
      <c r="AE53" s="2767"/>
      <c r="AF53" s="2766"/>
      <c r="AG53" s="2767"/>
      <c r="AH53" s="2767"/>
      <c r="AI53" s="2766"/>
      <c r="AJ53" s="2767"/>
      <c r="AK53" s="2767"/>
      <c r="AL53" s="2766"/>
      <c r="AM53" s="2767"/>
      <c r="AN53" s="2871"/>
    </row>
    <row r="54" spans="1:43" s="68" customFormat="1" ht="9" customHeight="1" thickBot="1" x14ac:dyDescent="0.2">
      <c r="A54" s="70"/>
      <c r="B54" s="2709"/>
      <c r="C54" s="2710"/>
      <c r="D54" s="2882"/>
      <c r="E54" s="2769"/>
      <c r="F54" s="2770"/>
      <c r="G54" s="2771"/>
      <c r="H54" s="2769"/>
      <c r="I54" s="2770"/>
      <c r="J54" s="2770"/>
      <c r="K54" s="2769"/>
      <c r="L54" s="2770"/>
      <c r="M54" s="2770"/>
      <c r="N54" s="2769"/>
      <c r="O54" s="2770"/>
      <c r="P54" s="2785"/>
      <c r="Q54" s="2770"/>
      <c r="R54" s="2770"/>
      <c r="S54" s="2770"/>
      <c r="T54" s="2769"/>
      <c r="U54" s="2770"/>
      <c r="V54" s="2770"/>
      <c r="W54" s="2769"/>
      <c r="X54" s="2770"/>
      <c r="Y54" s="2770"/>
      <c r="Z54" s="2769"/>
      <c r="AA54" s="2770"/>
      <c r="AB54" s="2785"/>
      <c r="AC54" s="2770"/>
      <c r="AD54" s="2770"/>
      <c r="AE54" s="2770"/>
      <c r="AF54" s="2769"/>
      <c r="AG54" s="2770"/>
      <c r="AH54" s="2770"/>
      <c r="AI54" s="2769"/>
      <c r="AJ54" s="2770"/>
      <c r="AK54" s="2770"/>
      <c r="AL54" s="2769"/>
      <c r="AM54" s="2770"/>
      <c r="AN54" s="2872"/>
      <c r="AP54" s="71"/>
      <c r="AQ54" s="71"/>
    </row>
    <row r="55" spans="1:43" s="68" customFormat="1" ht="13.5" customHeight="1" x14ac:dyDescent="0.15">
      <c r="A55" s="70"/>
      <c r="B55" s="2709"/>
      <c r="C55" s="2710"/>
      <c r="D55" s="2762" t="s">
        <v>595</v>
      </c>
      <c r="E55" s="2873">
        <f>SUM(E51:G54)</f>
        <v>0</v>
      </c>
      <c r="F55" s="2874"/>
      <c r="G55" s="2874"/>
      <c r="H55" s="2873">
        <f t="shared" ref="H55" si="50">SUM(H51:J54)</f>
        <v>0</v>
      </c>
      <c r="I55" s="2874"/>
      <c r="J55" s="2874"/>
      <c r="K55" s="2873">
        <f t="shared" ref="K55" si="51">SUM(K51:M54)</f>
        <v>0</v>
      </c>
      <c r="L55" s="2874"/>
      <c r="M55" s="2874"/>
      <c r="N55" s="2873">
        <f t="shared" ref="N55" si="52">SUM(N51:P54)</f>
        <v>0</v>
      </c>
      <c r="O55" s="2874"/>
      <c r="P55" s="2888"/>
      <c r="Q55" s="2874">
        <f t="shared" ref="Q55" si="53">SUM(Q51:S54)</f>
        <v>0</v>
      </c>
      <c r="R55" s="2874"/>
      <c r="S55" s="2874"/>
      <c r="T55" s="2873">
        <f t="shared" ref="T55" si="54">SUM(T51:V54)</f>
        <v>0</v>
      </c>
      <c r="U55" s="2874"/>
      <c r="V55" s="2874"/>
      <c r="W55" s="2873">
        <f t="shared" ref="W55" si="55">SUM(W51:Y54)</f>
        <v>0</v>
      </c>
      <c r="X55" s="2874"/>
      <c r="Y55" s="2874"/>
      <c r="Z55" s="2873">
        <f t="shared" ref="Z55" si="56">SUM(Z51:AB54)</f>
        <v>0</v>
      </c>
      <c r="AA55" s="2874"/>
      <c r="AB55" s="2888"/>
      <c r="AC55" s="2779"/>
      <c r="AD55" s="2779"/>
      <c r="AE55" s="2779"/>
      <c r="AF55" s="2779"/>
      <c r="AG55" s="2779"/>
      <c r="AH55" s="2779"/>
      <c r="AI55" s="2779"/>
      <c r="AJ55" s="2779"/>
      <c r="AK55" s="2779"/>
      <c r="AL55" s="2779"/>
      <c r="AM55" s="2779"/>
      <c r="AN55" s="2779"/>
      <c r="AO55" s="174"/>
    </row>
    <row r="56" spans="1:43" s="68" customFormat="1" ht="9" customHeight="1" thickBot="1" x14ac:dyDescent="0.2">
      <c r="A56" s="70"/>
      <c r="B56" s="2711"/>
      <c r="C56" s="2712"/>
      <c r="D56" s="2885"/>
      <c r="E56" s="2875"/>
      <c r="F56" s="2876"/>
      <c r="G56" s="2876"/>
      <c r="H56" s="2875"/>
      <c r="I56" s="2876"/>
      <c r="J56" s="2876"/>
      <c r="K56" s="2875"/>
      <c r="L56" s="2876"/>
      <c r="M56" s="2876"/>
      <c r="N56" s="2875"/>
      <c r="O56" s="2876"/>
      <c r="P56" s="2889"/>
      <c r="Q56" s="2876"/>
      <c r="R56" s="2876"/>
      <c r="S56" s="2876"/>
      <c r="T56" s="2875"/>
      <c r="U56" s="2876"/>
      <c r="V56" s="2876"/>
      <c r="W56" s="2875"/>
      <c r="X56" s="2876"/>
      <c r="Y56" s="2876"/>
      <c r="Z56" s="2875"/>
      <c r="AA56" s="2876"/>
      <c r="AB56" s="2889"/>
      <c r="AC56" s="2782"/>
      <c r="AD56" s="2782"/>
      <c r="AE56" s="2782"/>
      <c r="AF56" s="2782"/>
      <c r="AG56" s="2782"/>
      <c r="AH56" s="2782"/>
      <c r="AI56" s="2782"/>
      <c r="AJ56" s="2782"/>
      <c r="AK56" s="2782"/>
      <c r="AL56" s="2782"/>
      <c r="AM56" s="2782"/>
      <c r="AN56" s="2782"/>
      <c r="AO56" s="174"/>
    </row>
    <row r="57" spans="1:43" s="68" customFormat="1" ht="12" customHeight="1" thickTop="1" x14ac:dyDescent="0.15">
      <c r="A57" s="70"/>
      <c r="B57" s="2715" t="s">
        <v>135</v>
      </c>
      <c r="C57" s="2716"/>
      <c r="D57" s="2717"/>
      <c r="E57" s="2833" t="s">
        <v>134</v>
      </c>
      <c r="F57" s="2834"/>
      <c r="G57" s="2835"/>
      <c r="H57" s="2833" t="s">
        <v>134</v>
      </c>
      <c r="I57" s="2834"/>
      <c r="J57" s="2835"/>
      <c r="K57" s="2833" t="s">
        <v>134</v>
      </c>
      <c r="L57" s="2834"/>
      <c r="M57" s="2835"/>
      <c r="N57" s="2833" t="s">
        <v>134</v>
      </c>
      <c r="O57" s="2834"/>
      <c r="P57" s="2836"/>
      <c r="Q57" s="2773" t="s">
        <v>134</v>
      </c>
      <c r="R57" s="2774"/>
      <c r="S57" s="2775"/>
      <c r="T57" s="2773" t="s">
        <v>134</v>
      </c>
      <c r="U57" s="2774"/>
      <c r="V57" s="2775"/>
      <c r="W57" s="2773" t="s">
        <v>134</v>
      </c>
      <c r="X57" s="2774"/>
      <c r="Y57" s="2775"/>
      <c r="Z57" s="2773" t="s">
        <v>134</v>
      </c>
      <c r="AA57" s="2774"/>
      <c r="AB57" s="2776"/>
      <c r="AC57" s="2777" t="s">
        <v>134</v>
      </c>
      <c r="AD57" s="2774"/>
      <c r="AE57" s="2775"/>
      <c r="AF57" s="2773" t="s">
        <v>134</v>
      </c>
      <c r="AG57" s="2774"/>
      <c r="AH57" s="2775"/>
      <c r="AI57" s="2773" t="s">
        <v>134</v>
      </c>
      <c r="AJ57" s="2774"/>
      <c r="AK57" s="2775"/>
      <c r="AL57" s="2773" t="s">
        <v>134</v>
      </c>
      <c r="AM57" s="2774"/>
      <c r="AN57" s="2775"/>
    </row>
    <row r="58" spans="1:43" s="68" customFormat="1" ht="19.5" customHeight="1" x14ac:dyDescent="0.2">
      <c r="A58" s="70"/>
      <c r="B58" s="2718"/>
      <c r="C58" s="2719"/>
      <c r="D58" s="2720"/>
      <c r="E58" s="2830">
        <f>SUM(E23,E25,E30,E32,E37,E39,E44,E46,E51,E53)</f>
        <v>0</v>
      </c>
      <c r="F58" s="2831"/>
      <c r="G58" s="2832"/>
      <c r="H58" s="2830">
        <f>SUM(H23,H25,H30,H32,H37,H39,H44,H46,H51,H53)</f>
        <v>0</v>
      </c>
      <c r="I58" s="2831"/>
      <c r="J58" s="2832"/>
      <c r="K58" s="2830">
        <f>SUM(K23,K25,K30,K32,K37,K39,K44,K46,K51,K53)</f>
        <v>0</v>
      </c>
      <c r="L58" s="2831"/>
      <c r="M58" s="2832"/>
      <c r="N58" s="2830">
        <f>SUM(N23,N25,N30,N32,N37,N39,N44,N46,N51,N53)</f>
        <v>0</v>
      </c>
      <c r="O58" s="2831"/>
      <c r="P58" s="2837"/>
      <c r="Q58" s="2830">
        <f>SUM(Q16,Q18,Q23,Q25,Q30,Q32,Q37,Q39,Q44,Q46,Q51,Q53)</f>
        <v>0</v>
      </c>
      <c r="R58" s="2831"/>
      <c r="S58" s="2832"/>
      <c r="T58" s="2830">
        <f>SUM(T16,T18,T23,T25,T30,T32,T37,T39,T44,T46,T51,T53)</f>
        <v>0</v>
      </c>
      <c r="U58" s="2831"/>
      <c r="V58" s="2832"/>
      <c r="W58" s="2830">
        <f>SUM(W16,W18,W23,W25,W30,W32,W37,W39,W44,W46,W51,W53)</f>
        <v>0</v>
      </c>
      <c r="X58" s="2831"/>
      <c r="Y58" s="2832"/>
      <c r="Z58" s="2830">
        <f>SUM(Z16,Z18,Z23,Z25,Z30,Z32,Z37,Z39,Z44,Z46,Z51,Z53)</f>
        <v>0</v>
      </c>
      <c r="AA58" s="2831"/>
      <c r="AB58" s="2837"/>
      <c r="AC58" s="2830">
        <f>SUM(AC16,AC18,AC23,AC25,AC30,AC32,AC37,AC39,AC44,AC46)</f>
        <v>0</v>
      </c>
      <c r="AD58" s="2831"/>
      <c r="AE58" s="2832"/>
      <c r="AF58" s="2830">
        <f>SUM(AF16,AF18,AF23,AF25,AF30,AF32,AF37,AF39,AF44,AF46)</f>
        <v>0</v>
      </c>
      <c r="AG58" s="2831"/>
      <c r="AH58" s="2832"/>
      <c r="AI58" s="2830">
        <f>SUM(AI16,AI18,AI23,AI25,AI30,AI32,AI37,AI39,AI44,AI46)</f>
        <v>0</v>
      </c>
      <c r="AJ58" s="2831"/>
      <c r="AK58" s="2832"/>
      <c r="AL58" s="2830">
        <f>SUM(AL16,AL18,AL23,AL25,AL30,AL32,AL37,AL39,AL44,AL46)</f>
        <v>0</v>
      </c>
      <c r="AM58" s="2831"/>
      <c r="AN58" s="2832"/>
      <c r="AP58" s="70"/>
    </row>
    <row r="59" spans="1:43" s="68" customFormat="1" ht="3.75" customHeight="1" x14ac:dyDescent="0.2">
      <c r="B59" s="70"/>
      <c r="C59" s="175"/>
      <c r="D59" s="175"/>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P59" s="70"/>
    </row>
    <row r="60" spans="1:43" s="68" customFormat="1" ht="15" customHeight="1" x14ac:dyDescent="0.15">
      <c r="A60" s="70"/>
      <c r="B60" s="2840" t="s">
        <v>340</v>
      </c>
      <c r="C60" s="2841"/>
      <c r="D60" s="2841"/>
      <c r="E60" s="2841"/>
      <c r="F60" s="2841"/>
      <c r="G60" s="2841"/>
      <c r="H60" s="2841"/>
      <c r="I60" s="2841"/>
      <c r="J60" s="2841"/>
      <c r="K60" s="2841"/>
      <c r="L60" s="2841"/>
      <c r="M60" s="2841"/>
      <c r="N60" s="2841"/>
      <c r="O60" s="2841"/>
      <c r="P60" s="2841"/>
      <c r="Q60" s="2841"/>
      <c r="R60" s="2841"/>
      <c r="S60" s="2841"/>
      <c r="T60" s="2841"/>
      <c r="U60" s="2841"/>
      <c r="V60" s="2841"/>
      <c r="W60" s="2841"/>
      <c r="X60" s="2841"/>
      <c r="Y60" s="2841"/>
      <c r="Z60" s="2841"/>
      <c r="AA60" s="2828" t="s">
        <v>133</v>
      </c>
      <c r="AB60" s="2828"/>
      <c r="AC60" s="2828"/>
      <c r="AD60" s="2828"/>
      <c r="AE60" s="2828"/>
      <c r="AF60" s="77"/>
      <c r="AG60" s="78"/>
      <c r="AH60" s="78"/>
      <c r="AI60" s="78"/>
      <c r="AJ60" s="78"/>
      <c r="AK60" s="78"/>
      <c r="AL60" s="78"/>
      <c r="AM60" s="78"/>
      <c r="AN60" s="79"/>
      <c r="AO60" s="69"/>
      <c r="AP60" s="70"/>
    </row>
    <row r="61" spans="1:43" s="68" customFormat="1" ht="13.5" customHeight="1" x14ac:dyDescent="0.15">
      <c r="A61" s="70"/>
      <c r="B61" s="174"/>
      <c r="C61" s="2838" t="s">
        <v>132</v>
      </c>
      <c r="D61" s="2839"/>
      <c r="E61" s="2867" t="s">
        <v>131</v>
      </c>
      <c r="F61" s="2867"/>
      <c r="G61" s="2867"/>
      <c r="H61" s="2867"/>
      <c r="I61" s="2867"/>
      <c r="J61" s="2867"/>
      <c r="K61" s="2867"/>
      <c r="L61" s="2867"/>
      <c r="M61" s="2867"/>
      <c r="N61" s="2867"/>
      <c r="O61" s="2867"/>
      <c r="P61" s="2867"/>
      <c r="Q61" s="2867"/>
      <c r="R61" s="2867"/>
      <c r="S61" s="2867"/>
      <c r="T61" s="2839"/>
      <c r="U61" s="2867" t="s">
        <v>130</v>
      </c>
      <c r="V61" s="2867"/>
      <c r="W61" s="2867"/>
      <c r="X61" s="2867"/>
      <c r="Y61" s="2867"/>
      <c r="Z61" s="2839"/>
      <c r="AA61" s="2842" t="s">
        <v>336</v>
      </c>
      <c r="AB61" s="2842"/>
      <c r="AC61" s="2842"/>
      <c r="AD61" s="2842"/>
      <c r="AE61" s="2842"/>
      <c r="AF61" s="2842"/>
      <c r="AG61" s="2842"/>
      <c r="AH61" s="2842"/>
      <c r="AI61" s="2842"/>
      <c r="AJ61" s="2842"/>
      <c r="AK61" s="2842"/>
      <c r="AL61" s="2842"/>
      <c r="AM61" s="2842"/>
      <c r="AN61" s="2843"/>
    </row>
    <row r="62" spans="1:43" s="68" customFormat="1" ht="16.5" customHeight="1" x14ac:dyDescent="0.15">
      <c r="A62" s="70"/>
      <c r="B62" s="174"/>
      <c r="C62" s="2858">
        <f>入力ページ!M88</f>
        <v>0</v>
      </c>
      <c r="D62" s="2859"/>
      <c r="E62" s="2846" t="s">
        <v>129</v>
      </c>
      <c r="F62" s="2847"/>
      <c r="G62" s="2847"/>
      <c r="H62" s="2847"/>
      <c r="I62" s="2847"/>
      <c r="J62" s="2847"/>
      <c r="K62" s="2847"/>
      <c r="L62" s="2847"/>
      <c r="M62" s="2847"/>
      <c r="N62" s="178" t="s">
        <v>96</v>
      </c>
      <c r="O62" s="2848">
        <f>入力ページ!I88</f>
        <v>0</v>
      </c>
      <c r="P62" s="2848"/>
      <c r="Q62" s="2848"/>
      <c r="R62" s="2849" t="s">
        <v>104</v>
      </c>
      <c r="S62" s="2849"/>
      <c r="T62" s="2850"/>
      <c r="U62" s="2851"/>
      <c r="V62" s="2851"/>
      <c r="W62" s="2851"/>
      <c r="X62" s="2851"/>
      <c r="Y62" s="2851"/>
      <c r="Z62" s="2852"/>
      <c r="AA62" s="2842"/>
      <c r="AB62" s="2842"/>
      <c r="AC62" s="2842"/>
      <c r="AD62" s="2842"/>
      <c r="AE62" s="2842"/>
      <c r="AF62" s="2842"/>
      <c r="AG62" s="2842"/>
      <c r="AH62" s="2842"/>
      <c r="AI62" s="2842"/>
      <c r="AJ62" s="2842"/>
      <c r="AK62" s="2842"/>
      <c r="AL62" s="2842"/>
      <c r="AM62" s="2842"/>
      <c r="AN62" s="2843"/>
      <c r="AP62" s="70"/>
    </row>
    <row r="63" spans="1:43" s="68" customFormat="1" ht="16.5" customHeight="1" x14ac:dyDescent="0.15">
      <c r="A63" s="70"/>
      <c r="B63" s="317"/>
      <c r="C63" s="2860">
        <f>入力ページ!M89</f>
        <v>0</v>
      </c>
      <c r="D63" s="2861"/>
      <c r="E63" s="2853">
        <f>入力ページ!D89</f>
        <v>0</v>
      </c>
      <c r="F63" s="2854"/>
      <c r="G63" s="2854"/>
      <c r="H63" s="2854"/>
      <c r="I63" s="2854"/>
      <c r="J63" s="2854"/>
      <c r="K63" s="2854"/>
      <c r="L63" s="2854"/>
      <c r="M63" s="2854"/>
      <c r="N63" s="2854"/>
      <c r="O63" s="2854"/>
      <c r="P63" s="2854"/>
      <c r="Q63" s="2854"/>
      <c r="R63" s="2854"/>
      <c r="S63" s="2854"/>
      <c r="T63" s="2855"/>
      <c r="U63" s="2856"/>
      <c r="V63" s="2856"/>
      <c r="W63" s="2856"/>
      <c r="X63" s="2856"/>
      <c r="Y63" s="2856"/>
      <c r="Z63" s="2857"/>
      <c r="AA63" s="2842"/>
      <c r="AB63" s="2842"/>
      <c r="AC63" s="2842"/>
      <c r="AD63" s="2842"/>
      <c r="AE63" s="2842"/>
      <c r="AF63" s="2842"/>
      <c r="AG63" s="2842"/>
      <c r="AH63" s="2842"/>
      <c r="AI63" s="2842"/>
      <c r="AJ63" s="2842"/>
      <c r="AK63" s="2842"/>
      <c r="AL63" s="2842"/>
      <c r="AM63" s="2842"/>
      <c r="AN63" s="2843"/>
    </row>
    <row r="64" spans="1:43" s="68" customFormat="1" ht="16.5" customHeight="1" x14ac:dyDescent="0.15">
      <c r="A64" s="70"/>
      <c r="B64" s="174"/>
      <c r="C64" s="2860">
        <f>入力ページ!M90</f>
        <v>0</v>
      </c>
      <c r="D64" s="2861"/>
      <c r="E64" s="2853">
        <f>入力ページ!D90</f>
        <v>0</v>
      </c>
      <c r="F64" s="2854"/>
      <c r="G64" s="2854"/>
      <c r="H64" s="2854"/>
      <c r="I64" s="2854"/>
      <c r="J64" s="2854"/>
      <c r="K64" s="2854"/>
      <c r="L64" s="2854"/>
      <c r="M64" s="2854"/>
      <c r="N64" s="2854"/>
      <c r="O64" s="2854"/>
      <c r="P64" s="2854"/>
      <c r="Q64" s="2854"/>
      <c r="R64" s="2854"/>
      <c r="S64" s="2854"/>
      <c r="T64" s="2855"/>
      <c r="U64" s="2864"/>
      <c r="V64" s="2865"/>
      <c r="W64" s="2865"/>
      <c r="X64" s="2865"/>
      <c r="Y64" s="2865"/>
      <c r="Z64" s="2866"/>
      <c r="AA64" s="2842"/>
      <c r="AB64" s="2842"/>
      <c r="AC64" s="2842"/>
      <c r="AD64" s="2842"/>
      <c r="AE64" s="2842"/>
      <c r="AF64" s="2842"/>
      <c r="AG64" s="2842"/>
      <c r="AH64" s="2842"/>
      <c r="AI64" s="2842"/>
      <c r="AJ64" s="2842"/>
      <c r="AK64" s="2842"/>
      <c r="AL64" s="2842"/>
      <c r="AM64" s="2842"/>
      <c r="AN64" s="2843"/>
    </row>
    <row r="65" spans="1:43" s="68" customFormat="1" ht="26.25" customHeight="1" x14ac:dyDescent="0.15">
      <c r="B65" s="2862" t="s">
        <v>337</v>
      </c>
      <c r="C65" s="2842"/>
      <c r="D65" s="2842"/>
      <c r="E65" s="2842"/>
      <c r="F65" s="2842"/>
      <c r="G65" s="2842"/>
      <c r="H65" s="2842"/>
      <c r="I65" s="2842"/>
      <c r="J65" s="2842"/>
      <c r="K65" s="2842"/>
      <c r="L65" s="2842"/>
      <c r="M65" s="2842"/>
      <c r="N65" s="2842"/>
      <c r="O65" s="2842"/>
      <c r="P65" s="2842"/>
      <c r="Q65" s="2842"/>
      <c r="R65" s="2842"/>
      <c r="S65" s="2842"/>
      <c r="T65" s="2842"/>
      <c r="U65" s="2842"/>
      <c r="V65" s="2842"/>
      <c r="W65" s="2842"/>
      <c r="X65" s="2842"/>
      <c r="Y65" s="2842"/>
      <c r="Z65" s="2842"/>
      <c r="AA65" s="2842"/>
      <c r="AB65" s="2842"/>
      <c r="AC65" s="2842"/>
      <c r="AD65" s="2842"/>
      <c r="AE65" s="2842"/>
      <c r="AF65" s="2842"/>
      <c r="AG65" s="2842"/>
      <c r="AH65" s="2842"/>
      <c r="AI65" s="2842"/>
      <c r="AJ65" s="2842"/>
      <c r="AK65" s="2842"/>
      <c r="AL65" s="2842"/>
      <c r="AM65" s="2842"/>
      <c r="AN65" s="2843"/>
      <c r="AO65" s="74"/>
    </row>
    <row r="66" spans="1:43" s="68" customFormat="1" ht="22.5" customHeight="1" x14ac:dyDescent="0.15">
      <c r="B66" s="2862"/>
      <c r="C66" s="2842"/>
      <c r="D66" s="2842"/>
      <c r="E66" s="2842"/>
      <c r="F66" s="2842"/>
      <c r="G66" s="2842"/>
      <c r="H66" s="2842"/>
      <c r="I66" s="2842"/>
      <c r="J66" s="2842"/>
      <c r="K66" s="2842"/>
      <c r="L66" s="2842"/>
      <c r="M66" s="2842"/>
      <c r="N66" s="2842"/>
      <c r="O66" s="2842"/>
      <c r="P66" s="2842"/>
      <c r="Q66" s="2842"/>
      <c r="R66" s="2842"/>
      <c r="S66" s="2842"/>
      <c r="T66" s="2842"/>
      <c r="U66" s="2842"/>
      <c r="V66" s="2842"/>
      <c r="W66" s="2842"/>
      <c r="X66" s="2842"/>
      <c r="Y66" s="2842"/>
      <c r="Z66" s="2842"/>
      <c r="AA66" s="2842"/>
      <c r="AB66" s="2842"/>
      <c r="AC66" s="2842"/>
      <c r="AD66" s="2842"/>
      <c r="AE66" s="2842"/>
      <c r="AF66" s="2842"/>
      <c r="AG66" s="2842"/>
      <c r="AH66" s="2842"/>
      <c r="AI66" s="2842"/>
      <c r="AJ66" s="2842"/>
      <c r="AK66" s="2842"/>
      <c r="AL66" s="2842"/>
      <c r="AM66" s="2842"/>
      <c r="AN66" s="2843"/>
      <c r="AO66" s="74"/>
    </row>
    <row r="67" spans="1:43" s="68" customFormat="1" ht="15" customHeight="1" x14ac:dyDescent="0.15">
      <c r="A67" s="70"/>
      <c r="B67" s="2863"/>
      <c r="C67" s="2844"/>
      <c r="D67" s="2844"/>
      <c r="E67" s="2844"/>
      <c r="F67" s="2844"/>
      <c r="G67" s="2844"/>
      <c r="H67" s="2844"/>
      <c r="I67" s="2844"/>
      <c r="J67" s="2844"/>
      <c r="K67" s="2844"/>
      <c r="L67" s="2844"/>
      <c r="M67" s="2844"/>
      <c r="N67" s="2844"/>
      <c r="O67" s="2844"/>
      <c r="P67" s="2844"/>
      <c r="Q67" s="2844"/>
      <c r="R67" s="2844"/>
      <c r="S67" s="2844"/>
      <c r="T67" s="2844"/>
      <c r="U67" s="2844"/>
      <c r="V67" s="2844"/>
      <c r="W67" s="2844"/>
      <c r="X67" s="2844"/>
      <c r="Y67" s="2844"/>
      <c r="Z67" s="2844"/>
      <c r="AA67" s="2844"/>
      <c r="AB67" s="2844"/>
      <c r="AC67" s="2844"/>
      <c r="AD67" s="2844"/>
      <c r="AE67" s="2844"/>
      <c r="AF67" s="2844"/>
      <c r="AG67" s="2844"/>
      <c r="AH67" s="2844"/>
      <c r="AI67" s="2844"/>
      <c r="AJ67" s="2844"/>
      <c r="AK67" s="2844"/>
      <c r="AL67" s="2844"/>
      <c r="AM67" s="2844"/>
      <c r="AN67" s="2845"/>
      <c r="AO67" s="74"/>
      <c r="AQ67" s="70"/>
    </row>
  </sheetData>
  <sheetProtection algorithmName="SHA-512" hashValue="p251kx3XP274NJvm5nYDSXRRnRH0txXZCqBMxYHB0C2XakomRZAZ8WOQ10ObUmwn2FmVuN5KJgzP8axu1wMU9g==" saltValue="MdLJ6bMXV/mJAU7JQFMtrw==" spinCount="100000" sheet="1" selectLockedCells="1"/>
  <mergeCells count="444">
    <mergeCell ref="K46:M47"/>
    <mergeCell ref="E55:G56"/>
    <mergeCell ref="H55:J56"/>
    <mergeCell ref="K55:M56"/>
    <mergeCell ref="N55:P56"/>
    <mergeCell ref="Q55:S56"/>
    <mergeCell ref="T55:V56"/>
    <mergeCell ref="W55:Y56"/>
    <mergeCell ref="Z55:AB56"/>
    <mergeCell ref="N46:P47"/>
    <mergeCell ref="E51:G52"/>
    <mergeCell ref="K53:M54"/>
    <mergeCell ref="E48:G49"/>
    <mergeCell ref="H48:J49"/>
    <mergeCell ref="K48:M49"/>
    <mergeCell ref="N48:P49"/>
    <mergeCell ref="Q48:S49"/>
    <mergeCell ref="T48:V49"/>
    <mergeCell ref="W48:Y49"/>
    <mergeCell ref="Z48:AB49"/>
    <mergeCell ref="Q53:S54"/>
    <mergeCell ref="T53:V54"/>
    <mergeCell ref="W51:Y52"/>
    <mergeCell ref="Z51:AB52"/>
    <mergeCell ref="E39:G40"/>
    <mergeCell ref="H39:J40"/>
    <mergeCell ref="E41:G42"/>
    <mergeCell ref="H41:J42"/>
    <mergeCell ref="K41:M42"/>
    <mergeCell ref="N41:P42"/>
    <mergeCell ref="Q41:S42"/>
    <mergeCell ref="T41:V42"/>
    <mergeCell ref="W41:Y42"/>
    <mergeCell ref="K39:M40"/>
    <mergeCell ref="AF23:AH24"/>
    <mergeCell ref="N25:P26"/>
    <mergeCell ref="AC48:AE49"/>
    <mergeCell ref="E15:G15"/>
    <mergeCell ref="E36:G36"/>
    <mergeCell ref="D25:D26"/>
    <mergeCell ref="E25:G26"/>
    <mergeCell ref="D32:D33"/>
    <mergeCell ref="E32:G33"/>
    <mergeCell ref="H32:J33"/>
    <mergeCell ref="K32:M33"/>
    <mergeCell ref="N44:P45"/>
    <mergeCell ref="Q44:S45"/>
    <mergeCell ref="AC43:AE43"/>
    <mergeCell ref="Q25:S26"/>
    <mergeCell ref="W34:Y35"/>
    <mergeCell ref="Z34:AB35"/>
    <mergeCell ref="AC34:AE35"/>
    <mergeCell ref="N32:P33"/>
    <mergeCell ref="D48:D49"/>
    <mergeCell ref="H37:J38"/>
    <mergeCell ref="K37:M38"/>
    <mergeCell ref="N37:P38"/>
    <mergeCell ref="D39:D40"/>
    <mergeCell ref="E34:G35"/>
    <mergeCell ref="H34:J35"/>
    <mergeCell ref="K34:M35"/>
    <mergeCell ref="N34:P35"/>
    <mergeCell ref="Q34:S35"/>
    <mergeCell ref="Q23:S24"/>
    <mergeCell ref="T23:V24"/>
    <mergeCell ref="W23:Y24"/>
    <mergeCell ref="Z23:AB24"/>
    <mergeCell ref="E27:G28"/>
    <mergeCell ref="H27:J28"/>
    <mergeCell ref="K27:M28"/>
    <mergeCell ref="N27:P28"/>
    <mergeCell ref="Q27:S28"/>
    <mergeCell ref="T27:V28"/>
    <mergeCell ref="W27:Y28"/>
    <mergeCell ref="Z27:AB28"/>
    <mergeCell ref="AC27:AE28"/>
    <mergeCell ref="T50:V50"/>
    <mergeCell ref="AC25:AE26"/>
    <mergeCell ref="T37:V38"/>
    <mergeCell ref="W37:Y38"/>
    <mergeCell ref="Z37:AB38"/>
    <mergeCell ref="AC37:AE38"/>
    <mergeCell ref="AF37:AH38"/>
    <mergeCell ref="T34:V35"/>
    <mergeCell ref="AF32:AH33"/>
    <mergeCell ref="W25:Y26"/>
    <mergeCell ref="Z25:AB26"/>
    <mergeCell ref="W43:Y43"/>
    <mergeCell ref="Z43:AB43"/>
    <mergeCell ref="AF34:AH35"/>
    <mergeCell ref="Z41:AB42"/>
    <mergeCell ref="AC41:AE42"/>
    <mergeCell ref="AF41:AH42"/>
    <mergeCell ref="AF43:AH43"/>
    <mergeCell ref="AF44:AH45"/>
    <mergeCell ref="Q43:S43"/>
    <mergeCell ref="T43:V43"/>
    <mergeCell ref="AI39:AK40"/>
    <mergeCell ref="AL39:AN40"/>
    <mergeCell ref="Q22:S22"/>
    <mergeCell ref="AL22:AN22"/>
    <mergeCell ref="T22:V22"/>
    <mergeCell ref="W22:Y22"/>
    <mergeCell ref="Z22:AB22"/>
    <mergeCell ref="AC22:AE22"/>
    <mergeCell ref="AF22:AH22"/>
    <mergeCell ref="AL34:AN35"/>
    <mergeCell ref="AI41:AK42"/>
    <mergeCell ref="AL41:AN42"/>
    <mergeCell ref="Q32:S33"/>
    <mergeCell ref="T32:V33"/>
    <mergeCell ref="W32:Y33"/>
    <mergeCell ref="AI37:AK38"/>
    <mergeCell ref="AL37:AN38"/>
    <mergeCell ref="Q37:S38"/>
    <mergeCell ref="AL23:AN24"/>
    <mergeCell ref="AI30:AK31"/>
    <mergeCell ref="AI32:AK33"/>
    <mergeCell ref="AL32:AN33"/>
    <mergeCell ref="D55:D56"/>
    <mergeCell ref="AC55:AN56"/>
    <mergeCell ref="AF50:AH50"/>
    <mergeCell ref="AI50:AK50"/>
    <mergeCell ref="D50:D52"/>
    <mergeCell ref="E50:G50"/>
    <mergeCell ref="H50:J50"/>
    <mergeCell ref="K50:M50"/>
    <mergeCell ref="N50:P50"/>
    <mergeCell ref="Q50:S50"/>
    <mergeCell ref="H51:J52"/>
    <mergeCell ref="K51:M52"/>
    <mergeCell ref="N51:P52"/>
    <mergeCell ref="Q51:S52"/>
    <mergeCell ref="T51:V52"/>
    <mergeCell ref="D53:D54"/>
    <mergeCell ref="E53:G54"/>
    <mergeCell ref="H53:J54"/>
    <mergeCell ref="AI53:AK54"/>
    <mergeCell ref="AL53:AN54"/>
    <mergeCell ref="AC51:AE52"/>
    <mergeCell ref="AF51:AH52"/>
    <mergeCell ref="Z50:AB50"/>
    <mergeCell ref="AC50:AE50"/>
    <mergeCell ref="AL36:AN36"/>
    <mergeCell ref="T36:V36"/>
    <mergeCell ref="W36:Y36"/>
    <mergeCell ref="Z36:AB36"/>
    <mergeCell ref="AC36:AE36"/>
    <mergeCell ref="AF36:AH36"/>
    <mergeCell ref="AI36:AK36"/>
    <mergeCell ref="AF39:AH40"/>
    <mergeCell ref="Z32:AB33"/>
    <mergeCell ref="AC32:AE33"/>
    <mergeCell ref="AI34:AK35"/>
    <mergeCell ref="AL30:AN31"/>
    <mergeCell ref="H23:J24"/>
    <mergeCell ref="AI23:AK24"/>
    <mergeCell ref="K23:M24"/>
    <mergeCell ref="N23:P24"/>
    <mergeCell ref="H25:J26"/>
    <mergeCell ref="K25:M26"/>
    <mergeCell ref="AF25:AH26"/>
    <mergeCell ref="AI25:AK26"/>
    <mergeCell ref="AL25:AN26"/>
    <mergeCell ref="AF27:AH28"/>
    <mergeCell ref="AI27:AK28"/>
    <mergeCell ref="AL27:AN28"/>
    <mergeCell ref="H30:J31"/>
    <mergeCell ref="K30:M31"/>
    <mergeCell ref="N30:P31"/>
    <mergeCell ref="Q30:S31"/>
    <mergeCell ref="T30:V31"/>
    <mergeCell ref="W30:Y31"/>
    <mergeCell ref="Z30:AB31"/>
    <mergeCell ref="AC30:AE31"/>
    <mergeCell ref="AF30:AH31"/>
    <mergeCell ref="T25:V26"/>
    <mergeCell ref="AC23:AE24"/>
    <mergeCell ref="AI43:AK43"/>
    <mergeCell ref="AL43:AN43"/>
    <mergeCell ref="D43:D45"/>
    <mergeCell ref="E43:G43"/>
    <mergeCell ref="H43:J43"/>
    <mergeCell ref="Q46:S47"/>
    <mergeCell ref="T46:V47"/>
    <mergeCell ref="W46:Y47"/>
    <mergeCell ref="Z46:AB47"/>
    <mergeCell ref="AC46:AE47"/>
    <mergeCell ref="AF46:AH47"/>
    <mergeCell ref="AI46:AK47"/>
    <mergeCell ref="Z44:AB45"/>
    <mergeCell ref="AC44:AE45"/>
    <mergeCell ref="T44:V45"/>
    <mergeCell ref="W44:Y45"/>
    <mergeCell ref="D46:D47"/>
    <mergeCell ref="E46:G47"/>
    <mergeCell ref="E44:G45"/>
    <mergeCell ref="H44:J45"/>
    <mergeCell ref="K44:M45"/>
    <mergeCell ref="H46:J47"/>
    <mergeCell ref="K43:M43"/>
    <mergeCell ref="N43:P43"/>
    <mergeCell ref="AL16:AN17"/>
    <mergeCell ref="AI22:AK22"/>
    <mergeCell ref="T20:V21"/>
    <mergeCell ref="W20:Y21"/>
    <mergeCell ref="Z20:AB21"/>
    <mergeCell ref="AC20:AE21"/>
    <mergeCell ref="AF20:AH21"/>
    <mergeCell ref="AI20:AK21"/>
    <mergeCell ref="AL20:AN21"/>
    <mergeCell ref="Z18:AB19"/>
    <mergeCell ref="T16:V17"/>
    <mergeCell ref="W16:Y17"/>
    <mergeCell ref="Z16:AB17"/>
    <mergeCell ref="AC16:AE17"/>
    <mergeCell ref="AF16:AH17"/>
    <mergeCell ref="AI16:AK17"/>
    <mergeCell ref="AI44:AK45"/>
    <mergeCell ref="AL44:AN45"/>
    <mergeCell ref="AI51:AK52"/>
    <mergeCell ref="AL51:AN52"/>
    <mergeCell ref="AL50:AN50"/>
    <mergeCell ref="W53:Y54"/>
    <mergeCell ref="W50:Y50"/>
    <mergeCell ref="AL46:AN47"/>
    <mergeCell ref="AF48:AH49"/>
    <mergeCell ref="AI48:AK49"/>
    <mergeCell ref="AL48:AN49"/>
    <mergeCell ref="Z53:AB54"/>
    <mergeCell ref="AC53:AE54"/>
    <mergeCell ref="AF53:AH54"/>
    <mergeCell ref="C61:D61"/>
    <mergeCell ref="AA60:AE60"/>
    <mergeCell ref="B60:Z60"/>
    <mergeCell ref="AA61:AN67"/>
    <mergeCell ref="E62:M62"/>
    <mergeCell ref="O62:Q62"/>
    <mergeCell ref="R62:T62"/>
    <mergeCell ref="U62:Z62"/>
    <mergeCell ref="E63:T63"/>
    <mergeCell ref="U63:Z63"/>
    <mergeCell ref="C62:D62"/>
    <mergeCell ref="C63:D63"/>
    <mergeCell ref="C64:D64"/>
    <mergeCell ref="B65:Z67"/>
    <mergeCell ref="E64:T64"/>
    <mergeCell ref="U64:Z64"/>
    <mergeCell ref="E61:T61"/>
    <mergeCell ref="U61:Z61"/>
    <mergeCell ref="E57:G57"/>
    <mergeCell ref="H57:J57"/>
    <mergeCell ref="K57:M57"/>
    <mergeCell ref="N57:P57"/>
    <mergeCell ref="Q57:S57"/>
    <mergeCell ref="AF58:AH58"/>
    <mergeCell ref="AI58:AK58"/>
    <mergeCell ref="Q58:S58"/>
    <mergeCell ref="T58:V58"/>
    <mergeCell ref="W58:Y58"/>
    <mergeCell ref="Z58:AB58"/>
    <mergeCell ref="AC58:AE58"/>
    <mergeCell ref="T57:V57"/>
    <mergeCell ref="W57:Y57"/>
    <mergeCell ref="Z57:AB57"/>
    <mergeCell ref="AC57:AE57"/>
    <mergeCell ref="E58:G58"/>
    <mergeCell ref="H58:J58"/>
    <mergeCell ref="K58:M58"/>
    <mergeCell ref="N58:P58"/>
    <mergeCell ref="AL58:AN58"/>
    <mergeCell ref="H36:J36"/>
    <mergeCell ref="K36:M36"/>
    <mergeCell ref="N36:P36"/>
    <mergeCell ref="Q36:S36"/>
    <mergeCell ref="AL29:AN29"/>
    <mergeCell ref="T29:V29"/>
    <mergeCell ref="W29:Y29"/>
    <mergeCell ref="Z29:AB29"/>
    <mergeCell ref="AC29:AE29"/>
    <mergeCell ref="AF29:AH29"/>
    <mergeCell ref="AI29:AK29"/>
    <mergeCell ref="N29:P29"/>
    <mergeCell ref="Q29:S29"/>
    <mergeCell ref="AF57:AH57"/>
    <mergeCell ref="AI57:AK57"/>
    <mergeCell ref="N53:P54"/>
    <mergeCell ref="AL57:AN57"/>
    <mergeCell ref="N39:P40"/>
    <mergeCell ref="Q39:S40"/>
    <mergeCell ref="T39:V40"/>
    <mergeCell ref="W39:Y40"/>
    <mergeCell ref="Z39:AB40"/>
    <mergeCell ref="AC39:AE40"/>
    <mergeCell ref="E7:AN7"/>
    <mergeCell ref="E6:F6"/>
    <mergeCell ref="Z12:AB13"/>
    <mergeCell ref="AC12:AK12"/>
    <mergeCell ref="AL12:AN13"/>
    <mergeCell ref="AC13:AE13"/>
    <mergeCell ref="AF13:AH13"/>
    <mergeCell ref="AI13:AK13"/>
    <mergeCell ref="Q13:S13"/>
    <mergeCell ref="T13:V13"/>
    <mergeCell ref="W13:Y13"/>
    <mergeCell ref="AB9:AD9"/>
    <mergeCell ref="AE9:AF9"/>
    <mergeCell ref="B10:J10"/>
    <mergeCell ref="W10:X10"/>
    <mergeCell ref="AB10:AD10"/>
    <mergeCell ref="AE10:AF10"/>
    <mergeCell ref="Y10:Z10"/>
    <mergeCell ref="AJ10:AK10"/>
    <mergeCell ref="AG10:AH10"/>
    <mergeCell ref="N12:P13"/>
    <mergeCell ref="Q12:Y12"/>
    <mergeCell ref="N15:P15"/>
    <mergeCell ref="Q20:S21"/>
    <mergeCell ref="C1:X2"/>
    <mergeCell ref="L6:O6"/>
    <mergeCell ref="E11:P11"/>
    <mergeCell ref="Q11:AB11"/>
    <mergeCell ref="AC11:AN11"/>
    <mergeCell ref="W9:X9"/>
    <mergeCell ref="Y9:Z9"/>
    <mergeCell ref="B9:J9"/>
    <mergeCell ref="Y1:AD1"/>
    <mergeCell ref="AE1:AF1"/>
    <mergeCell ref="AG1:AI1"/>
    <mergeCell ref="AJ1:AN1"/>
    <mergeCell ref="I4:J4"/>
    <mergeCell ref="K4:L4"/>
    <mergeCell ref="M4:N4"/>
    <mergeCell ref="Y2:AD2"/>
    <mergeCell ref="AE2:AN2"/>
    <mergeCell ref="AB4:AC4"/>
    <mergeCell ref="AD4:AE4"/>
    <mergeCell ref="AG9:AH9"/>
    <mergeCell ref="AJ9:AM9"/>
    <mergeCell ref="K9:V9"/>
    <mergeCell ref="N18:P19"/>
    <mergeCell ref="T18:V19"/>
    <mergeCell ref="W18:Y19"/>
    <mergeCell ref="H18:J19"/>
    <mergeCell ref="K18:M19"/>
    <mergeCell ref="H16:J17"/>
    <mergeCell ref="K16:M17"/>
    <mergeCell ref="N16:P17"/>
    <mergeCell ref="Q16:S17"/>
    <mergeCell ref="Q18:S19"/>
    <mergeCell ref="AC14:AE14"/>
    <mergeCell ref="H15:J15"/>
    <mergeCell ref="K15:M15"/>
    <mergeCell ref="E29:G29"/>
    <mergeCell ref="H29:J29"/>
    <mergeCell ref="K29:M29"/>
    <mergeCell ref="E22:G22"/>
    <mergeCell ref="AI15:AK15"/>
    <mergeCell ref="AL15:AN15"/>
    <mergeCell ref="Z15:AB15"/>
    <mergeCell ref="AC15:AE15"/>
    <mergeCell ref="AF15:AH15"/>
    <mergeCell ref="AC18:AE19"/>
    <mergeCell ref="AF18:AH19"/>
    <mergeCell ref="AI18:AK19"/>
    <mergeCell ref="AL18:AN19"/>
    <mergeCell ref="H22:J22"/>
    <mergeCell ref="K22:M22"/>
    <mergeCell ref="N22:P22"/>
    <mergeCell ref="Q14:S14"/>
    <mergeCell ref="Q15:S15"/>
    <mergeCell ref="T15:V15"/>
    <mergeCell ref="W15:Y15"/>
    <mergeCell ref="E20:P21"/>
    <mergeCell ref="B43:C43"/>
    <mergeCell ref="E12:M12"/>
    <mergeCell ref="E14:G14"/>
    <mergeCell ref="E13:G13"/>
    <mergeCell ref="H13:J13"/>
    <mergeCell ref="K13:M13"/>
    <mergeCell ref="D22:D24"/>
    <mergeCell ref="E23:G24"/>
    <mergeCell ref="D29:D31"/>
    <mergeCell ref="E30:G31"/>
    <mergeCell ref="D36:D38"/>
    <mergeCell ref="E37:G38"/>
    <mergeCell ref="D15:D17"/>
    <mergeCell ref="E16:G17"/>
    <mergeCell ref="B29:C29"/>
    <mergeCell ref="B30:C30"/>
    <mergeCell ref="B31:C31"/>
    <mergeCell ref="B32:C35"/>
    <mergeCell ref="D20:D21"/>
    <mergeCell ref="D18:D19"/>
    <mergeCell ref="E18:G19"/>
    <mergeCell ref="D27:D28"/>
    <mergeCell ref="D41:D42"/>
    <mergeCell ref="D34:D35"/>
    <mergeCell ref="B44:C44"/>
    <mergeCell ref="B45:C45"/>
    <mergeCell ref="B46:C49"/>
    <mergeCell ref="B50:C50"/>
    <mergeCell ref="B51:C51"/>
    <mergeCell ref="B52:C52"/>
    <mergeCell ref="B53:C56"/>
    <mergeCell ref="B57:D58"/>
    <mergeCell ref="B4:D4"/>
    <mergeCell ref="B5:D5"/>
    <mergeCell ref="B6:D7"/>
    <mergeCell ref="B11:D14"/>
    <mergeCell ref="B15:C15"/>
    <mergeCell ref="B16:C16"/>
    <mergeCell ref="B17:C17"/>
    <mergeCell ref="B18:C21"/>
    <mergeCell ref="B22:C22"/>
    <mergeCell ref="B23:C23"/>
    <mergeCell ref="B24:C24"/>
    <mergeCell ref="B25:C28"/>
    <mergeCell ref="B36:C36"/>
    <mergeCell ref="B37:C37"/>
    <mergeCell ref="B38:C38"/>
    <mergeCell ref="B39:C42"/>
    <mergeCell ref="AM4:AN4"/>
    <mergeCell ref="V4:W4"/>
    <mergeCell ref="X4:Y4"/>
    <mergeCell ref="V6:X6"/>
    <mergeCell ref="Y6:AB6"/>
    <mergeCell ref="AC6:AD6"/>
    <mergeCell ref="AE6:AH6"/>
    <mergeCell ref="AI6:AJ6"/>
    <mergeCell ref="O4:P4"/>
    <mergeCell ref="Q4:R4"/>
    <mergeCell ref="T4:U4"/>
    <mergeCell ref="AF4:AG4"/>
    <mergeCell ref="AH4:AI4"/>
    <mergeCell ref="AK4:AL4"/>
    <mergeCell ref="E5:V5"/>
    <mergeCell ref="W5:AB5"/>
    <mergeCell ref="AC5:AN5"/>
    <mergeCell ref="AK6:AN6"/>
    <mergeCell ref="E4:H4"/>
    <mergeCell ref="Z4:AA4"/>
    <mergeCell ref="G6:I6"/>
    <mergeCell ref="J6:K6"/>
  </mergeCells>
  <phoneticPr fontId="1"/>
  <pageMargins left="0.47244094488188981" right="0.39370078740157483" top="0.23622047244094491" bottom="0" header="0" footer="0"/>
  <pageSetup paperSize="9" orientation="portrait" verticalDpi="0" r:id="rId1"/>
  <headerFooter scaleWithDoc="0">
    <oddFooter>&amp;L&amp;G&amp;R&amp;14③</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3" id="{3A20CAD0-A4BF-4855-861C-7D856F5C052C}">
            <xm:f>入力ページ!$H$75&gt;0</xm:f>
            <x14:dxf>
              <fill>
                <patternFill patternType="mediumGray"/>
              </fill>
            </x14:dxf>
          </x14:cfRule>
          <xm:sqref>Q15:AB21</xm:sqref>
        </x14:conditionalFormatting>
        <x14:conditionalFormatting xmlns:xm="http://schemas.microsoft.com/office/excel/2006/main">
          <x14:cfRule type="expression" priority="12" id="{152B6AC0-9862-4DBD-906D-17B67F805345}">
            <xm:f>入力ページ!$H$80&gt;0</xm:f>
            <x14:dxf>
              <fill>
                <patternFill patternType="mediumGray"/>
              </fill>
            </x14:dxf>
          </x14:cfRule>
          <xm:sqref>AC15:AN21</xm:sqref>
        </x14:conditionalFormatting>
        <x14:conditionalFormatting xmlns:xm="http://schemas.microsoft.com/office/excel/2006/main">
          <x14:cfRule type="expression" priority="11" id="{078FC45A-01A1-461E-B71E-9A20192C91E7}">
            <xm:f>入力ページ!$L$75&gt;0</xm:f>
            <x14:dxf>
              <fill>
                <patternFill patternType="mediumGray">
                  <fgColor auto="1"/>
                  <bgColor auto="1"/>
                </patternFill>
              </fill>
            </x14:dxf>
          </x14:cfRule>
          <xm:sqref>Q22:AB28</xm:sqref>
        </x14:conditionalFormatting>
        <x14:conditionalFormatting xmlns:xm="http://schemas.microsoft.com/office/excel/2006/main">
          <x14:cfRule type="expression" priority="10" id="{7DBA9D87-CB80-40CE-9093-181930E1AC3F}">
            <xm:f>入力ページ!$L$80&gt;0</xm:f>
            <x14:dxf>
              <fill>
                <patternFill patternType="mediumGray"/>
              </fill>
            </x14:dxf>
          </x14:cfRule>
          <xm:sqref>AC22:AN28</xm:sqref>
        </x14:conditionalFormatting>
        <x14:conditionalFormatting xmlns:xm="http://schemas.microsoft.com/office/excel/2006/main">
          <x14:cfRule type="expression" priority="9" id="{9864E64F-FA39-4C2B-87B8-752F147C9F1B}">
            <xm:f>入力ページ!$P$75&gt;0</xm:f>
            <x14:dxf>
              <fill>
                <patternFill patternType="mediumGray"/>
              </fill>
            </x14:dxf>
          </x14:cfRule>
          <xm:sqref>Q29:AB35</xm:sqref>
        </x14:conditionalFormatting>
        <x14:conditionalFormatting xmlns:xm="http://schemas.microsoft.com/office/excel/2006/main">
          <x14:cfRule type="expression" priority="8" id="{ECF743E5-9288-493E-9FA0-620B5F27DE23}">
            <xm:f>入力ページ!$P$80&gt;0</xm:f>
            <x14:dxf>
              <fill>
                <patternFill patternType="mediumGray"/>
              </fill>
            </x14:dxf>
          </x14:cfRule>
          <xm:sqref>AC29:AN35</xm:sqref>
        </x14:conditionalFormatting>
        <x14:conditionalFormatting xmlns:xm="http://schemas.microsoft.com/office/excel/2006/main">
          <x14:cfRule type="expression" priority="7" id="{055445EC-06DE-465C-8353-E80071D9EED4}">
            <xm:f>入力ページ!$T$75</xm:f>
            <x14:dxf>
              <fill>
                <patternFill patternType="mediumGray"/>
              </fill>
            </x14:dxf>
          </x14:cfRule>
          <xm:sqref>Q36:AB42</xm:sqref>
        </x14:conditionalFormatting>
        <x14:conditionalFormatting xmlns:xm="http://schemas.microsoft.com/office/excel/2006/main">
          <x14:cfRule type="expression" priority="6" id="{12D73082-37E2-4CDB-B1D8-9307DD3F6332}">
            <xm:f>入力ページ!$T$80</xm:f>
            <x14:dxf>
              <fill>
                <patternFill patternType="mediumGray"/>
              </fill>
            </x14:dxf>
          </x14:cfRule>
          <xm:sqref>AC36:AN42</xm:sqref>
        </x14:conditionalFormatting>
        <x14:conditionalFormatting xmlns:xm="http://schemas.microsoft.com/office/excel/2006/main">
          <x14:cfRule type="expression" priority="4" id="{7FD1B17E-7D95-4DE5-8E4A-04A63923412F}">
            <xm:f>入力ページ!$X$75&gt;0</xm:f>
            <x14:dxf>
              <fill>
                <patternFill patternType="mediumGray"/>
              </fill>
            </x14:dxf>
          </x14:cfRule>
          <xm:sqref>Q43:AB49</xm:sqref>
        </x14:conditionalFormatting>
        <x14:conditionalFormatting xmlns:xm="http://schemas.microsoft.com/office/excel/2006/main">
          <x14:cfRule type="expression" priority="3" id="{4741163F-53A0-4FDF-9EAA-61BDF40AF5AC}">
            <xm:f>入力ページ!$X$80&gt;0</xm:f>
            <x14:dxf>
              <fill>
                <patternFill patternType="mediumGray"/>
              </fill>
            </x14:dxf>
          </x14:cfRule>
          <xm:sqref>AC43:AN49</xm:sqref>
        </x14:conditionalFormatting>
        <x14:conditionalFormatting xmlns:xm="http://schemas.microsoft.com/office/excel/2006/main">
          <x14:cfRule type="expression" priority="2" id="{95ACE1FE-C0CA-4345-BB15-6FCF6AEC4D00}">
            <xm:f>入力ページ!$AB$75&gt;0</xm:f>
            <x14:dxf>
              <fill>
                <patternFill patternType="mediumGray"/>
              </fill>
            </x14:dxf>
          </x14:cfRule>
          <xm:sqref>Q50:AB56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AI86"/>
  <sheetViews>
    <sheetView showGridLines="0" view="pageBreakPreview" topLeftCell="A25" zoomScaleNormal="100" zoomScaleSheetLayoutView="100" workbookViewId="0">
      <selection activeCell="B23" sqref="B23:D23"/>
    </sheetView>
  </sheetViews>
  <sheetFormatPr defaultRowHeight="13.5" x14ac:dyDescent="0.15"/>
  <cols>
    <col min="1" max="1" width="1.125" style="22" customWidth="1"/>
    <col min="2" max="4" width="5" style="22" customWidth="1"/>
    <col min="5" max="5" width="3.75" style="22" customWidth="1"/>
    <col min="6" max="6" width="2.5" style="22" customWidth="1"/>
    <col min="7" max="7" width="3.5" style="22" customWidth="1"/>
    <col min="8" max="8" width="3.125" style="22" customWidth="1"/>
    <col min="9" max="9" width="3" style="22" customWidth="1"/>
    <col min="10" max="10" width="4.375" style="22" customWidth="1"/>
    <col min="11" max="11" width="3.125" style="22" customWidth="1"/>
    <col min="12" max="12" width="4.375" style="22" customWidth="1"/>
    <col min="13" max="13" width="3.125" style="22" customWidth="1"/>
    <col min="14" max="14" width="2.5" style="22" customWidth="1"/>
    <col min="15" max="15" width="3.125" style="22" customWidth="1"/>
    <col min="16" max="16" width="2.5" style="22" customWidth="1"/>
    <col min="17" max="17" width="3.125" style="22" customWidth="1"/>
    <col min="18" max="18" width="2.125" style="22" customWidth="1"/>
    <col min="19" max="19" width="4.375" style="22" customWidth="1"/>
    <col min="20" max="20" width="3.125" style="22" customWidth="1"/>
    <col min="21" max="21" width="4.375" style="22" customWidth="1"/>
    <col min="22" max="22" width="3.125" style="22" customWidth="1"/>
    <col min="23" max="23" width="2.5" style="22" customWidth="1"/>
    <col min="24" max="24" width="3.5" style="22" customWidth="1"/>
    <col min="25" max="25" width="2.5" style="22" customWidth="1"/>
    <col min="26" max="26" width="3.125" style="22" customWidth="1"/>
    <col min="27" max="27" width="6" style="22" customWidth="1"/>
    <col min="28" max="28" width="1.125" style="22" customWidth="1"/>
    <col min="29" max="16384" width="9" style="22"/>
  </cols>
  <sheetData>
    <row r="1" spans="1:35" ht="33.75" customHeight="1" x14ac:dyDescent="0.15">
      <c r="A1" s="3029" t="s">
        <v>55</v>
      </c>
      <c r="B1" s="3029"/>
      <c r="C1" s="3029"/>
      <c r="D1" s="45">
        <f>Y4</f>
        <v>1</v>
      </c>
      <c r="E1" s="3030" t="s">
        <v>56</v>
      </c>
      <c r="F1" s="3030"/>
      <c r="G1" s="3030"/>
      <c r="H1" s="3040" t="s">
        <v>257</v>
      </c>
      <c r="I1" s="3040"/>
      <c r="J1" s="3040"/>
      <c r="K1" s="3040"/>
      <c r="L1" s="3040"/>
      <c r="M1" s="3040"/>
      <c r="N1" s="3040"/>
      <c r="O1" s="3040"/>
      <c r="P1" s="3040"/>
      <c r="Q1" s="3040"/>
      <c r="R1" s="3040"/>
      <c r="S1" s="3040"/>
      <c r="T1" s="3040"/>
      <c r="U1" s="3040"/>
      <c r="V1" s="3040"/>
      <c r="W1" s="3040"/>
      <c r="X1" s="3040"/>
      <c r="Y1" s="3040"/>
      <c r="Z1" s="3040"/>
      <c r="AA1" s="3040"/>
      <c r="AB1" s="3040"/>
    </row>
    <row r="2" spans="1:35" ht="20.25" customHeight="1" x14ac:dyDescent="0.15">
      <c r="A2" s="2"/>
      <c r="B2" s="2926"/>
      <c r="C2" s="2926"/>
      <c r="D2" s="2926"/>
      <c r="E2" s="80"/>
      <c r="F2" s="80"/>
      <c r="G2" s="80"/>
      <c r="H2" s="80"/>
      <c r="I2" s="80"/>
      <c r="J2" s="80"/>
      <c r="K2" s="80"/>
      <c r="L2" s="80"/>
      <c r="M2" s="80"/>
      <c r="N2" s="80"/>
      <c r="O2" s="80"/>
      <c r="P2" s="80"/>
      <c r="Q2" s="80"/>
      <c r="S2" s="2667" t="s">
        <v>6</v>
      </c>
      <c r="T2" s="2667"/>
      <c r="U2" s="2667"/>
      <c r="V2" s="2663">
        <f>入力ページ!AF2</f>
        <v>0</v>
      </c>
      <c r="W2" s="2663"/>
      <c r="X2" s="2663"/>
      <c r="Y2" s="2663"/>
      <c r="Z2" s="2663"/>
      <c r="AA2" s="2663"/>
    </row>
    <row r="3" spans="1:35" ht="20.25" customHeight="1" x14ac:dyDescent="0.15">
      <c r="A3" s="2"/>
      <c r="B3" s="2926"/>
      <c r="C3" s="2926"/>
      <c r="D3" s="2926"/>
      <c r="E3" s="80"/>
      <c r="F3" s="80"/>
      <c r="G3" s="80"/>
      <c r="H3" s="80"/>
      <c r="I3" s="80"/>
      <c r="J3" s="80"/>
      <c r="K3" s="80"/>
      <c r="L3" s="80"/>
      <c r="M3" s="80"/>
      <c r="N3" s="80"/>
      <c r="O3" s="80"/>
      <c r="P3" s="80"/>
      <c r="Q3" s="80"/>
      <c r="S3" s="2668" t="s">
        <v>7</v>
      </c>
      <c r="T3" s="2668"/>
      <c r="U3" s="2668"/>
      <c r="V3" s="3031" t="s">
        <v>446</v>
      </c>
      <c r="W3" s="3031"/>
      <c r="X3" s="3031"/>
      <c r="Y3" s="3031"/>
      <c r="Z3" s="3031"/>
      <c r="AA3" s="3031"/>
      <c r="AD3" s="40"/>
    </row>
    <row r="4" spans="1:35" ht="33.75" customHeight="1" x14ac:dyDescent="0.25">
      <c r="B4" s="2892" t="s">
        <v>141</v>
      </c>
      <c r="C4" s="2892"/>
      <c r="D4" s="2892"/>
      <c r="E4" s="2892"/>
      <c r="F4" s="2892"/>
      <c r="G4" s="2892"/>
      <c r="H4" s="2892"/>
      <c r="I4" s="2892"/>
      <c r="J4" s="2892"/>
      <c r="K4" s="2892"/>
      <c r="L4" s="2892"/>
      <c r="M4" s="2892"/>
      <c r="N4" s="2892"/>
      <c r="O4" s="2892"/>
      <c r="P4" s="2892"/>
      <c r="Q4" s="2892"/>
      <c r="R4" s="2892"/>
      <c r="S4" s="2892"/>
      <c r="T4" s="2892"/>
      <c r="U4" s="82" t="s">
        <v>245</v>
      </c>
      <c r="V4" s="2914">
        <v>1</v>
      </c>
      <c r="W4" s="2914"/>
      <c r="X4" s="85" t="s">
        <v>57</v>
      </c>
      <c r="Y4" s="2914">
        <f>IF(入力ページ!L133&lt;&gt;"",2,1)</f>
        <v>1</v>
      </c>
      <c r="Z4" s="2914"/>
      <c r="AA4" s="86" t="s">
        <v>58</v>
      </c>
    </row>
    <row r="5" spans="1:35" ht="3.75" customHeight="1" thickBot="1" x14ac:dyDescent="0.3">
      <c r="B5" s="41"/>
      <c r="C5" s="41"/>
      <c r="D5" s="41"/>
      <c r="E5" s="41"/>
      <c r="F5" s="41"/>
      <c r="G5" s="41"/>
      <c r="H5" s="41"/>
      <c r="I5" s="41"/>
      <c r="J5" s="41"/>
      <c r="K5" s="41"/>
      <c r="L5" s="41"/>
      <c r="M5" s="41"/>
      <c r="N5" s="41"/>
      <c r="O5" s="41"/>
      <c r="P5" s="41"/>
      <c r="Q5" s="41"/>
      <c r="R5" s="41"/>
      <c r="S5" s="41"/>
      <c r="T5" s="41"/>
      <c r="U5" s="83"/>
      <c r="V5" s="84"/>
      <c r="W5" s="84"/>
      <c r="X5" s="81"/>
      <c r="Y5" s="84"/>
      <c r="Z5" s="84"/>
      <c r="AA5" s="87"/>
    </row>
    <row r="6" spans="1:35" ht="26.25" customHeight="1" x14ac:dyDescent="0.15">
      <c r="B6" s="3036" t="s">
        <v>39</v>
      </c>
      <c r="C6" s="3037"/>
      <c r="D6" s="3038"/>
      <c r="E6" s="3026">
        <f>入力ページ!G22</f>
        <v>0</v>
      </c>
      <c r="F6" s="3027"/>
      <c r="G6" s="3027"/>
      <c r="H6" s="3028" t="s">
        <v>30</v>
      </c>
      <c r="I6" s="3028"/>
      <c r="J6" s="101">
        <f>入力ページ!J22</f>
        <v>0</v>
      </c>
      <c r="K6" s="100" t="s">
        <v>31</v>
      </c>
      <c r="L6" s="101">
        <f>入力ページ!L22</f>
        <v>0</v>
      </c>
      <c r="M6" s="100" t="s">
        <v>38</v>
      </c>
      <c r="N6" s="180" t="s">
        <v>33</v>
      </c>
      <c r="O6" s="100" t="str">
        <f>入力ページ!O22</f>
        <v/>
      </c>
      <c r="P6" s="586" t="s">
        <v>34</v>
      </c>
      <c r="Q6" s="3039" t="s">
        <v>52</v>
      </c>
      <c r="R6" s="3039"/>
      <c r="S6" s="540" t="str">
        <f>入力ページ!T22</f>
        <v/>
      </c>
      <c r="T6" s="100" t="s">
        <v>31</v>
      </c>
      <c r="U6" s="541" t="str">
        <f>入力ページ!V22</f>
        <v/>
      </c>
      <c r="V6" s="100" t="s">
        <v>32</v>
      </c>
      <c r="W6" s="180" t="s">
        <v>16</v>
      </c>
      <c r="X6" s="531" t="str">
        <f>入力ページ!Y22</f>
        <v/>
      </c>
      <c r="Y6" s="586" t="s">
        <v>34</v>
      </c>
      <c r="Z6" s="3011" t="s">
        <v>48</v>
      </c>
      <c r="AA6" s="3012"/>
      <c r="AB6" s="23"/>
      <c r="AC6" s="23"/>
      <c r="AD6" s="23"/>
      <c r="AE6" s="23"/>
      <c r="AF6" s="23"/>
      <c r="AG6" s="23"/>
      <c r="AH6" s="23"/>
      <c r="AI6" s="23"/>
    </row>
    <row r="7" spans="1:35" ht="30" customHeight="1" thickBot="1" x14ac:dyDescent="0.2">
      <c r="B7" s="3032" t="s">
        <v>8</v>
      </c>
      <c r="C7" s="3033"/>
      <c r="D7" s="3034"/>
      <c r="E7" s="3008">
        <f>入力ページ!F11</f>
        <v>0</v>
      </c>
      <c r="F7" s="3009"/>
      <c r="G7" s="3009"/>
      <c r="H7" s="3009"/>
      <c r="I7" s="3009"/>
      <c r="J7" s="3009"/>
      <c r="K7" s="3009"/>
      <c r="L7" s="3009"/>
      <c r="M7" s="3009"/>
      <c r="N7" s="3009"/>
      <c r="O7" s="3009"/>
      <c r="P7" s="3009"/>
      <c r="Q7" s="3009"/>
      <c r="R7" s="3009"/>
      <c r="S7" s="3009"/>
      <c r="T7" s="3009"/>
      <c r="U7" s="3009"/>
      <c r="V7" s="3009"/>
      <c r="W7" s="3009"/>
      <c r="X7" s="3009"/>
      <c r="Y7" s="3009"/>
      <c r="Z7" s="3009"/>
      <c r="AA7" s="3010"/>
      <c r="AB7" s="23"/>
      <c r="AC7" s="23"/>
      <c r="AD7" s="23"/>
      <c r="AE7" s="23"/>
      <c r="AF7" s="23"/>
      <c r="AG7" s="23"/>
      <c r="AH7" s="23"/>
      <c r="AI7" s="23"/>
    </row>
    <row r="8" spans="1:35" ht="18.75" customHeight="1" x14ac:dyDescent="0.15">
      <c r="B8" s="3035" t="s">
        <v>148</v>
      </c>
      <c r="C8" s="3035"/>
      <c r="D8" s="3035"/>
      <c r="E8" s="3035"/>
      <c r="F8" s="3035"/>
      <c r="G8" s="3035"/>
      <c r="H8" s="3035"/>
      <c r="I8" s="3035"/>
      <c r="J8" s="3035"/>
      <c r="K8" s="3035"/>
      <c r="L8" s="3035"/>
      <c r="M8" s="3035"/>
      <c r="N8" s="3035"/>
      <c r="O8" s="3035"/>
      <c r="P8" s="3035"/>
      <c r="Q8" s="3035"/>
      <c r="R8" s="3035"/>
      <c r="S8" s="3035"/>
      <c r="T8" s="3035"/>
      <c r="U8" s="3035"/>
      <c r="V8" s="3035"/>
      <c r="W8" s="3035"/>
      <c r="X8" s="3035"/>
      <c r="Y8" s="3035"/>
      <c r="Z8" s="3035"/>
      <c r="AA8" s="98"/>
      <c r="AB8" s="23"/>
      <c r="AC8" s="23"/>
      <c r="AD8" s="23"/>
      <c r="AE8" s="23"/>
      <c r="AF8" s="23"/>
      <c r="AG8" s="23"/>
      <c r="AH8" s="91"/>
      <c r="AI8" s="23"/>
    </row>
    <row r="9" spans="1:35" ht="17.25" customHeight="1" x14ac:dyDescent="0.15">
      <c r="B9" s="380"/>
      <c r="C9" s="381" t="s">
        <v>37</v>
      </c>
      <c r="D9" s="382" t="str">
        <f>IF(入力ページ!F96="なし","○","")</f>
        <v/>
      </c>
      <c r="E9" s="383" t="s">
        <v>34</v>
      </c>
      <c r="F9" s="3021" t="s">
        <v>142</v>
      </c>
      <c r="G9" s="3021"/>
      <c r="H9" s="3021"/>
      <c r="I9" s="3021"/>
      <c r="J9" s="3023" t="s">
        <v>144</v>
      </c>
      <c r="K9" s="3023"/>
      <c r="L9" s="3025" t="s">
        <v>146</v>
      </c>
      <c r="M9" s="3025"/>
      <c r="N9" s="3025"/>
      <c r="O9" s="3025"/>
      <c r="P9" s="3025"/>
      <c r="Q9" s="3025"/>
      <c r="R9" s="3025"/>
      <c r="S9" s="3025"/>
      <c r="T9" s="3025"/>
      <c r="U9" s="3025"/>
      <c r="V9" s="3025"/>
      <c r="W9" s="3025"/>
      <c r="X9" s="3025"/>
      <c r="Y9" s="3025"/>
      <c r="Z9" s="3025"/>
      <c r="AA9" s="3025"/>
      <c r="AB9" s="23"/>
      <c r="AC9" s="23"/>
      <c r="AD9" s="23"/>
      <c r="AE9" s="23"/>
      <c r="AF9" s="23"/>
      <c r="AG9" s="23"/>
      <c r="AH9" s="23"/>
      <c r="AI9" s="23"/>
    </row>
    <row r="10" spans="1:35" ht="17.25" customHeight="1" x14ac:dyDescent="0.15">
      <c r="B10" s="380"/>
      <c r="C10" s="381" t="s">
        <v>37</v>
      </c>
      <c r="D10" s="382" t="str">
        <f>IF(入力ページ!F96="あり","○","")</f>
        <v/>
      </c>
      <c r="E10" s="383" t="s">
        <v>34</v>
      </c>
      <c r="F10" s="3022" t="s">
        <v>143</v>
      </c>
      <c r="G10" s="3022"/>
      <c r="H10" s="3022"/>
      <c r="I10" s="3022"/>
      <c r="J10" s="3024" t="s">
        <v>144</v>
      </c>
      <c r="K10" s="3024"/>
      <c r="L10" s="3022" t="s">
        <v>145</v>
      </c>
      <c r="M10" s="3022"/>
      <c r="N10" s="3022"/>
      <c r="O10" s="3022"/>
      <c r="P10" s="3022"/>
      <c r="Q10" s="3022"/>
      <c r="R10" s="3022"/>
      <c r="S10" s="3022"/>
      <c r="T10" s="3022"/>
      <c r="U10" s="3022"/>
      <c r="V10" s="3022"/>
      <c r="W10" s="3022"/>
      <c r="X10" s="3022"/>
      <c r="Y10" s="3022"/>
      <c r="Z10" s="3022"/>
      <c r="AA10" s="3022"/>
      <c r="AB10" s="23"/>
      <c r="AC10" s="23"/>
      <c r="AD10" s="23"/>
      <c r="AE10" s="23"/>
      <c r="AF10" s="23"/>
      <c r="AG10" s="23"/>
      <c r="AH10" s="23"/>
      <c r="AI10" s="23"/>
    </row>
    <row r="11" spans="1:35" ht="2.25" customHeight="1" thickBot="1" x14ac:dyDescent="0.2">
      <c r="B11" s="108"/>
      <c r="C11" s="88"/>
      <c r="D11" s="89"/>
      <c r="E11" s="90"/>
      <c r="F11" s="109"/>
      <c r="G11" s="109"/>
      <c r="H11" s="109"/>
      <c r="I11" s="109"/>
      <c r="J11" s="110"/>
      <c r="K11" s="110"/>
      <c r="L11" s="109"/>
      <c r="M11" s="109"/>
      <c r="N11" s="109"/>
      <c r="O11" s="109"/>
      <c r="P11" s="109"/>
      <c r="Q11" s="109"/>
      <c r="R11" s="109"/>
      <c r="S11" s="109"/>
      <c r="T11" s="109"/>
      <c r="U11" s="109"/>
      <c r="V11" s="109"/>
      <c r="W11" s="109"/>
      <c r="X11" s="109"/>
      <c r="Y11" s="109"/>
      <c r="Z11" s="109"/>
      <c r="AA11" s="109"/>
      <c r="AB11" s="23"/>
      <c r="AC11" s="23"/>
      <c r="AD11" s="23"/>
      <c r="AE11" s="23"/>
      <c r="AF11" s="23"/>
      <c r="AG11" s="23"/>
      <c r="AH11" s="23"/>
      <c r="AI11" s="23"/>
    </row>
    <row r="12" spans="1:35" ht="19.5" customHeight="1" x14ac:dyDescent="0.15">
      <c r="B12" s="3000" t="s">
        <v>21</v>
      </c>
      <c r="C12" s="3001"/>
      <c r="D12" s="3002"/>
      <c r="E12" s="3006" t="s">
        <v>22</v>
      </c>
      <c r="F12" s="3001"/>
      <c r="G12" s="3001"/>
      <c r="H12" s="3002"/>
      <c r="I12" s="3013" t="s">
        <v>23</v>
      </c>
      <c r="J12" s="3014"/>
      <c r="K12" s="3014"/>
      <c r="L12" s="3014"/>
      <c r="M12" s="3014"/>
      <c r="N12" s="3014"/>
      <c r="O12" s="3014"/>
      <c r="P12" s="3014"/>
      <c r="Q12" s="3014"/>
      <c r="R12" s="3014"/>
      <c r="S12" s="3014"/>
      <c r="T12" s="3014"/>
      <c r="U12" s="3014"/>
      <c r="V12" s="3014"/>
      <c r="W12" s="3014"/>
      <c r="X12" s="3014"/>
      <c r="Y12" s="3014"/>
      <c r="Z12" s="3014"/>
      <c r="AA12" s="3015"/>
      <c r="AB12" s="23"/>
      <c r="AC12" s="23"/>
      <c r="AD12" s="23"/>
      <c r="AE12" s="23"/>
      <c r="AF12" s="23"/>
      <c r="AG12" s="23"/>
      <c r="AH12" s="23"/>
      <c r="AI12" s="23"/>
    </row>
    <row r="13" spans="1:35" ht="19.5" customHeight="1" thickBot="1" x14ac:dyDescent="0.2">
      <c r="B13" s="3003"/>
      <c r="C13" s="3004"/>
      <c r="D13" s="3005"/>
      <c r="E13" s="3007"/>
      <c r="F13" s="3004"/>
      <c r="G13" s="3004"/>
      <c r="H13" s="3005"/>
      <c r="I13" s="3016" t="s">
        <v>152</v>
      </c>
      <c r="J13" s="3017"/>
      <c r="K13" s="3017"/>
      <c r="L13" s="3017"/>
      <c r="M13" s="3017"/>
      <c r="N13" s="3017"/>
      <c r="O13" s="3017"/>
      <c r="P13" s="3017"/>
      <c r="Q13" s="3017"/>
      <c r="R13" s="3017"/>
      <c r="S13" s="3018"/>
      <c r="T13" s="3016" t="s">
        <v>25</v>
      </c>
      <c r="U13" s="3019"/>
      <c r="V13" s="3016" t="s">
        <v>26</v>
      </c>
      <c r="W13" s="3017"/>
      <c r="X13" s="3018"/>
      <c r="Y13" s="3016" t="s">
        <v>24</v>
      </c>
      <c r="Z13" s="3017"/>
      <c r="AA13" s="3020"/>
      <c r="AB13" s="23"/>
      <c r="AC13" s="23"/>
      <c r="AD13" s="23"/>
      <c r="AE13" s="103"/>
      <c r="AF13" s="23"/>
      <c r="AG13" s="23"/>
      <c r="AH13" s="23"/>
      <c r="AI13" s="23"/>
    </row>
    <row r="14" spans="1:35" ht="25.5" customHeight="1" x14ac:dyDescent="0.15">
      <c r="B14" s="2935">
        <f>入力ページ!D109</f>
        <v>0</v>
      </c>
      <c r="C14" s="2936"/>
      <c r="D14" s="2937"/>
      <c r="E14" s="2944" t="str">
        <f>IF(入力ページ!H109="","",入力ページ!H109)</f>
        <v/>
      </c>
      <c r="F14" s="2936" t="s">
        <v>15</v>
      </c>
      <c r="G14" s="2946" t="str">
        <f>IF(入力ページ!H109="","",入力ページ!H109)</f>
        <v/>
      </c>
      <c r="H14" s="2937" t="s">
        <v>1</v>
      </c>
      <c r="I14" s="2948">
        <f>入力ページ!L109</f>
        <v>0</v>
      </c>
      <c r="J14" s="2949"/>
      <c r="K14" s="2949"/>
      <c r="L14" s="2949"/>
      <c r="M14" s="2949"/>
      <c r="N14" s="2949"/>
      <c r="O14" s="2949"/>
      <c r="P14" s="2949"/>
      <c r="Q14" s="2949"/>
      <c r="R14" s="2949"/>
      <c r="S14" s="2950"/>
      <c r="T14" s="2966">
        <f>入力ページ!T109</f>
        <v>0</v>
      </c>
      <c r="U14" s="2967"/>
      <c r="V14" s="2968">
        <f>入力ページ!V109</f>
        <v>0</v>
      </c>
      <c r="W14" s="2969"/>
      <c r="X14" s="2970"/>
      <c r="Y14" s="2971">
        <f>入力ページ!X109</f>
        <v>0</v>
      </c>
      <c r="Z14" s="2972"/>
      <c r="AA14" s="2973"/>
    </row>
    <row r="15" spans="1:35" ht="25.5" customHeight="1" x14ac:dyDescent="0.15">
      <c r="B15" s="2938"/>
      <c r="C15" s="2939"/>
      <c r="D15" s="2940"/>
      <c r="E15" s="2945"/>
      <c r="F15" s="2939"/>
      <c r="G15" s="2947"/>
      <c r="H15" s="2940"/>
      <c r="I15" s="2915">
        <f>入力ページ!L110</f>
        <v>0</v>
      </c>
      <c r="J15" s="2916"/>
      <c r="K15" s="2916"/>
      <c r="L15" s="2916"/>
      <c r="M15" s="2916"/>
      <c r="N15" s="2916"/>
      <c r="O15" s="2916"/>
      <c r="P15" s="2916"/>
      <c r="Q15" s="2916"/>
      <c r="R15" s="2916"/>
      <c r="S15" s="2917"/>
      <c r="T15" s="2918">
        <f>入力ページ!T110</f>
        <v>0</v>
      </c>
      <c r="U15" s="2919"/>
      <c r="V15" s="2920">
        <f>入力ページ!V110</f>
        <v>0</v>
      </c>
      <c r="W15" s="2921"/>
      <c r="X15" s="2922"/>
      <c r="Y15" s="2923">
        <f>入力ページ!X110</f>
        <v>0</v>
      </c>
      <c r="Z15" s="2924"/>
      <c r="AA15" s="2925"/>
      <c r="AB15" s="23"/>
      <c r="AC15" s="23"/>
      <c r="AD15" s="23"/>
      <c r="AE15" s="23"/>
      <c r="AF15" s="23"/>
      <c r="AG15" s="23"/>
      <c r="AH15" s="23"/>
      <c r="AI15" s="23"/>
    </row>
    <row r="16" spans="1:35" ht="10.5" customHeight="1" x14ac:dyDescent="0.15">
      <c r="B16" s="2941"/>
      <c r="C16" s="2942"/>
      <c r="D16" s="2943"/>
      <c r="E16" s="2957">
        <f>入力ページ!H111</f>
        <v>0</v>
      </c>
      <c r="F16" s="2939" t="s">
        <v>47</v>
      </c>
      <c r="G16" s="2960">
        <f>入力ページ!J111</f>
        <v>0</v>
      </c>
      <c r="H16" s="2940" t="s">
        <v>46</v>
      </c>
      <c r="I16" s="2974">
        <f>入力ページ!L111</f>
        <v>0</v>
      </c>
      <c r="J16" s="2975"/>
      <c r="K16" s="2975"/>
      <c r="L16" s="2975"/>
      <c r="M16" s="2975"/>
      <c r="N16" s="2975"/>
      <c r="O16" s="2975"/>
      <c r="P16" s="2975"/>
      <c r="Q16" s="2975"/>
      <c r="R16" s="2975"/>
      <c r="S16" s="2976"/>
      <c r="T16" s="2980">
        <f>入力ページ!T111</f>
        <v>0</v>
      </c>
      <c r="U16" s="2981"/>
      <c r="V16" s="2984">
        <f>入力ページ!V111</f>
        <v>0</v>
      </c>
      <c r="W16" s="2985"/>
      <c r="X16" s="2986"/>
      <c r="Y16" s="2990">
        <f>入力ページ!X111</f>
        <v>0</v>
      </c>
      <c r="Z16" s="2991"/>
      <c r="AA16" s="2992"/>
      <c r="AB16" s="23"/>
      <c r="AC16" s="23"/>
      <c r="AD16" s="23"/>
      <c r="AE16" s="23"/>
      <c r="AF16" s="23"/>
      <c r="AG16" s="23"/>
      <c r="AH16" s="23"/>
      <c r="AI16" s="23"/>
    </row>
    <row r="17" spans="2:35" ht="15" customHeight="1" x14ac:dyDescent="0.15">
      <c r="B17" s="2951" t="s">
        <v>150</v>
      </c>
      <c r="C17" s="2952"/>
      <c r="D17" s="2953"/>
      <c r="E17" s="2957"/>
      <c r="F17" s="2939"/>
      <c r="G17" s="2960"/>
      <c r="H17" s="2940"/>
      <c r="I17" s="2977"/>
      <c r="J17" s="2978"/>
      <c r="K17" s="2978"/>
      <c r="L17" s="2978"/>
      <c r="M17" s="2978"/>
      <c r="N17" s="2978"/>
      <c r="O17" s="2978"/>
      <c r="P17" s="2978"/>
      <c r="Q17" s="2978"/>
      <c r="R17" s="2978"/>
      <c r="S17" s="2979"/>
      <c r="T17" s="2982"/>
      <c r="U17" s="2983"/>
      <c r="V17" s="2987"/>
      <c r="W17" s="2988"/>
      <c r="X17" s="2989"/>
      <c r="Y17" s="2993"/>
      <c r="Z17" s="2994"/>
      <c r="AA17" s="2995"/>
    </row>
    <row r="18" spans="2:35" ht="25.5" customHeight="1" thickBot="1" x14ac:dyDescent="0.2">
      <c r="B18" s="2954"/>
      <c r="C18" s="2955"/>
      <c r="D18" s="2956"/>
      <c r="E18" s="2958"/>
      <c r="F18" s="2959"/>
      <c r="G18" s="2961"/>
      <c r="H18" s="2962"/>
      <c r="I18" s="2915">
        <f>入力ページ!L112</f>
        <v>0</v>
      </c>
      <c r="J18" s="2916"/>
      <c r="K18" s="2916"/>
      <c r="L18" s="2916"/>
      <c r="M18" s="2916"/>
      <c r="N18" s="2916"/>
      <c r="O18" s="2916"/>
      <c r="P18" s="2916"/>
      <c r="Q18" s="2916"/>
      <c r="R18" s="2916"/>
      <c r="S18" s="2917"/>
      <c r="T18" s="2918">
        <f>入力ページ!T112</f>
        <v>0</v>
      </c>
      <c r="U18" s="2919"/>
      <c r="V18" s="2920">
        <f>入力ページ!V112</f>
        <v>0</v>
      </c>
      <c r="W18" s="2921"/>
      <c r="X18" s="2922"/>
      <c r="Y18" s="2923">
        <f>入力ページ!X112</f>
        <v>0</v>
      </c>
      <c r="Z18" s="2924"/>
      <c r="AA18" s="2925"/>
      <c r="AB18" s="23"/>
      <c r="AC18" s="23"/>
      <c r="AD18" s="23"/>
      <c r="AE18" s="23"/>
      <c r="AF18" s="23"/>
      <c r="AG18" s="23"/>
      <c r="AH18" s="23"/>
      <c r="AI18" s="23"/>
    </row>
    <row r="19" spans="2:35" ht="25.5" customHeight="1" x14ac:dyDescent="0.15">
      <c r="B19" s="2935">
        <f>入力ページ!D115</f>
        <v>0</v>
      </c>
      <c r="C19" s="2936"/>
      <c r="D19" s="2937"/>
      <c r="E19" s="2944" t="str">
        <f>IF(入力ページ!H115="","",入力ページ!H115)</f>
        <v/>
      </c>
      <c r="F19" s="2936" t="s">
        <v>15</v>
      </c>
      <c r="G19" s="2946" t="str">
        <f>IF(入力ページ!H115="","",入力ページ!H115)</f>
        <v/>
      </c>
      <c r="H19" s="2937" t="s">
        <v>1</v>
      </c>
      <c r="I19" s="2948">
        <f>入力ページ!L115</f>
        <v>0</v>
      </c>
      <c r="J19" s="2949"/>
      <c r="K19" s="2949"/>
      <c r="L19" s="2949"/>
      <c r="M19" s="2949"/>
      <c r="N19" s="2949"/>
      <c r="O19" s="2949"/>
      <c r="P19" s="2949"/>
      <c r="Q19" s="2949"/>
      <c r="R19" s="2949"/>
      <c r="S19" s="2950"/>
      <c r="T19" s="2966">
        <f>入力ページ!T115</f>
        <v>0</v>
      </c>
      <c r="U19" s="2967"/>
      <c r="V19" s="2968">
        <f>入力ページ!V115</f>
        <v>0</v>
      </c>
      <c r="W19" s="2969"/>
      <c r="X19" s="2970"/>
      <c r="Y19" s="2971">
        <f>入力ページ!X115</f>
        <v>0</v>
      </c>
      <c r="Z19" s="2972"/>
      <c r="AA19" s="2973"/>
    </row>
    <row r="20" spans="2:35" ht="25.5" customHeight="1" x14ac:dyDescent="0.15">
      <c r="B20" s="2938"/>
      <c r="C20" s="2939"/>
      <c r="D20" s="2940"/>
      <c r="E20" s="2945"/>
      <c r="F20" s="2939"/>
      <c r="G20" s="2947"/>
      <c r="H20" s="2940"/>
      <c r="I20" s="2915">
        <f>入力ページ!L116</f>
        <v>0</v>
      </c>
      <c r="J20" s="2916"/>
      <c r="K20" s="2916"/>
      <c r="L20" s="2916"/>
      <c r="M20" s="2916"/>
      <c r="N20" s="2916"/>
      <c r="O20" s="2916"/>
      <c r="P20" s="2916"/>
      <c r="Q20" s="2916"/>
      <c r="R20" s="2916"/>
      <c r="S20" s="2917"/>
      <c r="T20" s="2918">
        <f>入力ページ!T116</f>
        <v>0</v>
      </c>
      <c r="U20" s="2919"/>
      <c r="V20" s="2920">
        <f>入力ページ!V116</f>
        <v>0</v>
      </c>
      <c r="W20" s="2921"/>
      <c r="X20" s="2922"/>
      <c r="Y20" s="2923">
        <f>入力ページ!X116</f>
        <v>0</v>
      </c>
      <c r="Z20" s="2924"/>
      <c r="AA20" s="2925"/>
      <c r="AB20" s="23"/>
      <c r="AC20" s="23"/>
      <c r="AD20" s="23"/>
      <c r="AE20" s="23"/>
      <c r="AF20" s="23"/>
      <c r="AG20" s="23"/>
      <c r="AH20" s="23"/>
      <c r="AI20" s="23"/>
    </row>
    <row r="21" spans="2:35" ht="10.5" customHeight="1" x14ac:dyDescent="0.15">
      <c r="B21" s="2941"/>
      <c r="C21" s="2942"/>
      <c r="D21" s="2943"/>
      <c r="E21" s="2957">
        <f>入力ページ!H117</f>
        <v>0</v>
      </c>
      <c r="F21" s="2939" t="s">
        <v>47</v>
      </c>
      <c r="G21" s="2960">
        <f>入力ページ!J117</f>
        <v>0</v>
      </c>
      <c r="H21" s="2940" t="s">
        <v>46</v>
      </c>
      <c r="I21" s="2974">
        <f>入力ページ!L117</f>
        <v>0</v>
      </c>
      <c r="J21" s="2975"/>
      <c r="K21" s="2975"/>
      <c r="L21" s="2975"/>
      <c r="M21" s="2975"/>
      <c r="N21" s="2975"/>
      <c r="O21" s="2975"/>
      <c r="P21" s="2975"/>
      <c r="Q21" s="2975"/>
      <c r="R21" s="2975"/>
      <c r="S21" s="2976"/>
      <c r="T21" s="2980">
        <f>入力ページ!T117</f>
        <v>0</v>
      </c>
      <c r="U21" s="2981"/>
      <c r="V21" s="2984">
        <f>入力ページ!V117</f>
        <v>0</v>
      </c>
      <c r="W21" s="2985"/>
      <c r="X21" s="2986"/>
      <c r="Y21" s="2990">
        <f>入力ページ!X117</f>
        <v>0</v>
      </c>
      <c r="Z21" s="2991"/>
      <c r="AA21" s="2992"/>
      <c r="AB21" s="23"/>
      <c r="AC21" s="23"/>
      <c r="AD21" s="23"/>
      <c r="AE21" s="23"/>
      <c r="AF21" s="23"/>
      <c r="AG21" s="23"/>
      <c r="AH21" s="23"/>
      <c r="AI21" s="23"/>
    </row>
    <row r="22" spans="2:35" ht="15" customHeight="1" x14ac:dyDescent="0.15">
      <c r="B22" s="2951" t="s">
        <v>150</v>
      </c>
      <c r="C22" s="2952"/>
      <c r="D22" s="2953"/>
      <c r="E22" s="2957"/>
      <c r="F22" s="2939"/>
      <c r="G22" s="2960"/>
      <c r="H22" s="2940"/>
      <c r="I22" s="2977"/>
      <c r="J22" s="2978"/>
      <c r="K22" s="2978"/>
      <c r="L22" s="2978"/>
      <c r="M22" s="2978"/>
      <c r="N22" s="2978"/>
      <c r="O22" s="2978"/>
      <c r="P22" s="2978"/>
      <c r="Q22" s="2978"/>
      <c r="R22" s="2978"/>
      <c r="S22" s="2979"/>
      <c r="T22" s="2982"/>
      <c r="U22" s="2983"/>
      <c r="V22" s="2987"/>
      <c r="W22" s="2988"/>
      <c r="X22" s="2989"/>
      <c r="Y22" s="2993"/>
      <c r="Z22" s="2994"/>
      <c r="AA22" s="2995"/>
    </row>
    <row r="23" spans="2:35" ht="25.5" customHeight="1" thickBot="1" x14ac:dyDescent="0.2">
      <c r="B23" s="2954"/>
      <c r="C23" s="2955"/>
      <c r="D23" s="2956"/>
      <c r="E23" s="2958"/>
      <c r="F23" s="2959"/>
      <c r="G23" s="2961"/>
      <c r="H23" s="2962"/>
      <c r="I23" s="2915">
        <f>入力ページ!L118</f>
        <v>0</v>
      </c>
      <c r="J23" s="2916"/>
      <c r="K23" s="2916"/>
      <c r="L23" s="2916"/>
      <c r="M23" s="2916"/>
      <c r="N23" s="2916"/>
      <c r="O23" s="2916"/>
      <c r="P23" s="2916"/>
      <c r="Q23" s="2916"/>
      <c r="R23" s="2916"/>
      <c r="S23" s="2917"/>
      <c r="T23" s="2918">
        <f>入力ページ!T118</f>
        <v>0</v>
      </c>
      <c r="U23" s="2919"/>
      <c r="V23" s="2920">
        <f>入力ページ!V118</f>
        <v>0</v>
      </c>
      <c r="W23" s="2921"/>
      <c r="X23" s="2922"/>
      <c r="Y23" s="2923">
        <f>入力ページ!X118</f>
        <v>0</v>
      </c>
      <c r="Z23" s="2924"/>
      <c r="AA23" s="2925"/>
      <c r="AB23" s="23"/>
      <c r="AC23" s="23"/>
      <c r="AD23" s="23"/>
      <c r="AE23" s="23"/>
      <c r="AF23" s="23"/>
      <c r="AG23" s="23"/>
      <c r="AH23" s="23"/>
      <c r="AI23" s="23"/>
    </row>
    <row r="24" spans="2:35" ht="25.5" customHeight="1" x14ac:dyDescent="0.15">
      <c r="B24" s="2935">
        <f>入力ページ!D121</f>
        <v>0</v>
      </c>
      <c r="C24" s="2936"/>
      <c r="D24" s="2937"/>
      <c r="E24" s="2944" t="str">
        <f>IF(入力ページ!H121="","",入力ページ!H121)</f>
        <v/>
      </c>
      <c r="F24" s="2936" t="s">
        <v>15</v>
      </c>
      <c r="G24" s="2946" t="str">
        <f>IF(入力ページ!H121="","",入力ページ!H121)</f>
        <v/>
      </c>
      <c r="H24" s="2937" t="s">
        <v>1</v>
      </c>
      <c r="I24" s="2948">
        <f>入力ページ!L121</f>
        <v>0</v>
      </c>
      <c r="J24" s="2949"/>
      <c r="K24" s="2949"/>
      <c r="L24" s="2949"/>
      <c r="M24" s="2949"/>
      <c r="N24" s="2949"/>
      <c r="O24" s="2949"/>
      <c r="P24" s="2949"/>
      <c r="Q24" s="2949"/>
      <c r="R24" s="2949"/>
      <c r="S24" s="2950"/>
      <c r="T24" s="2966">
        <f>入力ページ!T121</f>
        <v>0</v>
      </c>
      <c r="U24" s="2967"/>
      <c r="V24" s="2968">
        <f>入力ページ!V121</f>
        <v>0</v>
      </c>
      <c r="W24" s="2969"/>
      <c r="X24" s="2970"/>
      <c r="Y24" s="2971">
        <f>入力ページ!X121</f>
        <v>0</v>
      </c>
      <c r="Z24" s="2972"/>
      <c r="AA24" s="2973"/>
    </row>
    <row r="25" spans="2:35" ht="25.5" customHeight="1" x14ac:dyDescent="0.15">
      <c r="B25" s="2938"/>
      <c r="C25" s="2939"/>
      <c r="D25" s="2940"/>
      <c r="E25" s="2945"/>
      <c r="F25" s="2939"/>
      <c r="G25" s="2947"/>
      <c r="H25" s="2940"/>
      <c r="I25" s="2915">
        <f>入力ページ!L122</f>
        <v>0</v>
      </c>
      <c r="J25" s="2916"/>
      <c r="K25" s="2916"/>
      <c r="L25" s="2916"/>
      <c r="M25" s="2916"/>
      <c r="N25" s="2916"/>
      <c r="O25" s="2916"/>
      <c r="P25" s="2916"/>
      <c r="Q25" s="2916"/>
      <c r="R25" s="2916"/>
      <c r="S25" s="2917"/>
      <c r="T25" s="2918">
        <f>入力ページ!T122</f>
        <v>0</v>
      </c>
      <c r="U25" s="2919"/>
      <c r="V25" s="2920">
        <f>入力ページ!V122</f>
        <v>0</v>
      </c>
      <c r="W25" s="2921"/>
      <c r="X25" s="2922"/>
      <c r="Y25" s="2923">
        <f>入力ページ!X122</f>
        <v>0</v>
      </c>
      <c r="Z25" s="2924"/>
      <c r="AA25" s="2925"/>
      <c r="AB25" s="23"/>
      <c r="AC25" s="23"/>
      <c r="AD25" s="23"/>
      <c r="AE25" s="23"/>
      <c r="AF25" s="23"/>
      <c r="AG25" s="23"/>
      <c r="AH25" s="23"/>
      <c r="AI25" s="23"/>
    </row>
    <row r="26" spans="2:35" ht="10.5" customHeight="1" x14ac:dyDescent="0.15">
      <c r="B26" s="2941"/>
      <c r="C26" s="2942"/>
      <c r="D26" s="2943"/>
      <c r="E26" s="2957">
        <f>入力ページ!H123</f>
        <v>0</v>
      </c>
      <c r="F26" s="2939" t="s">
        <v>47</v>
      </c>
      <c r="G26" s="2960">
        <f>入力ページ!J123</f>
        <v>0</v>
      </c>
      <c r="H26" s="2940" t="s">
        <v>46</v>
      </c>
      <c r="I26" s="2974">
        <f>入力ページ!L123</f>
        <v>0</v>
      </c>
      <c r="J26" s="2975"/>
      <c r="K26" s="2975"/>
      <c r="L26" s="2975"/>
      <c r="M26" s="2975"/>
      <c r="N26" s="2975"/>
      <c r="O26" s="2975"/>
      <c r="P26" s="2975"/>
      <c r="Q26" s="2975"/>
      <c r="R26" s="2975"/>
      <c r="S26" s="2976"/>
      <c r="T26" s="2980">
        <f>入力ページ!T123</f>
        <v>0</v>
      </c>
      <c r="U26" s="2981"/>
      <c r="V26" s="2984">
        <f>入力ページ!V123</f>
        <v>0</v>
      </c>
      <c r="W26" s="2985"/>
      <c r="X26" s="2986"/>
      <c r="Y26" s="2990">
        <f>入力ページ!X123</f>
        <v>0</v>
      </c>
      <c r="Z26" s="2991"/>
      <c r="AA26" s="2992"/>
      <c r="AB26" s="23"/>
      <c r="AC26" s="23"/>
      <c r="AD26" s="23"/>
      <c r="AE26" s="23"/>
      <c r="AF26" s="23"/>
      <c r="AG26" s="23"/>
      <c r="AH26" s="23"/>
      <c r="AI26" s="23"/>
    </row>
    <row r="27" spans="2:35" ht="15" customHeight="1" x14ac:dyDescent="0.15">
      <c r="B27" s="2951" t="s">
        <v>150</v>
      </c>
      <c r="C27" s="2952"/>
      <c r="D27" s="2953"/>
      <c r="E27" s="2957"/>
      <c r="F27" s="2939"/>
      <c r="G27" s="2960"/>
      <c r="H27" s="2940"/>
      <c r="I27" s="2977"/>
      <c r="J27" s="2978"/>
      <c r="K27" s="2978"/>
      <c r="L27" s="2978"/>
      <c r="M27" s="2978"/>
      <c r="N27" s="2978"/>
      <c r="O27" s="2978"/>
      <c r="P27" s="2978"/>
      <c r="Q27" s="2978"/>
      <c r="R27" s="2978"/>
      <c r="S27" s="2979"/>
      <c r="T27" s="2982"/>
      <c r="U27" s="2983"/>
      <c r="V27" s="2987"/>
      <c r="W27" s="2988"/>
      <c r="X27" s="2989"/>
      <c r="Y27" s="2993"/>
      <c r="Z27" s="2994"/>
      <c r="AA27" s="2995"/>
    </row>
    <row r="28" spans="2:35" ht="25.5" customHeight="1" thickBot="1" x14ac:dyDescent="0.2">
      <c r="B28" s="2954"/>
      <c r="C28" s="2955"/>
      <c r="D28" s="2956"/>
      <c r="E28" s="2958"/>
      <c r="F28" s="2959"/>
      <c r="G28" s="2961"/>
      <c r="H28" s="2962"/>
      <c r="I28" s="2915">
        <f>入力ページ!L124</f>
        <v>0</v>
      </c>
      <c r="J28" s="2916"/>
      <c r="K28" s="2916"/>
      <c r="L28" s="2916"/>
      <c r="M28" s="2916"/>
      <c r="N28" s="2916"/>
      <c r="O28" s="2916"/>
      <c r="P28" s="2916"/>
      <c r="Q28" s="2916"/>
      <c r="R28" s="2916"/>
      <c r="S28" s="2917"/>
      <c r="T28" s="2918">
        <f>入力ページ!T124</f>
        <v>0</v>
      </c>
      <c r="U28" s="2919"/>
      <c r="V28" s="2920">
        <f>入力ページ!V124</f>
        <v>0</v>
      </c>
      <c r="W28" s="2921"/>
      <c r="X28" s="2922"/>
      <c r="Y28" s="2923">
        <f>入力ページ!X124</f>
        <v>0</v>
      </c>
      <c r="Z28" s="2924"/>
      <c r="AA28" s="2925"/>
      <c r="AB28" s="23"/>
      <c r="AC28" s="23"/>
      <c r="AD28" s="23"/>
      <c r="AE28" s="23"/>
      <c r="AF28" s="23"/>
      <c r="AG28" s="23"/>
      <c r="AH28" s="23"/>
      <c r="AI28" s="23"/>
    </row>
    <row r="29" spans="2:35" ht="25.5" customHeight="1" x14ac:dyDescent="0.15">
      <c r="B29" s="2935">
        <f>入力ページ!D127</f>
        <v>0</v>
      </c>
      <c r="C29" s="2936"/>
      <c r="D29" s="2937"/>
      <c r="E29" s="2944" t="str">
        <f>IF(入力ページ!H127="","",入力ページ!H127)</f>
        <v/>
      </c>
      <c r="F29" s="2936" t="s">
        <v>15</v>
      </c>
      <c r="G29" s="2946" t="str">
        <f>IF(入力ページ!H127="","",入力ページ!H127)</f>
        <v/>
      </c>
      <c r="H29" s="2937" t="s">
        <v>1</v>
      </c>
      <c r="I29" s="2948">
        <f>入力ページ!L127</f>
        <v>0</v>
      </c>
      <c r="J29" s="2949"/>
      <c r="K29" s="2949"/>
      <c r="L29" s="2949"/>
      <c r="M29" s="2949"/>
      <c r="N29" s="2949"/>
      <c r="O29" s="2949"/>
      <c r="P29" s="2949"/>
      <c r="Q29" s="2949"/>
      <c r="R29" s="2949"/>
      <c r="S29" s="2950"/>
      <c r="T29" s="2966">
        <f>入力ページ!T127</f>
        <v>0</v>
      </c>
      <c r="U29" s="2967"/>
      <c r="V29" s="2968">
        <f>入力ページ!V127</f>
        <v>0</v>
      </c>
      <c r="W29" s="2969"/>
      <c r="X29" s="2970"/>
      <c r="Y29" s="2971">
        <f>入力ページ!X127</f>
        <v>0</v>
      </c>
      <c r="Z29" s="2972"/>
      <c r="AA29" s="2973"/>
    </row>
    <row r="30" spans="2:35" ht="25.5" customHeight="1" x14ac:dyDescent="0.15">
      <c r="B30" s="2938"/>
      <c r="C30" s="2939"/>
      <c r="D30" s="2940"/>
      <c r="E30" s="2945"/>
      <c r="F30" s="2939"/>
      <c r="G30" s="2947"/>
      <c r="H30" s="2940"/>
      <c r="I30" s="2915">
        <f>入力ページ!L128</f>
        <v>0</v>
      </c>
      <c r="J30" s="2916"/>
      <c r="K30" s="2916"/>
      <c r="L30" s="2916"/>
      <c r="M30" s="2916"/>
      <c r="N30" s="2916"/>
      <c r="O30" s="2916"/>
      <c r="P30" s="2916"/>
      <c r="Q30" s="2916"/>
      <c r="R30" s="2916"/>
      <c r="S30" s="2917"/>
      <c r="T30" s="2918">
        <f>入力ページ!T128</f>
        <v>0</v>
      </c>
      <c r="U30" s="2919"/>
      <c r="V30" s="2920">
        <f>入力ページ!V128</f>
        <v>0</v>
      </c>
      <c r="W30" s="2921"/>
      <c r="X30" s="2922"/>
      <c r="Y30" s="2923">
        <f>入力ページ!X128</f>
        <v>0</v>
      </c>
      <c r="Z30" s="2924"/>
      <c r="AA30" s="2925"/>
      <c r="AB30" s="23"/>
      <c r="AC30" s="23"/>
      <c r="AD30" s="23"/>
      <c r="AE30" s="23"/>
      <c r="AF30" s="23"/>
      <c r="AG30" s="23"/>
      <c r="AH30" s="23"/>
      <c r="AI30" s="23"/>
    </row>
    <row r="31" spans="2:35" ht="10.5" customHeight="1" x14ac:dyDescent="0.15">
      <c r="B31" s="2941"/>
      <c r="C31" s="2942"/>
      <c r="D31" s="2943"/>
      <c r="E31" s="2957">
        <f>入力ページ!H129</f>
        <v>0</v>
      </c>
      <c r="F31" s="2939" t="s">
        <v>47</v>
      </c>
      <c r="G31" s="2960">
        <f>入力ページ!J129</f>
        <v>0</v>
      </c>
      <c r="H31" s="2940" t="s">
        <v>46</v>
      </c>
      <c r="I31" s="2974">
        <f>入力ページ!L129</f>
        <v>0</v>
      </c>
      <c r="J31" s="2975"/>
      <c r="K31" s="2975"/>
      <c r="L31" s="2975"/>
      <c r="M31" s="2975"/>
      <c r="N31" s="2975"/>
      <c r="O31" s="2975"/>
      <c r="P31" s="2975"/>
      <c r="Q31" s="2975"/>
      <c r="R31" s="2975"/>
      <c r="S31" s="2976"/>
      <c r="T31" s="2980">
        <f>入力ページ!T129</f>
        <v>0</v>
      </c>
      <c r="U31" s="2981"/>
      <c r="V31" s="2984">
        <f>入力ページ!V129</f>
        <v>0</v>
      </c>
      <c r="W31" s="2985"/>
      <c r="X31" s="2986"/>
      <c r="Y31" s="2990">
        <f>入力ページ!X129</f>
        <v>0</v>
      </c>
      <c r="Z31" s="2991"/>
      <c r="AA31" s="2992"/>
      <c r="AB31" s="23"/>
      <c r="AC31" s="23"/>
      <c r="AD31" s="23"/>
      <c r="AE31" s="23"/>
      <c r="AF31" s="23"/>
      <c r="AG31" s="23"/>
      <c r="AH31" s="23"/>
      <c r="AI31" s="23"/>
    </row>
    <row r="32" spans="2:35" ht="15" customHeight="1" x14ac:dyDescent="0.15">
      <c r="B32" s="2951" t="s">
        <v>150</v>
      </c>
      <c r="C32" s="2952"/>
      <c r="D32" s="2953"/>
      <c r="E32" s="2957"/>
      <c r="F32" s="2939"/>
      <c r="G32" s="2960"/>
      <c r="H32" s="2940"/>
      <c r="I32" s="2977"/>
      <c r="J32" s="2978"/>
      <c r="K32" s="2978"/>
      <c r="L32" s="2978"/>
      <c r="M32" s="2978"/>
      <c r="N32" s="2978"/>
      <c r="O32" s="2978"/>
      <c r="P32" s="2978"/>
      <c r="Q32" s="2978"/>
      <c r="R32" s="2978"/>
      <c r="S32" s="2979"/>
      <c r="T32" s="2982"/>
      <c r="U32" s="2983"/>
      <c r="V32" s="2987"/>
      <c r="W32" s="2988"/>
      <c r="X32" s="2989"/>
      <c r="Y32" s="2993"/>
      <c r="Z32" s="2994"/>
      <c r="AA32" s="2995"/>
    </row>
    <row r="33" spans="1:35" ht="25.5" customHeight="1" thickBot="1" x14ac:dyDescent="0.2">
      <c r="B33" s="2954"/>
      <c r="C33" s="2955"/>
      <c r="D33" s="2956"/>
      <c r="E33" s="2958"/>
      <c r="F33" s="2959"/>
      <c r="G33" s="2961"/>
      <c r="H33" s="2962"/>
      <c r="I33" s="2915">
        <f>入力ページ!L130</f>
        <v>0</v>
      </c>
      <c r="J33" s="2916"/>
      <c r="K33" s="2916"/>
      <c r="L33" s="2916"/>
      <c r="M33" s="2916"/>
      <c r="N33" s="2916"/>
      <c r="O33" s="2916"/>
      <c r="P33" s="2916"/>
      <c r="Q33" s="2916"/>
      <c r="R33" s="2916"/>
      <c r="S33" s="2917"/>
      <c r="T33" s="2918">
        <f>入力ページ!T130</f>
        <v>0</v>
      </c>
      <c r="U33" s="2919"/>
      <c r="V33" s="2920">
        <f>入力ページ!V130</f>
        <v>0</v>
      </c>
      <c r="W33" s="2921"/>
      <c r="X33" s="2922"/>
      <c r="Y33" s="2923">
        <f>入力ページ!X130</f>
        <v>0</v>
      </c>
      <c r="Z33" s="2924"/>
      <c r="AA33" s="2925"/>
      <c r="AB33" s="23"/>
      <c r="AC33" s="23"/>
      <c r="AD33" s="23"/>
      <c r="AE33" s="23"/>
      <c r="AF33" s="23"/>
      <c r="AG33" s="23"/>
      <c r="AH33" s="23"/>
      <c r="AI33" s="23"/>
    </row>
    <row r="34" spans="1:35" ht="26.25" customHeight="1" thickBot="1" x14ac:dyDescent="0.2">
      <c r="B34" s="2932"/>
      <c r="C34" s="2933"/>
      <c r="D34" s="2933"/>
      <c r="E34" s="2933"/>
      <c r="F34" s="2933"/>
      <c r="G34" s="2933"/>
      <c r="H34" s="2933"/>
      <c r="I34" s="2933"/>
      <c r="J34" s="2933"/>
      <c r="K34" s="2933"/>
      <c r="L34" s="2933"/>
      <c r="M34" s="2933"/>
      <c r="N34" s="2933"/>
      <c r="O34" s="2933"/>
      <c r="P34" s="2933"/>
      <c r="Q34" s="2933"/>
      <c r="R34" s="2933"/>
      <c r="S34" s="2934"/>
      <c r="T34" s="2963" t="s">
        <v>147</v>
      </c>
      <c r="U34" s="2964"/>
      <c r="V34" s="2964"/>
      <c r="W34" s="2964"/>
      <c r="X34" s="2965"/>
      <c r="Y34" s="2996">
        <f>SUM(Y14:AA33)</f>
        <v>0</v>
      </c>
      <c r="Z34" s="2996"/>
      <c r="AA34" s="2997"/>
    </row>
    <row r="35" spans="1:35" ht="30" customHeight="1" x14ac:dyDescent="0.15">
      <c r="A35" s="2"/>
      <c r="B35" s="2998" t="s">
        <v>449</v>
      </c>
      <c r="C35" s="2998"/>
      <c r="D35" s="2998"/>
      <c r="E35" s="2998"/>
      <c r="F35" s="2998"/>
      <c r="G35" s="2998"/>
      <c r="H35" s="2998"/>
      <c r="I35" s="2998"/>
      <c r="J35" s="2998"/>
      <c r="K35" s="2998"/>
      <c r="L35" s="2998"/>
      <c r="M35" s="2998"/>
      <c r="N35" s="2998"/>
      <c r="O35" s="2998"/>
      <c r="P35" s="2998"/>
      <c r="Q35" s="2998"/>
      <c r="R35" s="2998"/>
      <c r="S35" s="2998"/>
      <c r="T35" s="2998"/>
      <c r="U35" s="2998"/>
      <c r="V35" s="2998"/>
      <c r="W35" s="2998"/>
      <c r="X35" s="2998"/>
      <c r="Y35" s="2998"/>
      <c r="Z35" s="2998"/>
      <c r="AA35" s="2998"/>
      <c r="AB35" s="23"/>
      <c r="AC35" s="23"/>
      <c r="AD35" s="23"/>
      <c r="AE35" s="23"/>
      <c r="AF35" s="23"/>
      <c r="AG35" s="23"/>
      <c r="AH35" s="23"/>
      <c r="AI35" s="23"/>
    </row>
    <row r="36" spans="1:35" ht="21" customHeight="1" x14ac:dyDescent="0.15">
      <c r="B36" s="96"/>
      <c r="C36" s="2999" t="s">
        <v>49</v>
      </c>
      <c r="D36" s="2999"/>
      <c r="E36" s="2999"/>
      <c r="F36" s="2999"/>
      <c r="G36" s="2999"/>
      <c r="H36" s="92" t="str">
        <f>IF(入力ページ!O94="自然の家の食器を利用","○","")</f>
        <v/>
      </c>
      <c r="I36" s="93" t="s">
        <v>45</v>
      </c>
      <c r="J36" s="96"/>
      <c r="K36" s="2999" t="s">
        <v>50</v>
      </c>
      <c r="L36" s="2999"/>
      <c r="M36" s="2999"/>
      <c r="N36" s="2999"/>
      <c r="O36" s="2999"/>
      <c r="P36" s="2999"/>
      <c r="Q36" s="95" t="str">
        <f>IF(入力ページ!O94="使い捨て食器を購入","○","")</f>
        <v/>
      </c>
      <c r="R36" s="93" t="s">
        <v>45</v>
      </c>
      <c r="S36" s="96"/>
      <c r="T36" s="2999" t="s">
        <v>51</v>
      </c>
      <c r="U36" s="2999"/>
      <c r="V36" s="2999"/>
      <c r="W36" s="2999"/>
      <c r="X36" s="92" t="str">
        <f>IF(入力ページ!O94="食器を持参","○","")</f>
        <v/>
      </c>
      <c r="Y36" s="93" t="s">
        <v>45</v>
      </c>
      <c r="Z36" s="94"/>
      <c r="AA36" s="94"/>
      <c r="AB36" s="2"/>
    </row>
    <row r="37" spans="1:35" ht="40.5" customHeight="1" x14ac:dyDescent="0.15">
      <c r="A37" s="2"/>
      <c r="B37" s="3060" t="s">
        <v>247</v>
      </c>
      <c r="C37" s="3060"/>
      <c r="D37" s="3060"/>
      <c r="E37" s="3060"/>
      <c r="F37" s="3060"/>
      <c r="G37" s="3060"/>
      <c r="H37" s="3060"/>
      <c r="I37" s="3060"/>
      <c r="J37" s="3060"/>
      <c r="K37" s="3060"/>
      <c r="L37" s="3060"/>
      <c r="M37" s="3060"/>
      <c r="N37" s="3060"/>
      <c r="O37" s="3060"/>
      <c r="P37" s="3060"/>
      <c r="Q37" s="3060"/>
      <c r="R37" s="3060"/>
      <c r="S37" s="3060"/>
      <c r="T37" s="3060"/>
      <c r="U37" s="3060"/>
      <c r="V37" s="3060"/>
      <c r="W37" s="3060"/>
      <c r="X37" s="3060"/>
      <c r="Y37" s="3060"/>
      <c r="Z37" s="3060"/>
      <c r="AA37" s="3060"/>
      <c r="AB37" s="23"/>
      <c r="AC37" s="23"/>
      <c r="AD37" s="23"/>
      <c r="AE37" s="99"/>
      <c r="AF37" s="23"/>
      <c r="AG37" s="23"/>
      <c r="AH37" s="23"/>
      <c r="AI37" s="23"/>
    </row>
    <row r="38" spans="1:35" ht="2.25" customHeight="1" thickBot="1" x14ac:dyDescent="0.2">
      <c r="A38" s="2"/>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23"/>
      <c r="AC38" s="23"/>
      <c r="AD38" s="23"/>
      <c r="AE38" s="99"/>
      <c r="AF38" s="23"/>
      <c r="AG38" s="23"/>
      <c r="AH38" s="23"/>
      <c r="AI38" s="23"/>
    </row>
    <row r="39" spans="1:35" ht="19.5" customHeight="1" thickBot="1" x14ac:dyDescent="0.2">
      <c r="B39" s="3057" t="s">
        <v>27</v>
      </c>
      <c r="C39" s="3058"/>
      <c r="D39" s="3059"/>
      <c r="E39" s="2929" t="s">
        <v>20</v>
      </c>
      <c r="F39" s="2930"/>
      <c r="G39" s="2930"/>
      <c r="H39" s="2930"/>
      <c r="I39" s="2930"/>
      <c r="J39" s="2930"/>
      <c r="K39" s="2930"/>
      <c r="L39" s="2930"/>
      <c r="M39" s="2930"/>
      <c r="N39" s="2930"/>
      <c r="O39" s="2930"/>
      <c r="P39" s="2930"/>
      <c r="Q39" s="2930"/>
      <c r="R39" s="2930"/>
      <c r="S39" s="2930"/>
      <c r="T39" s="2931"/>
      <c r="U39" s="2929" t="s">
        <v>28</v>
      </c>
      <c r="V39" s="2930"/>
      <c r="W39" s="2930"/>
      <c r="X39" s="2930"/>
      <c r="Y39" s="2930"/>
      <c r="Z39" s="2930"/>
      <c r="AA39" s="3061"/>
    </row>
    <row r="40" spans="1:35" ht="22.5" customHeight="1" x14ac:dyDescent="0.15">
      <c r="B40" s="2904">
        <f>入力ページ!M103</f>
        <v>0</v>
      </c>
      <c r="C40" s="2905"/>
      <c r="D40" s="2906"/>
      <c r="E40" s="2893" t="s">
        <v>151</v>
      </c>
      <c r="F40" s="2894"/>
      <c r="G40" s="2894"/>
      <c r="H40" s="2894"/>
      <c r="I40" s="2894"/>
      <c r="J40" s="2894"/>
      <c r="K40" s="2894"/>
      <c r="L40" s="2894"/>
      <c r="M40" s="104" t="s">
        <v>95</v>
      </c>
      <c r="N40" s="2895">
        <f>入力ページ!I103</f>
        <v>0</v>
      </c>
      <c r="O40" s="2895"/>
      <c r="P40" s="2895"/>
      <c r="Q40" s="105" t="s">
        <v>44</v>
      </c>
      <c r="R40" s="106"/>
      <c r="S40" s="106"/>
      <c r="T40" s="107"/>
      <c r="U40" s="2897">
        <f>入力ページ!P103</f>
        <v>0</v>
      </c>
      <c r="V40" s="2897"/>
      <c r="W40" s="2897"/>
      <c r="X40" s="2897"/>
      <c r="Y40" s="2897"/>
      <c r="Z40" s="2897"/>
      <c r="AA40" s="2898"/>
    </row>
    <row r="41" spans="1:35" ht="22.5" customHeight="1" x14ac:dyDescent="0.15">
      <c r="B41" s="2907">
        <f>入力ページ!M104</f>
        <v>0</v>
      </c>
      <c r="C41" s="2625"/>
      <c r="D41" s="2626"/>
      <c r="E41" s="2908">
        <f>入力ページ!D104</f>
        <v>0</v>
      </c>
      <c r="F41" s="2909"/>
      <c r="G41" s="2909"/>
      <c r="H41" s="2909"/>
      <c r="I41" s="2909"/>
      <c r="J41" s="2909"/>
      <c r="K41" s="2909"/>
      <c r="L41" s="2909"/>
      <c r="M41" s="2909"/>
      <c r="N41" s="2909"/>
      <c r="O41" s="2909"/>
      <c r="P41" s="2909"/>
      <c r="Q41" s="2909"/>
      <c r="R41" s="2909"/>
      <c r="S41" s="2909"/>
      <c r="T41" s="2910"/>
      <c r="U41" s="2899">
        <f>入力ページ!P104</f>
        <v>0</v>
      </c>
      <c r="V41" s="2899"/>
      <c r="W41" s="2899"/>
      <c r="X41" s="2899"/>
      <c r="Y41" s="2899"/>
      <c r="Z41" s="2899"/>
      <c r="AA41" s="2900"/>
    </row>
    <row r="42" spans="1:35" ht="22.5" customHeight="1" thickBot="1" x14ac:dyDescent="0.2">
      <c r="B42" s="2896">
        <f>入力ページ!M105</f>
        <v>0</v>
      </c>
      <c r="C42" s="2640"/>
      <c r="D42" s="2641"/>
      <c r="E42" s="2911">
        <f>入力ページ!D105</f>
        <v>0</v>
      </c>
      <c r="F42" s="2912"/>
      <c r="G42" s="2912"/>
      <c r="H42" s="2912"/>
      <c r="I42" s="2912"/>
      <c r="J42" s="2912"/>
      <c r="K42" s="2912"/>
      <c r="L42" s="2912"/>
      <c r="M42" s="2912"/>
      <c r="N42" s="2912"/>
      <c r="O42" s="2912"/>
      <c r="P42" s="2912"/>
      <c r="Q42" s="2912"/>
      <c r="R42" s="2912"/>
      <c r="S42" s="2912"/>
      <c r="T42" s="2913"/>
      <c r="U42" s="2901">
        <f>入力ページ!P105</f>
        <v>0</v>
      </c>
      <c r="V42" s="2902"/>
      <c r="W42" s="2902"/>
      <c r="X42" s="2902"/>
      <c r="Y42" s="2902"/>
      <c r="Z42" s="2902"/>
      <c r="AA42" s="2903"/>
    </row>
    <row r="43" spans="1:35" ht="44.25" customHeight="1" x14ac:dyDescent="0.15">
      <c r="B43" s="42"/>
      <c r="C43" s="42"/>
      <c r="D43" s="42"/>
      <c r="E43" s="387"/>
      <c r="F43" s="387"/>
      <c r="G43" s="387"/>
      <c r="H43" s="387"/>
      <c r="I43" s="387"/>
      <c r="J43" s="387"/>
      <c r="K43" s="387"/>
      <c r="L43" s="387"/>
      <c r="M43" s="387"/>
      <c r="N43" s="387"/>
      <c r="O43" s="387"/>
      <c r="P43" s="387"/>
      <c r="Q43" s="387"/>
      <c r="R43" s="387"/>
      <c r="S43" s="387"/>
      <c r="T43" s="387"/>
      <c r="U43" s="853"/>
      <c r="V43" s="853"/>
      <c r="W43" s="853"/>
      <c r="X43" s="853"/>
      <c r="Y43" s="853"/>
      <c r="Z43" s="853"/>
      <c r="AA43" s="853"/>
    </row>
    <row r="44" spans="1:35" ht="20.25" customHeight="1" x14ac:dyDescent="0.15">
      <c r="A44" s="2"/>
      <c r="B44" s="2926"/>
      <c r="C44" s="2926"/>
      <c r="D44" s="2926"/>
      <c r="E44" s="80"/>
      <c r="F44" s="80"/>
      <c r="G44" s="80"/>
      <c r="H44" s="80"/>
      <c r="I44" s="80"/>
      <c r="J44" s="80"/>
      <c r="K44" s="80"/>
      <c r="L44" s="80"/>
      <c r="M44" s="80"/>
      <c r="N44" s="80"/>
      <c r="O44" s="80"/>
      <c r="P44" s="80"/>
      <c r="Q44" s="80"/>
      <c r="S44" s="2667" t="s">
        <v>6</v>
      </c>
      <c r="T44" s="2667"/>
      <c r="U44" s="2667"/>
      <c r="V44" s="2927">
        <f>V2</f>
        <v>0</v>
      </c>
      <c r="W44" s="2927"/>
      <c r="X44" s="2927"/>
      <c r="Y44" s="2927"/>
      <c r="Z44" s="2927"/>
      <c r="AA44" s="2927"/>
      <c r="AB44" s="229"/>
    </row>
    <row r="45" spans="1:35" ht="20.25" customHeight="1" x14ac:dyDescent="0.15">
      <c r="A45" s="2"/>
      <c r="B45" s="2926"/>
      <c r="C45" s="2926"/>
      <c r="D45" s="2926"/>
      <c r="E45" s="80"/>
      <c r="F45" s="80"/>
      <c r="G45" s="80"/>
      <c r="H45" s="80"/>
      <c r="I45" s="80"/>
      <c r="J45" s="80"/>
      <c r="K45" s="80"/>
      <c r="L45" s="80"/>
      <c r="M45" s="80"/>
      <c r="N45" s="80"/>
      <c r="O45" s="80"/>
      <c r="P45" s="80"/>
      <c r="Q45" s="80"/>
      <c r="S45" s="2668" t="s">
        <v>7</v>
      </c>
      <c r="T45" s="2668"/>
      <c r="U45" s="2668"/>
      <c r="V45" s="2928" t="str">
        <f>V3</f>
        <v xml:space="preserve">　　　月　 　 日 　　 ：　 </v>
      </c>
      <c r="W45" s="2928"/>
      <c r="X45" s="2928"/>
      <c r="Y45" s="2928"/>
      <c r="Z45" s="2928"/>
      <c r="AA45" s="2928"/>
      <c r="AB45" s="229"/>
      <c r="AD45" s="40"/>
    </row>
    <row r="46" spans="1:35" ht="33.75" customHeight="1" x14ac:dyDescent="0.25">
      <c r="B46" s="2892" t="s">
        <v>141</v>
      </c>
      <c r="C46" s="2892"/>
      <c r="D46" s="2892"/>
      <c r="E46" s="2892"/>
      <c r="F46" s="2892"/>
      <c r="G46" s="2892"/>
      <c r="H46" s="2892"/>
      <c r="I46" s="2892"/>
      <c r="J46" s="2892"/>
      <c r="K46" s="2892"/>
      <c r="L46" s="2892"/>
      <c r="M46" s="2892"/>
      <c r="N46" s="2892"/>
      <c r="O46" s="2892"/>
      <c r="P46" s="2892"/>
      <c r="Q46" s="2892"/>
      <c r="R46" s="2892"/>
      <c r="S46" s="2892"/>
      <c r="T46" s="2892"/>
      <c r="U46" s="82" t="s">
        <v>245</v>
      </c>
      <c r="V46" s="2914">
        <v>2</v>
      </c>
      <c r="W46" s="2914"/>
      <c r="X46" s="230" t="s">
        <v>57</v>
      </c>
      <c r="Y46" s="2914">
        <v>2</v>
      </c>
      <c r="Z46" s="2914"/>
      <c r="AA46" s="231" t="s">
        <v>58</v>
      </c>
      <c r="AB46" s="229"/>
    </row>
    <row r="47" spans="1:35" ht="3.75" customHeight="1" thickBot="1" x14ac:dyDescent="0.3">
      <c r="A47" s="229"/>
      <c r="B47" s="232"/>
      <c r="C47" s="232"/>
      <c r="D47" s="232"/>
      <c r="E47" s="232"/>
      <c r="F47" s="232"/>
      <c r="G47" s="232"/>
      <c r="H47" s="232"/>
      <c r="I47" s="232"/>
      <c r="J47" s="232"/>
      <c r="K47" s="232"/>
      <c r="L47" s="232"/>
      <c r="M47" s="232"/>
      <c r="N47" s="232"/>
      <c r="O47" s="232"/>
      <c r="P47" s="232"/>
      <c r="Q47" s="232"/>
      <c r="R47" s="232"/>
      <c r="S47" s="232"/>
      <c r="T47" s="232"/>
      <c r="U47" s="233"/>
      <c r="V47" s="234"/>
      <c r="W47" s="234"/>
      <c r="X47" s="235"/>
      <c r="Y47" s="234"/>
      <c r="Z47" s="234"/>
      <c r="AA47" s="236"/>
      <c r="AB47" s="229"/>
    </row>
    <row r="48" spans="1:35" ht="26.25" customHeight="1" x14ac:dyDescent="0.15">
      <c r="A48" s="229"/>
      <c r="B48" s="3036" t="s">
        <v>29</v>
      </c>
      <c r="C48" s="3037"/>
      <c r="D48" s="3038"/>
      <c r="E48" s="3026">
        <f>E6</f>
        <v>0</v>
      </c>
      <c r="F48" s="3027"/>
      <c r="G48" s="3027"/>
      <c r="H48" s="3028" t="s">
        <v>14</v>
      </c>
      <c r="I48" s="3028"/>
      <c r="J48" s="530">
        <f>J6</f>
        <v>0</v>
      </c>
      <c r="K48" s="531" t="s">
        <v>15</v>
      </c>
      <c r="L48" s="530">
        <f>L6</f>
        <v>0</v>
      </c>
      <c r="M48" s="531" t="s">
        <v>32</v>
      </c>
      <c r="N48" s="530" t="s">
        <v>16</v>
      </c>
      <c r="O48" s="531" t="str">
        <f>④物品発注!O6</f>
        <v/>
      </c>
      <c r="P48" s="102" t="s">
        <v>17</v>
      </c>
      <c r="Q48" s="3039" t="s">
        <v>35</v>
      </c>
      <c r="R48" s="3039"/>
      <c r="S48" s="540" t="str">
        <f>S6</f>
        <v/>
      </c>
      <c r="T48" s="531" t="s">
        <v>15</v>
      </c>
      <c r="U48" s="541" t="str">
        <f>U6</f>
        <v/>
      </c>
      <c r="V48" s="531" t="s">
        <v>32</v>
      </c>
      <c r="W48" s="530" t="s">
        <v>16</v>
      </c>
      <c r="X48" s="531" t="str">
        <f>X6</f>
        <v/>
      </c>
      <c r="Y48" s="102" t="s">
        <v>17</v>
      </c>
      <c r="Z48" s="3011" t="s">
        <v>48</v>
      </c>
      <c r="AA48" s="3012"/>
      <c r="AB48" s="237"/>
      <c r="AC48" s="23"/>
      <c r="AD48" s="23"/>
      <c r="AE48" s="23"/>
      <c r="AF48" s="23"/>
      <c r="AG48" s="23"/>
      <c r="AH48" s="23"/>
      <c r="AI48" s="23"/>
    </row>
    <row r="49" spans="1:35" ht="30" customHeight="1" thickBot="1" x14ac:dyDescent="0.2">
      <c r="A49" s="229"/>
      <c r="B49" s="3032" t="s">
        <v>8</v>
      </c>
      <c r="C49" s="3033"/>
      <c r="D49" s="3034"/>
      <c r="E49" s="3008">
        <f>E7</f>
        <v>0</v>
      </c>
      <c r="F49" s="3009"/>
      <c r="G49" s="3009"/>
      <c r="H49" s="3009"/>
      <c r="I49" s="3009"/>
      <c r="J49" s="3009"/>
      <c r="K49" s="3009"/>
      <c r="L49" s="3009"/>
      <c r="M49" s="3009"/>
      <c r="N49" s="3009"/>
      <c r="O49" s="3009"/>
      <c r="P49" s="3009"/>
      <c r="Q49" s="3009"/>
      <c r="R49" s="3009"/>
      <c r="S49" s="3009"/>
      <c r="T49" s="3009"/>
      <c r="U49" s="3009"/>
      <c r="V49" s="3009"/>
      <c r="W49" s="3009"/>
      <c r="X49" s="3009"/>
      <c r="Y49" s="3009"/>
      <c r="Z49" s="3009"/>
      <c r="AA49" s="3010"/>
      <c r="AB49" s="237"/>
      <c r="AC49" s="23"/>
      <c r="AD49" s="23"/>
      <c r="AE49" s="23"/>
      <c r="AF49" s="23"/>
      <c r="AG49" s="23"/>
      <c r="AH49" s="23"/>
      <c r="AI49" s="23"/>
    </row>
    <row r="50" spans="1:35" ht="18.75" customHeight="1" x14ac:dyDescent="0.15">
      <c r="A50" s="229"/>
      <c r="B50" s="3062" t="s">
        <v>148</v>
      </c>
      <c r="C50" s="3062"/>
      <c r="D50" s="3062"/>
      <c r="E50" s="3062"/>
      <c r="F50" s="3062"/>
      <c r="G50" s="3062"/>
      <c r="H50" s="3062"/>
      <c r="I50" s="3062"/>
      <c r="J50" s="3062"/>
      <c r="K50" s="3062"/>
      <c r="L50" s="3062"/>
      <c r="M50" s="3062"/>
      <c r="N50" s="3062"/>
      <c r="O50" s="3062"/>
      <c r="P50" s="3062"/>
      <c r="Q50" s="3062"/>
      <c r="R50" s="3062"/>
      <c r="S50" s="3062"/>
      <c r="T50" s="3062"/>
      <c r="U50" s="3062"/>
      <c r="V50" s="3062"/>
      <c r="W50" s="3062"/>
      <c r="X50" s="3062"/>
      <c r="Y50" s="3062"/>
      <c r="Z50" s="3062"/>
      <c r="AA50" s="238"/>
      <c r="AB50" s="237"/>
      <c r="AC50" s="23"/>
      <c r="AD50" s="23"/>
      <c r="AE50" s="23"/>
      <c r="AF50" s="23"/>
      <c r="AG50" s="23"/>
      <c r="AH50" s="91"/>
      <c r="AI50" s="23"/>
    </row>
    <row r="51" spans="1:35" ht="17.25" customHeight="1" x14ac:dyDescent="0.15">
      <c r="A51" s="229"/>
      <c r="B51" s="239"/>
      <c r="C51" s="384" t="s">
        <v>16</v>
      </c>
      <c r="D51" s="385" t="str">
        <f>D9</f>
        <v/>
      </c>
      <c r="E51" s="386" t="s">
        <v>34</v>
      </c>
      <c r="F51" s="3063" t="s">
        <v>142</v>
      </c>
      <c r="G51" s="3063"/>
      <c r="H51" s="3063"/>
      <c r="I51" s="3063"/>
      <c r="J51" s="3064" t="s">
        <v>144</v>
      </c>
      <c r="K51" s="3064"/>
      <c r="L51" s="3065" t="s">
        <v>146</v>
      </c>
      <c r="M51" s="3065"/>
      <c r="N51" s="3065"/>
      <c r="O51" s="3065"/>
      <c r="P51" s="3065"/>
      <c r="Q51" s="3065"/>
      <c r="R51" s="3065"/>
      <c r="S51" s="3065"/>
      <c r="T51" s="3065"/>
      <c r="U51" s="3065"/>
      <c r="V51" s="3065"/>
      <c r="W51" s="3065"/>
      <c r="X51" s="3065"/>
      <c r="Y51" s="3065"/>
      <c r="Z51" s="3065"/>
      <c r="AA51" s="3065"/>
      <c r="AB51" s="237"/>
      <c r="AC51" s="23"/>
      <c r="AD51" s="23"/>
      <c r="AE51" s="23"/>
      <c r="AF51" s="23"/>
      <c r="AG51" s="23"/>
      <c r="AH51" s="23"/>
      <c r="AI51" s="23"/>
    </row>
    <row r="52" spans="1:35" ht="17.25" customHeight="1" x14ac:dyDescent="0.15">
      <c r="A52" s="229"/>
      <c r="B52" s="242"/>
      <c r="C52" s="384" t="s">
        <v>16</v>
      </c>
      <c r="D52" s="385" t="str">
        <f>D10</f>
        <v/>
      </c>
      <c r="E52" s="386" t="s">
        <v>34</v>
      </c>
      <c r="F52" s="3130" t="s">
        <v>143</v>
      </c>
      <c r="G52" s="3130"/>
      <c r="H52" s="3130"/>
      <c r="I52" s="3130"/>
      <c r="J52" s="3131" t="s">
        <v>144</v>
      </c>
      <c r="K52" s="3131"/>
      <c r="L52" s="3130" t="s">
        <v>145</v>
      </c>
      <c r="M52" s="3130"/>
      <c r="N52" s="3130"/>
      <c r="O52" s="3130"/>
      <c r="P52" s="3130"/>
      <c r="Q52" s="3130"/>
      <c r="R52" s="3130"/>
      <c r="S52" s="3130"/>
      <c r="T52" s="3130"/>
      <c r="U52" s="3130"/>
      <c r="V52" s="3130"/>
      <c r="W52" s="3130"/>
      <c r="X52" s="3130"/>
      <c r="Y52" s="3130"/>
      <c r="Z52" s="3130"/>
      <c r="AA52" s="3130"/>
      <c r="AB52" s="237"/>
      <c r="AC52" s="23"/>
      <c r="AD52" s="23"/>
      <c r="AE52" s="23"/>
      <c r="AF52" s="23"/>
      <c r="AG52" s="23"/>
      <c r="AH52" s="23"/>
      <c r="AI52" s="23"/>
    </row>
    <row r="53" spans="1:35" ht="2.25" customHeight="1" thickBot="1" x14ac:dyDescent="0.2">
      <c r="A53" s="229"/>
      <c r="B53" s="242"/>
      <c r="C53" s="240"/>
      <c r="D53" s="243"/>
      <c r="E53" s="241"/>
      <c r="F53" s="244"/>
      <c r="G53" s="244"/>
      <c r="H53" s="244"/>
      <c r="I53" s="244"/>
      <c r="J53" s="245"/>
      <c r="K53" s="245"/>
      <c r="L53" s="244"/>
      <c r="M53" s="244"/>
      <c r="N53" s="244"/>
      <c r="O53" s="244"/>
      <c r="P53" s="244"/>
      <c r="Q53" s="244"/>
      <c r="R53" s="244"/>
      <c r="S53" s="244"/>
      <c r="T53" s="244"/>
      <c r="U53" s="244"/>
      <c r="V53" s="244"/>
      <c r="W53" s="244"/>
      <c r="X53" s="244"/>
      <c r="Y53" s="244"/>
      <c r="Z53" s="244"/>
      <c r="AA53" s="244"/>
      <c r="AB53" s="237"/>
      <c r="AC53" s="23"/>
      <c r="AD53" s="23"/>
      <c r="AE53" s="23"/>
      <c r="AF53" s="23"/>
      <c r="AG53" s="23"/>
      <c r="AH53" s="23"/>
      <c r="AI53" s="23"/>
    </row>
    <row r="54" spans="1:35" ht="19.5" customHeight="1" x14ac:dyDescent="0.15">
      <c r="A54" s="229"/>
      <c r="B54" s="3041" t="s">
        <v>21</v>
      </c>
      <c r="C54" s="3042"/>
      <c r="D54" s="3043"/>
      <c r="E54" s="3047" t="s">
        <v>22</v>
      </c>
      <c r="F54" s="3042"/>
      <c r="G54" s="3042"/>
      <c r="H54" s="3043"/>
      <c r="I54" s="3049" t="s">
        <v>23</v>
      </c>
      <c r="J54" s="3050"/>
      <c r="K54" s="3050"/>
      <c r="L54" s="3050"/>
      <c r="M54" s="3050"/>
      <c r="N54" s="3050"/>
      <c r="O54" s="3050"/>
      <c r="P54" s="3050"/>
      <c r="Q54" s="3050"/>
      <c r="R54" s="3050"/>
      <c r="S54" s="3050"/>
      <c r="T54" s="3050"/>
      <c r="U54" s="3050"/>
      <c r="V54" s="3050"/>
      <c r="W54" s="3050"/>
      <c r="X54" s="3050"/>
      <c r="Y54" s="3050"/>
      <c r="Z54" s="3050"/>
      <c r="AA54" s="3051"/>
      <c r="AB54" s="237"/>
      <c r="AC54" s="23"/>
      <c r="AD54" s="23"/>
      <c r="AE54" s="23"/>
      <c r="AF54" s="23"/>
      <c r="AG54" s="23"/>
      <c r="AH54" s="23"/>
      <c r="AI54" s="23"/>
    </row>
    <row r="55" spans="1:35" ht="19.5" customHeight="1" thickBot="1" x14ac:dyDescent="0.2">
      <c r="A55" s="229"/>
      <c r="B55" s="3044"/>
      <c r="C55" s="3045"/>
      <c r="D55" s="3046"/>
      <c r="E55" s="3048"/>
      <c r="F55" s="3045"/>
      <c r="G55" s="3045"/>
      <c r="H55" s="3046"/>
      <c r="I55" s="3052" t="s">
        <v>152</v>
      </c>
      <c r="J55" s="3053"/>
      <c r="K55" s="3053"/>
      <c r="L55" s="3053"/>
      <c r="M55" s="3053"/>
      <c r="N55" s="3053"/>
      <c r="O55" s="3053"/>
      <c r="P55" s="3053"/>
      <c r="Q55" s="3053"/>
      <c r="R55" s="3053"/>
      <c r="S55" s="3054"/>
      <c r="T55" s="3052" t="s">
        <v>25</v>
      </c>
      <c r="U55" s="3055"/>
      <c r="V55" s="3052" t="s">
        <v>26</v>
      </c>
      <c r="W55" s="3053"/>
      <c r="X55" s="3054"/>
      <c r="Y55" s="3052" t="s">
        <v>24</v>
      </c>
      <c r="Z55" s="3053"/>
      <c r="AA55" s="3056"/>
      <c r="AB55" s="237"/>
      <c r="AC55" s="23"/>
      <c r="AD55" s="23"/>
      <c r="AE55" s="103"/>
      <c r="AF55" s="23"/>
      <c r="AG55" s="23"/>
      <c r="AH55" s="23"/>
      <c r="AI55" s="23"/>
    </row>
    <row r="56" spans="1:35" ht="25.5" customHeight="1" x14ac:dyDescent="0.15">
      <c r="A56" s="229"/>
      <c r="B56" s="3066">
        <f>入力ページ!D133</f>
        <v>0</v>
      </c>
      <c r="C56" s="3067"/>
      <c r="D56" s="3068"/>
      <c r="E56" s="2944" t="str">
        <f>IF(入力ページ!H133="","",入力ページ!H133)</f>
        <v/>
      </c>
      <c r="F56" s="2936" t="s">
        <v>15</v>
      </c>
      <c r="G56" s="2946" t="str">
        <f>IF(入力ページ!H133="","",入力ページ!H133)</f>
        <v/>
      </c>
      <c r="H56" s="2937" t="s">
        <v>1</v>
      </c>
      <c r="I56" s="3075">
        <f>入力ページ!L133</f>
        <v>0</v>
      </c>
      <c r="J56" s="3076"/>
      <c r="K56" s="3076"/>
      <c r="L56" s="3076"/>
      <c r="M56" s="3076"/>
      <c r="N56" s="3076"/>
      <c r="O56" s="3076"/>
      <c r="P56" s="3076"/>
      <c r="Q56" s="3076"/>
      <c r="R56" s="3076"/>
      <c r="S56" s="3077"/>
      <c r="T56" s="3078">
        <f>入力ページ!T133</f>
        <v>0</v>
      </c>
      <c r="U56" s="3079"/>
      <c r="V56" s="3080">
        <f>入力ページ!V133</f>
        <v>0</v>
      </c>
      <c r="W56" s="3081"/>
      <c r="X56" s="3082"/>
      <c r="Y56" s="3083">
        <f>入力ページ!X133</f>
        <v>0</v>
      </c>
      <c r="Z56" s="3084"/>
      <c r="AA56" s="3085"/>
      <c r="AB56" s="229"/>
    </row>
    <row r="57" spans="1:35" ht="25.5" customHeight="1" x14ac:dyDescent="0.15">
      <c r="A57" s="229"/>
      <c r="B57" s="3069"/>
      <c r="C57" s="3070"/>
      <c r="D57" s="3071"/>
      <c r="E57" s="2945"/>
      <c r="F57" s="2939"/>
      <c r="G57" s="2947"/>
      <c r="H57" s="2940"/>
      <c r="I57" s="3086">
        <f>入力ページ!L134</f>
        <v>0</v>
      </c>
      <c r="J57" s="3087"/>
      <c r="K57" s="3087"/>
      <c r="L57" s="3087"/>
      <c r="M57" s="3087"/>
      <c r="N57" s="3087"/>
      <c r="O57" s="3087"/>
      <c r="P57" s="3087"/>
      <c r="Q57" s="3087"/>
      <c r="R57" s="3087"/>
      <c r="S57" s="3088"/>
      <c r="T57" s="3089">
        <f>入力ページ!T134</f>
        <v>0</v>
      </c>
      <c r="U57" s="3090"/>
      <c r="V57" s="3091">
        <f>入力ページ!V134</f>
        <v>0</v>
      </c>
      <c r="W57" s="3092"/>
      <c r="X57" s="3093"/>
      <c r="Y57" s="3094">
        <f>入力ページ!X134</f>
        <v>0</v>
      </c>
      <c r="Z57" s="3095"/>
      <c r="AA57" s="3096"/>
      <c r="AB57" s="237"/>
      <c r="AC57" s="23"/>
      <c r="AD57" s="23"/>
      <c r="AE57" s="23"/>
      <c r="AF57" s="23"/>
      <c r="AG57" s="23"/>
      <c r="AH57" s="23"/>
      <c r="AI57" s="23"/>
    </row>
    <row r="58" spans="1:35" ht="10.5" customHeight="1" x14ac:dyDescent="0.15">
      <c r="A58" s="229"/>
      <c r="B58" s="3072"/>
      <c r="C58" s="3073"/>
      <c r="D58" s="3074"/>
      <c r="E58" s="2957">
        <f>入力ページ!H135</f>
        <v>0</v>
      </c>
      <c r="F58" s="2939" t="s">
        <v>47</v>
      </c>
      <c r="G58" s="2960">
        <f>入力ページ!J135</f>
        <v>0</v>
      </c>
      <c r="H58" s="2940" t="s">
        <v>46</v>
      </c>
      <c r="I58" s="3100">
        <f>入力ページ!L135</f>
        <v>0</v>
      </c>
      <c r="J58" s="3101"/>
      <c r="K58" s="3101"/>
      <c r="L58" s="3101"/>
      <c r="M58" s="3101"/>
      <c r="N58" s="3101"/>
      <c r="O58" s="3101"/>
      <c r="P58" s="3101"/>
      <c r="Q58" s="3101"/>
      <c r="R58" s="3101"/>
      <c r="S58" s="3102"/>
      <c r="T58" s="3106">
        <f>入力ページ!T135</f>
        <v>0</v>
      </c>
      <c r="U58" s="3107"/>
      <c r="V58" s="3110">
        <f>入力ページ!V135</f>
        <v>0</v>
      </c>
      <c r="W58" s="3111"/>
      <c r="X58" s="3112"/>
      <c r="Y58" s="3124">
        <f>入力ページ!X135</f>
        <v>0</v>
      </c>
      <c r="Z58" s="3125"/>
      <c r="AA58" s="3126"/>
      <c r="AB58" s="237"/>
      <c r="AC58" s="23"/>
      <c r="AD58" s="23"/>
      <c r="AE58" s="23"/>
      <c r="AF58" s="23"/>
      <c r="AG58" s="23"/>
      <c r="AH58" s="23"/>
      <c r="AI58" s="23"/>
    </row>
    <row r="59" spans="1:35" ht="15" customHeight="1" x14ac:dyDescent="0.15">
      <c r="A59" s="229"/>
      <c r="B59" s="3097" t="s">
        <v>150</v>
      </c>
      <c r="C59" s="3098"/>
      <c r="D59" s="3099"/>
      <c r="E59" s="2957"/>
      <c r="F59" s="2939"/>
      <c r="G59" s="2960"/>
      <c r="H59" s="2940"/>
      <c r="I59" s="3103"/>
      <c r="J59" s="3104"/>
      <c r="K59" s="3104"/>
      <c r="L59" s="3104"/>
      <c r="M59" s="3104"/>
      <c r="N59" s="3104"/>
      <c r="O59" s="3104"/>
      <c r="P59" s="3104"/>
      <c r="Q59" s="3104"/>
      <c r="R59" s="3104"/>
      <c r="S59" s="3105"/>
      <c r="T59" s="3108"/>
      <c r="U59" s="3109"/>
      <c r="V59" s="3113"/>
      <c r="W59" s="3114"/>
      <c r="X59" s="3115"/>
      <c r="Y59" s="3127"/>
      <c r="Z59" s="3128"/>
      <c r="AA59" s="3129"/>
      <c r="AB59" s="229"/>
    </row>
    <row r="60" spans="1:35" ht="25.5" customHeight="1" thickBot="1" x14ac:dyDescent="0.2">
      <c r="A60" s="229"/>
      <c r="B60" s="2954" t="s">
        <v>5</v>
      </c>
      <c r="C60" s="2955"/>
      <c r="D60" s="2956"/>
      <c r="E60" s="2958"/>
      <c r="F60" s="2959"/>
      <c r="G60" s="2961"/>
      <c r="H60" s="2962"/>
      <c r="I60" s="3086">
        <f>入力ページ!L136</f>
        <v>0</v>
      </c>
      <c r="J60" s="3087"/>
      <c r="K60" s="3087"/>
      <c r="L60" s="3087"/>
      <c r="M60" s="3087"/>
      <c r="N60" s="3087"/>
      <c r="O60" s="3087"/>
      <c r="P60" s="3087"/>
      <c r="Q60" s="3087"/>
      <c r="R60" s="3087"/>
      <c r="S60" s="3088"/>
      <c r="T60" s="3089">
        <f>入力ページ!T136</f>
        <v>0</v>
      </c>
      <c r="U60" s="3090"/>
      <c r="V60" s="3091">
        <f>入力ページ!V136</f>
        <v>0</v>
      </c>
      <c r="W60" s="3092"/>
      <c r="X60" s="3093"/>
      <c r="Y60" s="3094">
        <f>入力ページ!X136</f>
        <v>0</v>
      </c>
      <c r="Z60" s="3095"/>
      <c r="AA60" s="3096"/>
      <c r="AB60" s="237"/>
      <c r="AC60" s="23"/>
      <c r="AD60" s="23"/>
      <c r="AE60" s="23"/>
      <c r="AF60" s="23"/>
      <c r="AG60" s="23"/>
      <c r="AH60" s="23"/>
      <c r="AI60" s="23"/>
    </row>
    <row r="61" spans="1:35" ht="25.5" customHeight="1" x14ac:dyDescent="0.15">
      <c r="A61" s="229"/>
      <c r="B61" s="3066">
        <f>入力ページ!D139</f>
        <v>0</v>
      </c>
      <c r="C61" s="3067"/>
      <c r="D61" s="3068"/>
      <c r="E61" s="2944" t="str">
        <f>IF(入力ページ!H139="","",入力ページ!H139)</f>
        <v/>
      </c>
      <c r="F61" s="2936" t="s">
        <v>15</v>
      </c>
      <c r="G61" s="2946" t="str">
        <f>IF(入力ページ!H139="","",入力ページ!H139)</f>
        <v/>
      </c>
      <c r="H61" s="2937" t="s">
        <v>1</v>
      </c>
      <c r="I61" s="3075">
        <f>入力ページ!L139</f>
        <v>0</v>
      </c>
      <c r="J61" s="3076"/>
      <c r="K61" s="3076"/>
      <c r="L61" s="3076"/>
      <c r="M61" s="3076"/>
      <c r="N61" s="3076"/>
      <c r="O61" s="3076"/>
      <c r="P61" s="3076"/>
      <c r="Q61" s="3076"/>
      <c r="R61" s="3076"/>
      <c r="S61" s="3077"/>
      <c r="T61" s="3078">
        <f>入力ページ!T139</f>
        <v>0</v>
      </c>
      <c r="U61" s="3079"/>
      <c r="V61" s="3080">
        <f>入力ページ!V139</f>
        <v>0</v>
      </c>
      <c r="W61" s="3081"/>
      <c r="X61" s="3082"/>
      <c r="Y61" s="3083">
        <f>入力ページ!X139</f>
        <v>0</v>
      </c>
      <c r="Z61" s="3084"/>
      <c r="AA61" s="3085"/>
      <c r="AB61" s="229"/>
    </row>
    <row r="62" spans="1:35" ht="25.5" customHeight="1" x14ac:dyDescent="0.15">
      <c r="A62" s="229"/>
      <c r="B62" s="3069"/>
      <c r="C62" s="3070"/>
      <c r="D62" s="3071"/>
      <c r="E62" s="2945"/>
      <c r="F62" s="2939"/>
      <c r="G62" s="2947"/>
      <c r="H62" s="2940"/>
      <c r="I62" s="3086">
        <f>入力ページ!L140</f>
        <v>0</v>
      </c>
      <c r="J62" s="3087"/>
      <c r="K62" s="3087"/>
      <c r="L62" s="3087"/>
      <c r="M62" s="3087"/>
      <c r="N62" s="3087"/>
      <c r="O62" s="3087"/>
      <c r="P62" s="3087"/>
      <c r="Q62" s="3087"/>
      <c r="R62" s="3087"/>
      <c r="S62" s="3088"/>
      <c r="T62" s="3089">
        <f>入力ページ!T140</f>
        <v>0</v>
      </c>
      <c r="U62" s="3090"/>
      <c r="V62" s="3091">
        <f>入力ページ!V140</f>
        <v>0</v>
      </c>
      <c r="W62" s="3092"/>
      <c r="X62" s="3093"/>
      <c r="Y62" s="3094">
        <f>入力ページ!X140</f>
        <v>0</v>
      </c>
      <c r="Z62" s="3095"/>
      <c r="AA62" s="3096"/>
      <c r="AB62" s="237"/>
      <c r="AC62" s="23"/>
      <c r="AD62" s="23"/>
      <c r="AE62" s="23"/>
      <c r="AF62" s="23"/>
      <c r="AG62" s="23"/>
      <c r="AH62" s="23"/>
      <c r="AI62" s="23"/>
    </row>
    <row r="63" spans="1:35" ht="10.5" customHeight="1" x14ac:dyDescent="0.15">
      <c r="A63" s="229"/>
      <c r="B63" s="3072"/>
      <c r="C63" s="3073"/>
      <c r="D63" s="3074"/>
      <c r="E63" s="2957">
        <f>入力ページ!H141</f>
        <v>0</v>
      </c>
      <c r="F63" s="2939" t="s">
        <v>47</v>
      </c>
      <c r="G63" s="2960">
        <f>入力ページ!J141</f>
        <v>0</v>
      </c>
      <c r="H63" s="2940" t="s">
        <v>46</v>
      </c>
      <c r="I63" s="3100">
        <f>入力ページ!L141</f>
        <v>0</v>
      </c>
      <c r="J63" s="3101"/>
      <c r="K63" s="3101"/>
      <c r="L63" s="3101"/>
      <c r="M63" s="3101"/>
      <c r="N63" s="3101"/>
      <c r="O63" s="3101"/>
      <c r="P63" s="3101"/>
      <c r="Q63" s="3101"/>
      <c r="R63" s="3101"/>
      <c r="S63" s="3102"/>
      <c r="T63" s="3106">
        <f>入力ページ!T141</f>
        <v>0</v>
      </c>
      <c r="U63" s="3107"/>
      <c r="V63" s="3110">
        <f>入力ページ!V141</f>
        <v>0</v>
      </c>
      <c r="W63" s="3111"/>
      <c r="X63" s="3112"/>
      <c r="Y63" s="3124">
        <f>入力ページ!X141</f>
        <v>0</v>
      </c>
      <c r="Z63" s="3125"/>
      <c r="AA63" s="3126"/>
      <c r="AB63" s="237"/>
      <c r="AC63" s="23"/>
      <c r="AD63" s="23"/>
      <c r="AE63" s="23"/>
      <c r="AF63" s="23"/>
      <c r="AG63" s="23"/>
      <c r="AH63" s="23"/>
      <c r="AI63" s="23"/>
    </row>
    <row r="64" spans="1:35" ht="15" customHeight="1" x14ac:dyDescent="0.15">
      <c r="A64" s="229"/>
      <c r="B64" s="3097" t="s">
        <v>150</v>
      </c>
      <c r="C64" s="3098"/>
      <c r="D64" s="3099"/>
      <c r="E64" s="2957"/>
      <c r="F64" s="2939"/>
      <c r="G64" s="2960"/>
      <c r="H64" s="2940"/>
      <c r="I64" s="3103"/>
      <c r="J64" s="3104"/>
      <c r="K64" s="3104"/>
      <c r="L64" s="3104"/>
      <c r="M64" s="3104"/>
      <c r="N64" s="3104"/>
      <c r="O64" s="3104"/>
      <c r="P64" s="3104"/>
      <c r="Q64" s="3104"/>
      <c r="R64" s="3104"/>
      <c r="S64" s="3105"/>
      <c r="T64" s="3108"/>
      <c r="U64" s="3109"/>
      <c r="V64" s="3113"/>
      <c r="W64" s="3114"/>
      <c r="X64" s="3115"/>
      <c r="Y64" s="3127"/>
      <c r="Z64" s="3128"/>
      <c r="AA64" s="3129"/>
      <c r="AB64" s="229"/>
    </row>
    <row r="65" spans="1:35" ht="25.5" customHeight="1" thickBot="1" x14ac:dyDescent="0.2">
      <c r="A65" s="229"/>
      <c r="B65" s="2954"/>
      <c r="C65" s="2955"/>
      <c r="D65" s="2956"/>
      <c r="E65" s="2958"/>
      <c r="F65" s="2959"/>
      <c r="G65" s="2961"/>
      <c r="H65" s="2962"/>
      <c r="I65" s="3086">
        <f>入力ページ!L142</f>
        <v>0</v>
      </c>
      <c r="J65" s="3087"/>
      <c r="K65" s="3087"/>
      <c r="L65" s="3087"/>
      <c r="M65" s="3087"/>
      <c r="N65" s="3087"/>
      <c r="O65" s="3087"/>
      <c r="P65" s="3087"/>
      <c r="Q65" s="3087"/>
      <c r="R65" s="3087"/>
      <c r="S65" s="3088"/>
      <c r="T65" s="3089">
        <f>入力ページ!T142</f>
        <v>0</v>
      </c>
      <c r="U65" s="3090"/>
      <c r="V65" s="3091">
        <f>入力ページ!V142</f>
        <v>0</v>
      </c>
      <c r="W65" s="3092"/>
      <c r="X65" s="3093"/>
      <c r="Y65" s="3094">
        <f>入力ページ!X142</f>
        <v>0</v>
      </c>
      <c r="Z65" s="3095"/>
      <c r="AA65" s="3096"/>
      <c r="AB65" s="237"/>
      <c r="AC65" s="23"/>
      <c r="AD65" s="23"/>
      <c r="AE65" s="23"/>
      <c r="AF65" s="23"/>
      <c r="AG65" s="23"/>
      <c r="AH65" s="23"/>
      <c r="AI65" s="23"/>
    </row>
    <row r="66" spans="1:35" ht="25.5" customHeight="1" x14ac:dyDescent="0.15">
      <c r="A66" s="229"/>
      <c r="B66" s="3066">
        <f>入力ページ!D145</f>
        <v>0</v>
      </c>
      <c r="C66" s="3067"/>
      <c r="D66" s="3068"/>
      <c r="E66" s="2944" t="str">
        <f>IF(入力ページ!H145="","",入力ページ!H145)</f>
        <v/>
      </c>
      <c r="F66" s="2936" t="s">
        <v>15</v>
      </c>
      <c r="G66" s="2946" t="str">
        <f>IF(入力ページ!H145="","",入力ページ!H145)</f>
        <v/>
      </c>
      <c r="H66" s="2937" t="s">
        <v>1</v>
      </c>
      <c r="I66" s="3075">
        <f>入力ページ!L145</f>
        <v>0</v>
      </c>
      <c r="J66" s="3076"/>
      <c r="K66" s="3076"/>
      <c r="L66" s="3076"/>
      <c r="M66" s="3076"/>
      <c r="N66" s="3076"/>
      <c r="O66" s="3076"/>
      <c r="P66" s="3076"/>
      <c r="Q66" s="3076"/>
      <c r="R66" s="3076"/>
      <c r="S66" s="3077"/>
      <c r="T66" s="3078">
        <f>入力ページ!T145</f>
        <v>0</v>
      </c>
      <c r="U66" s="3079"/>
      <c r="V66" s="3080">
        <f>入力ページ!V145</f>
        <v>0</v>
      </c>
      <c r="W66" s="3081"/>
      <c r="X66" s="3082"/>
      <c r="Y66" s="3083">
        <f>入力ページ!X145</f>
        <v>0</v>
      </c>
      <c r="Z66" s="3084"/>
      <c r="AA66" s="3085"/>
      <c r="AB66" s="229"/>
    </row>
    <row r="67" spans="1:35" ht="25.5" customHeight="1" x14ac:dyDescent="0.15">
      <c r="A67" s="229"/>
      <c r="B67" s="3069"/>
      <c r="C67" s="3070"/>
      <c r="D67" s="3071"/>
      <c r="E67" s="2945"/>
      <c r="F67" s="2939"/>
      <c r="G67" s="2947"/>
      <c r="H67" s="2940"/>
      <c r="I67" s="3086">
        <f>入力ページ!L146</f>
        <v>0</v>
      </c>
      <c r="J67" s="3087"/>
      <c r="K67" s="3087"/>
      <c r="L67" s="3087"/>
      <c r="M67" s="3087"/>
      <c r="N67" s="3087"/>
      <c r="O67" s="3087"/>
      <c r="P67" s="3087"/>
      <c r="Q67" s="3087"/>
      <c r="R67" s="3087"/>
      <c r="S67" s="3088"/>
      <c r="T67" s="3089">
        <f>入力ページ!T146</f>
        <v>0</v>
      </c>
      <c r="U67" s="3090"/>
      <c r="V67" s="3091">
        <f>入力ページ!V146</f>
        <v>0</v>
      </c>
      <c r="W67" s="3092"/>
      <c r="X67" s="3093"/>
      <c r="Y67" s="3094">
        <f>入力ページ!X146</f>
        <v>0</v>
      </c>
      <c r="Z67" s="3095"/>
      <c r="AA67" s="3096"/>
      <c r="AB67" s="237"/>
      <c r="AC67" s="23"/>
      <c r="AD67" s="23"/>
      <c r="AE67" s="23"/>
      <c r="AF67" s="23"/>
      <c r="AG67" s="23"/>
      <c r="AH67" s="23"/>
      <c r="AI67" s="23"/>
    </row>
    <row r="68" spans="1:35" ht="10.5" customHeight="1" x14ac:dyDescent="0.15">
      <c r="A68" s="229"/>
      <c r="B68" s="3072"/>
      <c r="C68" s="3073"/>
      <c r="D68" s="3074"/>
      <c r="E68" s="2957">
        <f>入力ページ!H147</f>
        <v>0</v>
      </c>
      <c r="F68" s="2939" t="s">
        <v>47</v>
      </c>
      <c r="G68" s="2960">
        <f>入力ページ!J147</f>
        <v>0</v>
      </c>
      <c r="H68" s="2940" t="s">
        <v>46</v>
      </c>
      <c r="I68" s="3100">
        <f>入力ページ!L147</f>
        <v>0</v>
      </c>
      <c r="J68" s="3101"/>
      <c r="K68" s="3101"/>
      <c r="L68" s="3101"/>
      <c r="M68" s="3101"/>
      <c r="N68" s="3101"/>
      <c r="O68" s="3101"/>
      <c r="P68" s="3101"/>
      <c r="Q68" s="3101"/>
      <c r="R68" s="3101"/>
      <c r="S68" s="3102"/>
      <c r="T68" s="3106">
        <f>入力ページ!T147</f>
        <v>0</v>
      </c>
      <c r="U68" s="3107"/>
      <c r="V68" s="3110">
        <f>入力ページ!V147</f>
        <v>0</v>
      </c>
      <c r="W68" s="3111"/>
      <c r="X68" s="3112"/>
      <c r="Y68" s="3124">
        <f>入力ページ!X147</f>
        <v>0</v>
      </c>
      <c r="Z68" s="3125"/>
      <c r="AA68" s="3126"/>
      <c r="AB68" s="237"/>
      <c r="AC68" s="23"/>
      <c r="AD68" s="23"/>
      <c r="AE68" s="23"/>
      <c r="AF68" s="23"/>
      <c r="AG68" s="23"/>
      <c r="AH68" s="23"/>
      <c r="AI68" s="23"/>
    </row>
    <row r="69" spans="1:35" ht="15" customHeight="1" x14ac:dyDescent="0.15">
      <c r="A69" s="229"/>
      <c r="B69" s="3097" t="s">
        <v>150</v>
      </c>
      <c r="C69" s="3098"/>
      <c r="D69" s="3099"/>
      <c r="E69" s="2957"/>
      <c r="F69" s="2939"/>
      <c r="G69" s="2960"/>
      <c r="H69" s="2940"/>
      <c r="I69" s="3103"/>
      <c r="J69" s="3104"/>
      <c r="K69" s="3104"/>
      <c r="L69" s="3104"/>
      <c r="M69" s="3104"/>
      <c r="N69" s="3104"/>
      <c r="O69" s="3104"/>
      <c r="P69" s="3104"/>
      <c r="Q69" s="3104"/>
      <c r="R69" s="3104"/>
      <c r="S69" s="3105"/>
      <c r="T69" s="3108"/>
      <c r="U69" s="3109"/>
      <c r="V69" s="3113"/>
      <c r="W69" s="3114"/>
      <c r="X69" s="3115"/>
      <c r="Y69" s="3127"/>
      <c r="Z69" s="3128"/>
      <c r="AA69" s="3129"/>
      <c r="AB69" s="229"/>
    </row>
    <row r="70" spans="1:35" ht="25.5" customHeight="1" thickBot="1" x14ac:dyDescent="0.2">
      <c r="A70" s="229"/>
      <c r="B70" s="2954"/>
      <c r="C70" s="2955"/>
      <c r="D70" s="2956"/>
      <c r="E70" s="2958"/>
      <c r="F70" s="2959"/>
      <c r="G70" s="2961"/>
      <c r="H70" s="2962"/>
      <c r="I70" s="3086">
        <f>入力ページ!L148</f>
        <v>0</v>
      </c>
      <c r="J70" s="3087"/>
      <c r="K70" s="3087"/>
      <c r="L70" s="3087"/>
      <c r="M70" s="3087"/>
      <c r="N70" s="3087"/>
      <c r="O70" s="3087"/>
      <c r="P70" s="3087"/>
      <c r="Q70" s="3087"/>
      <c r="R70" s="3087"/>
      <c r="S70" s="3088"/>
      <c r="T70" s="3089">
        <f>入力ページ!T148</f>
        <v>0</v>
      </c>
      <c r="U70" s="3090"/>
      <c r="V70" s="3091">
        <f>入力ページ!V148</f>
        <v>0</v>
      </c>
      <c r="W70" s="3092"/>
      <c r="X70" s="3093"/>
      <c r="Y70" s="3094">
        <f>入力ページ!X148</f>
        <v>0</v>
      </c>
      <c r="Z70" s="3095"/>
      <c r="AA70" s="3096"/>
      <c r="AB70" s="237"/>
      <c r="AC70" s="23"/>
      <c r="AD70" s="23"/>
      <c r="AE70" s="23"/>
      <c r="AF70" s="23"/>
      <c r="AG70" s="23"/>
      <c r="AH70" s="23"/>
      <c r="AI70" s="23"/>
    </row>
    <row r="71" spans="1:35" ht="25.5" customHeight="1" x14ac:dyDescent="0.15">
      <c r="B71" s="2935">
        <f>入力ページ!D151</f>
        <v>0</v>
      </c>
      <c r="C71" s="2936"/>
      <c r="D71" s="2937"/>
      <c r="E71" s="2944" t="str">
        <f>IF(入力ページ!H151="","",入力ページ!H151)</f>
        <v/>
      </c>
      <c r="F71" s="2936" t="s">
        <v>15</v>
      </c>
      <c r="G71" s="2946" t="str">
        <f>IF(入力ページ!H151="","",入力ページ!H151)</f>
        <v/>
      </c>
      <c r="H71" s="2937" t="s">
        <v>1</v>
      </c>
      <c r="I71" s="2948">
        <f>入力ページ!L151</f>
        <v>0</v>
      </c>
      <c r="J71" s="2949"/>
      <c r="K71" s="2949"/>
      <c r="L71" s="2949"/>
      <c r="M71" s="2949"/>
      <c r="N71" s="2949"/>
      <c r="O71" s="2949"/>
      <c r="P71" s="2949"/>
      <c r="Q71" s="2949"/>
      <c r="R71" s="2949"/>
      <c r="S71" s="2950"/>
      <c r="T71" s="2966">
        <f>入力ページ!T151</f>
        <v>0</v>
      </c>
      <c r="U71" s="2967"/>
      <c r="V71" s="2968">
        <f>入力ページ!V151</f>
        <v>0</v>
      </c>
      <c r="W71" s="2969"/>
      <c r="X71" s="2970"/>
      <c r="Y71" s="2971">
        <f>入力ページ!X151</f>
        <v>0</v>
      </c>
      <c r="Z71" s="2972"/>
      <c r="AA71" s="2973"/>
    </row>
    <row r="72" spans="1:35" ht="25.5" customHeight="1" x14ac:dyDescent="0.15">
      <c r="B72" s="2938"/>
      <c r="C72" s="2939"/>
      <c r="D72" s="2940"/>
      <c r="E72" s="2945"/>
      <c r="F72" s="2939"/>
      <c r="G72" s="2947"/>
      <c r="H72" s="2940"/>
      <c r="I72" s="2915">
        <f>入力ページ!L152</f>
        <v>0</v>
      </c>
      <c r="J72" s="2916"/>
      <c r="K72" s="2916"/>
      <c r="L72" s="2916"/>
      <c r="M72" s="2916"/>
      <c r="N72" s="2916"/>
      <c r="O72" s="2916"/>
      <c r="P72" s="2916"/>
      <c r="Q72" s="2916"/>
      <c r="R72" s="2916"/>
      <c r="S72" s="2917"/>
      <c r="T72" s="2918">
        <f>入力ページ!T152</f>
        <v>0</v>
      </c>
      <c r="U72" s="2919"/>
      <c r="V72" s="2920">
        <f>入力ページ!V152</f>
        <v>0</v>
      </c>
      <c r="W72" s="2921"/>
      <c r="X72" s="2922"/>
      <c r="Y72" s="2923">
        <f>入力ページ!X152</f>
        <v>0</v>
      </c>
      <c r="Z72" s="2924"/>
      <c r="AA72" s="2925"/>
      <c r="AB72" s="23"/>
      <c r="AC72" s="23"/>
      <c r="AD72" s="23"/>
      <c r="AE72" s="23"/>
      <c r="AF72" s="23"/>
      <c r="AG72" s="23"/>
      <c r="AH72" s="23"/>
      <c r="AI72" s="23"/>
    </row>
    <row r="73" spans="1:35" ht="10.5" customHeight="1" x14ac:dyDescent="0.15">
      <c r="B73" s="2941"/>
      <c r="C73" s="2942"/>
      <c r="D73" s="2943"/>
      <c r="E73" s="2957">
        <f>入力ページ!H153</f>
        <v>0</v>
      </c>
      <c r="F73" s="2939" t="s">
        <v>47</v>
      </c>
      <c r="G73" s="2960">
        <f>入力ページ!J153</f>
        <v>0</v>
      </c>
      <c r="H73" s="2940" t="s">
        <v>46</v>
      </c>
      <c r="I73" s="2974">
        <f>入力ページ!L153</f>
        <v>0</v>
      </c>
      <c r="J73" s="2975"/>
      <c r="K73" s="2975"/>
      <c r="L73" s="2975"/>
      <c r="M73" s="2975"/>
      <c r="N73" s="2975"/>
      <c r="O73" s="2975"/>
      <c r="P73" s="2975"/>
      <c r="Q73" s="2975"/>
      <c r="R73" s="2975"/>
      <c r="S73" s="2976"/>
      <c r="T73" s="2980">
        <f>入力ページ!T153</f>
        <v>0</v>
      </c>
      <c r="U73" s="2981"/>
      <c r="V73" s="2984">
        <f>入力ページ!V153</f>
        <v>0</v>
      </c>
      <c r="W73" s="2985"/>
      <c r="X73" s="2986"/>
      <c r="Y73" s="2990">
        <f>入力ページ!X153</f>
        <v>0</v>
      </c>
      <c r="Z73" s="2991"/>
      <c r="AA73" s="2992"/>
      <c r="AB73" s="23"/>
      <c r="AC73" s="23"/>
      <c r="AD73" s="23"/>
      <c r="AE73" s="23"/>
      <c r="AF73" s="23"/>
      <c r="AG73" s="23"/>
      <c r="AH73" s="23"/>
      <c r="AI73" s="23"/>
    </row>
    <row r="74" spans="1:35" ht="15" customHeight="1" x14ac:dyDescent="0.15">
      <c r="B74" s="2951" t="s">
        <v>150</v>
      </c>
      <c r="C74" s="2952"/>
      <c r="D74" s="2953"/>
      <c r="E74" s="2957"/>
      <c r="F74" s="2939"/>
      <c r="G74" s="2960"/>
      <c r="H74" s="2940"/>
      <c r="I74" s="2977"/>
      <c r="J74" s="2978"/>
      <c r="K74" s="2978"/>
      <c r="L74" s="2978"/>
      <c r="M74" s="2978"/>
      <c r="N74" s="2978"/>
      <c r="O74" s="2978"/>
      <c r="P74" s="2978"/>
      <c r="Q74" s="2978"/>
      <c r="R74" s="2978"/>
      <c r="S74" s="2979"/>
      <c r="T74" s="2982"/>
      <c r="U74" s="2983"/>
      <c r="V74" s="2987"/>
      <c r="W74" s="2988"/>
      <c r="X74" s="2989"/>
      <c r="Y74" s="2993"/>
      <c r="Z74" s="2994"/>
      <c r="AA74" s="2995"/>
    </row>
    <row r="75" spans="1:35" ht="25.5" customHeight="1" thickBot="1" x14ac:dyDescent="0.2">
      <c r="B75" s="2954"/>
      <c r="C75" s="2955"/>
      <c r="D75" s="2956"/>
      <c r="E75" s="2958"/>
      <c r="F75" s="2959"/>
      <c r="G75" s="2961"/>
      <c r="H75" s="2962"/>
      <c r="I75" s="2915">
        <f>入力ページ!L154</f>
        <v>0</v>
      </c>
      <c r="J75" s="2916"/>
      <c r="K75" s="2916"/>
      <c r="L75" s="2916"/>
      <c r="M75" s="2916"/>
      <c r="N75" s="2916"/>
      <c r="O75" s="2916"/>
      <c r="P75" s="2916"/>
      <c r="Q75" s="2916"/>
      <c r="R75" s="2916"/>
      <c r="S75" s="2917"/>
      <c r="T75" s="2918">
        <f>入力ページ!T154</f>
        <v>0</v>
      </c>
      <c r="U75" s="2919"/>
      <c r="V75" s="2920">
        <f>入力ページ!V154</f>
        <v>0</v>
      </c>
      <c r="W75" s="2921"/>
      <c r="X75" s="2922"/>
      <c r="Y75" s="2923">
        <f>入力ページ!X154</f>
        <v>0</v>
      </c>
      <c r="Z75" s="2924"/>
      <c r="AA75" s="2925"/>
      <c r="AB75" s="23"/>
      <c r="AC75" s="23"/>
      <c r="AD75" s="23"/>
      <c r="AE75" s="23"/>
      <c r="AF75" s="23"/>
      <c r="AG75" s="23"/>
      <c r="AH75" s="23"/>
      <c r="AI75" s="23"/>
    </row>
    <row r="76" spans="1:35" ht="26.25" customHeight="1" thickBot="1" x14ac:dyDescent="0.2">
      <c r="A76" s="229"/>
      <c r="B76" s="3116" t="s">
        <v>356</v>
      </c>
      <c r="C76" s="3117"/>
      <c r="D76" s="3117"/>
      <c r="E76" s="3117"/>
      <c r="F76" s="3117"/>
      <c r="G76" s="3117"/>
      <c r="H76" s="3117"/>
      <c r="I76" s="3117"/>
      <c r="J76" s="3117"/>
      <c r="K76" s="3117"/>
      <c r="L76" s="3117"/>
      <c r="M76" s="3117"/>
      <c r="N76" s="3117"/>
      <c r="O76" s="3117"/>
      <c r="P76" s="3117"/>
      <c r="Q76" s="3117"/>
      <c r="R76" s="3117"/>
      <c r="S76" s="3118"/>
      <c r="T76" s="3119" t="s">
        <v>147</v>
      </c>
      <c r="U76" s="3120"/>
      <c r="V76" s="3120"/>
      <c r="W76" s="3120"/>
      <c r="X76" s="3121"/>
      <c r="Y76" s="3122">
        <f>SUM(Y34,Y56:AA75)</f>
        <v>0</v>
      </c>
      <c r="Z76" s="3122"/>
      <c r="AA76" s="3123"/>
      <c r="AB76" s="229"/>
    </row>
    <row r="77" spans="1:35" ht="30" customHeight="1" x14ac:dyDescent="0.15">
      <c r="A77" s="2"/>
      <c r="B77" s="2998" t="s">
        <v>149</v>
      </c>
      <c r="C77" s="2998"/>
      <c r="D77" s="2998"/>
      <c r="E77" s="2998"/>
      <c r="F77" s="2998"/>
      <c r="G77" s="2998"/>
      <c r="H77" s="2998"/>
      <c r="I77" s="2998"/>
      <c r="J77" s="2998"/>
      <c r="K77" s="2998"/>
      <c r="L77" s="2998"/>
      <c r="M77" s="2998"/>
      <c r="N77" s="2998"/>
      <c r="O77" s="2998"/>
      <c r="P77" s="2998"/>
      <c r="Q77" s="2998"/>
      <c r="R77" s="2998"/>
      <c r="S77" s="2998"/>
      <c r="T77" s="2998"/>
      <c r="U77" s="2998"/>
      <c r="V77" s="2998"/>
      <c r="W77" s="2998"/>
      <c r="X77" s="2998"/>
      <c r="Y77" s="2998"/>
      <c r="Z77" s="2998"/>
      <c r="AA77" s="2998"/>
      <c r="AB77" s="23"/>
      <c r="AC77" s="23"/>
      <c r="AD77" s="23"/>
      <c r="AE77" s="23"/>
      <c r="AF77" s="23"/>
      <c r="AG77" s="23"/>
      <c r="AH77" s="23"/>
      <c r="AI77" s="23"/>
    </row>
    <row r="78" spans="1:35" ht="21" customHeight="1" x14ac:dyDescent="0.15">
      <c r="B78" s="96"/>
      <c r="C78" s="2999" t="s">
        <v>49</v>
      </c>
      <c r="D78" s="2999"/>
      <c r="E78" s="2999"/>
      <c r="F78" s="2999"/>
      <c r="G78" s="2999"/>
      <c r="H78" s="92" t="str">
        <f>H36</f>
        <v/>
      </c>
      <c r="I78" s="93" t="s">
        <v>45</v>
      </c>
      <c r="J78" s="96"/>
      <c r="K78" s="2999" t="s">
        <v>50</v>
      </c>
      <c r="L78" s="2999"/>
      <c r="M78" s="2999"/>
      <c r="N78" s="2999"/>
      <c r="O78" s="2999"/>
      <c r="P78" s="2999"/>
      <c r="Q78" s="95" t="str">
        <f>Q36</f>
        <v/>
      </c>
      <c r="R78" s="93" t="s">
        <v>45</v>
      </c>
      <c r="S78" s="96"/>
      <c r="T78" s="2999" t="s">
        <v>51</v>
      </c>
      <c r="U78" s="2999"/>
      <c r="V78" s="2999"/>
      <c r="W78" s="2999"/>
      <c r="X78" s="92" t="str">
        <f>X36</f>
        <v/>
      </c>
      <c r="Y78" s="93" t="s">
        <v>45</v>
      </c>
      <c r="Z78" s="94"/>
      <c r="AA78" s="94"/>
      <c r="AB78" s="2"/>
    </row>
    <row r="79" spans="1:35" ht="40.5" customHeight="1" x14ac:dyDescent="0.15">
      <c r="A79" s="2"/>
      <c r="B79" s="3060" t="s">
        <v>247</v>
      </c>
      <c r="C79" s="3060"/>
      <c r="D79" s="3060"/>
      <c r="E79" s="3060"/>
      <c r="F79" s="3060"/>
      <c r="G79" s="3060"/>
      <c r="H79" s="3060"/>
      <c r="I79" s="3060"/>
      <c r="J79" s="3060"/>
      <c r="K79" s="3060"/>
      <c r="L79" s="3060"/>
      <c r="M79" s="3060"/>
      <c r="N79" s="3060"/>
      <c r="O79" s="3060"/>
      <c r="P79" s="3060"/>
      <c r="Q79" s="3060"/>
      <c r="R79" s="3060"/>
      <c r="S79" s="3060"/>
      <c r="T79" s="3060"/>
      <c r="U79" s="3060"/>
      <c r="V79" s="3060"/>
      <c r="W79" s="3060"/>
      <c r="X79" s="3060"/>
      <c r="Y79" s="3060"/>
      <c r="Z79" s="3060"/>
      <c r="AA79" s="3060"/>
      <c r="AB79" s="23"/>
      <c r="AC79" s="23"/>
      <c r="AD79" s="23"/>
      <c r="AE79" s="99"/>
      <c r="AF79" s="23"/>
      <c r="AG79" s="23"/>
      <c r="AH79" s="23"/>
      <c r="AI79" s="23"/>
    </row>
    <row r="80" spans="1:35" ht="2.25" customHeight="1" thickBot="1" x14ac:dyDescent="0.2">
      <c r="A80" s="2"/>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23"/>
      <c r="AC80" s="23"/>
      <c r="AD80" s="23"/>
      <c r="AE80" s="99"/>
      <c r="AF80" s="23"/>
      <c r="AG80" s="23"/>
      <c r="AH80" s="23"/>
      <c r="AI80" s="23"/>
    </row>
    <row r="81" spans="2:27" ht="19.5" customHeight="1" thickBot="1" x14ac:dyDescent="0.2">
      <c r="B81" s="3057" t="s">
        <v>27</v>
      </c>
      <c r="C81" s="3058"/>
      <c r="D81" s="3059"/>
      <c r="E81" s="2929" t="s">
        <v>20</v>
      </c>
      <c r="F81" s="2930"/>
      <c r="G81" s="2930"/>
      <c r="H81" s="2930"/>
      <c r="I81" s="2930"/>
      <c r="J81" s="2930"/>
      <c r="K81" s="2930"/>
      <c r="L81" s="2930"/>
      <c r="M81" s="2930"/>
      <c r="N81" s="2930"/>
      <c r="O81" s="2930"/>
      <c r="P81" s="2930"/>
      <c r="Q81" s="2930"/>
      <c r="R81" s="2930"/>
      <c r="S81" s="2930"/>
      <c r="T81" s="2931"/>
      <c r="U81" s="2929" t="s">
        <v>28</v>
      </c>
      <c r="V81" s="2930"/>
      <c r="W81" s="2930"/>
      <c r="X81" s="2930"/>
      <c r="Y81" s="2930"/>
      <c r="Z81" s="2930"/>
      <c r="AA81" s="3061"/>
    </row>
    <row r="82" spans="2:27" ht="22.5" customHeight="1" x14ac:dyDescent="0.15">
      <c r="B82" s="2904">
        <f>B40</f>
        <v>0</v>
      </c>
      <c r="C82" s="2905"/>
      <c r="D82" s="2906"/>
      <c r="E82" s="2893" t="s">
        <v>151</v>
      </c>
      <c r="F82" s="2894"/>
      <c r="G82" s="2894"/>
      <c r="H82" s="2894"/>
      <c r="I82" s="2894"/>
      <c r="J82" s="2894"/>
      <c r="K82" s="2894"/>
      <c r="L82" s="2894"/>
      <c r="M82" s="345" t="s">
        <v>95</v>
      </c>
      <c r="N82" s="2895">
        <f>N40</f>
        <v>0</v>
      </c>
      <c r="O82" s="2895"/>
      <c r="P82" s="2895"/>
      <c r="Q82" s="105" t="s">
        <v>44</v>
      </c>
      <c r="R82" s="106"/>
      <c r="S82" s="106"/>
      <c r="T82" s="107"/>
      <c r="U82" s="2897">
        <f>U40</f>
        <v>0</v>
      </c>
      <c r="V82" s="2897"/>
      <c r="W82" s="2897"/>
      <c r="X82" s="2897"/>
      <c r="Y82" s="2897"/>
      <c r="Z82" s="2897"/>
      <c r="AA82" s="2898"/>
    </row>
    <row r="83" spans="2:27" ht="22.5" customHeight="1" x14ac:dyDescent="0.15">
      <c r="B83" s="2907">
        <f>B41</f>
        <v>0</v>
      </c>
      <c r="C83" s="2625"/>
      <c r="D83" s="2626"/>
      <c r="E83" s="2908">
        <f>E41</f>
        <v>0</v>
      </c>
      <c r="F83" s="2909"/>
      <c r="G83" s="2909"/>
      <c r="H83" s="2909"/>
      <c r="I83" s="2909"/>
      <c r="J83" s="2909"/>
      <c r="K83" s="2909"/>
      <c r="L83" s="2909"/>
      <c r="M83" s="2909"/>
      <c r="N83" s="2909"/>
      <c r="O83" s="2909"/>
      <c r="P83" s="2909"/>
      <c r="Q83" s="2909"/>
      <c r="R83" s="2909"/>
      <c r="S83" s="2909"/>
      <c r="T83" s="2910"/>
      <c r="U83" s="2899">
        <f>U41</f>
        <v>0</v>
      </c>
      <c r="V83" s="2899"/>
      <c r="W83" s="2899"/>
      <c r="X83" s="2899"/>
      <c r="Y83" s="2899"/>
      <c r="Z83" s="2899"/>
      <c r="AA83" s="2900"/>
    </row>
    <row r="84" spans="2:27" ht="22.5" customHeight="1" thickBot="1" x14ac:dyDescent="0.2">
      <c r="B84" s="2896">
        <f>B42</f>
        <v>0</v>
      </c>
      <c r="C84" s="2640"/>
      <c r="D84" s="2641"/>
      <c r="E84" s="2911">
        <f>E42</f>
        <v>0</v>
      </c>
      <c r="F84" s="2912"/>
      <c r="G84" s="2912"/>
      <c r="H84" s="2912"/>
      <c r="I84" s="2912"/>
      <c r="J84" s="2912"/>
      <c r="K84" s="2912"/>
      <c r="L84" s="2912"/>
      <c r="M84" s="2912"/>
      <c r="N84" s="2912"/>
      <c r="O84" s="2912"/>
      <c r="P84" s="2912"/>
      <c r="Q84" s="2912"/>
      <c r="R84" s="2912"/>
      <c r="S84" s="2912"/>
      <c r="T84" s="2913"/>
      <c r="U84" s="2901">
        <f>U42</f>
        <v>0</v>
      </c>
      <c r="V84" s="2902"/>
      <c r="W84" s="2902"/>
      <c r="X84" s="2902"/>
      <c r="Y84" s="2902"/>
      <c r="Z84" s="2902"/>
      <c r="AA84" s="2903"/>
    </row>
    <row r="85" spans="2:27" ht="44.25" customHeight="1" x14ac:dyDescent="0.15">
      <c r="B85" s="42"/>
      <c r="C85" s="42"/>
      <c r="D85" s="42"/>
      <c r="E85" s="387"/>
      <c r="F85" s="387"/>
      <c r="G85" s="387"/>
      <c r="H85" s="387"/>
      <c r="I85" s="387"/>
      <c r="J85" s="387"/>
      <c r="K85" s="387"/>
      <c r="L85" s="387"/>
      <c r="M85" s="387"/>
      <c r="N85" s="387"/>
      <c r="O85" s="387"/>
      <c r="P85" s="387"/>
      <c r="Q85" s="387"/>
      <c r="R85" s="387"/>
      <c r="S85" s="387"/>
      <c r="T85" s="387"/>
      <c r="U85" s="346"/>
      <c r="V85" s="346"/>
      <c r="W85" s="346"/>
      <c r="X85" s="346"/>
      <c r="Y85" s="346"/>
      <c r="Z85" s="346"/>
      <c r="AA85" s="346"/>
    </row>
    <row r="86" spans="2:27" ht="22.5" customHeight="1" x14ac:dyDescent="0.15">
      <c r="B86" s="34"/>
      <c r="C86" s="35"/>
      <c r="D86" s="35"/>
      <c r="E86" s="35"/>
      <c r="F86" s="35"/>
      <c r="G86" s="34"/>
      <c r="H86" s="36"/>
      <c r="I86" s="37"/>
      <c r="J86" s="34"/>
      <c r="K86" s="38"/>
      <c r="L86" s="38"/>
      <c r="M86" s="38"/>
      <c r="N86" s="38"/>
      <c r="O86" s="38"/>
      <c r="P86" s="38"/>
      <c r="Q86" s="35"/>
      <c r="R86" s="37"/>
      <c r="S86" s="34"/>
      <c r="T86" s="38"/>
      <c r="U86" s="38"/>
      <c r="V86" s="38"/>
      <c r="W86" s="38"/>
      <c r="X86" s="34"/>
      <c r="Y86" s="37"/>
      <c r="Z86" s="36"/>
      <c r="AA86" s="36"/>
    </row>
  </sheetData>
  <sheetProtection algorithmName="SHA-512" hashValue="a9Jz/ystwJjXy+E9FAYCxoksxkLXRMa+bWZ3vbaBKWHfxhpGtNf8AYAHFWZDT2uECDX2Woyxhkq/gPcR8nj48g==" saltValue="sxgoQIJOYzrXR7EmfmAkTA==" spinCount="100000" sheet="1" selectLockedCells="1"/>
  <mergeCells count="319">
    <mergeCell ref="B83:D83"/>
    <mergeCell ref="E83:T83"/>
    <mergeCell ref="U83:AA83"/>
    <mergeCell ref="B84:D84"/>
    <mergeCell ref="E84:T84"/>
    <mergeCell ref="U84:AA84"/>
    <mergeCell ref="B77:AA77"/>
    <mergeCell ref="C78:G78"/>
    <mergeCell ref="K78:P78"/>
    <mergeCell ref="T78:W78"/>
    <mergeCell ref="B79:AA79"/>
    <mergeCell ref="B81:D81"/>
    <mergeCell ref="E81:T81"/>
    <mergeCell ref="U81:AA81"/>
    <mergeCell ref="B82:D82"/>
    <mergeCell ref="E82:L82"/>
    <mergeCell ref="N82:P82"/>
    <mergeCell ref="U82:AA82"/>
    <mergeCell ref="V75:X75"/>
    <mergeCell ref="Y75:AA75"/>
    <mergeCell ref="B71:D73"/>
    <mergeCell ref="E71:E72"/>
    <mergeCell ref="F71:F72"/>
    <mergeCell ref="G71:G72"/>
    <mergeCell ref="H71:H72"/>
    <mergeCell ref="I71:S71"/>
    <mergeCell ref="T71:U71"/>
    <mergeCell ref="V71:X71"/>
    <mergeCell ref="Y71:AA71"/>
    <mergeCell ref="I72:S72"/>
    <mergeCell ref="T72:U72"/>
    <mergeCell ref="V72:X72"/>
    <mergeCell ref="Y62:AA62"/>
    <mergeCell ref="Y63:AA64"/>
    <mergeCell ref="F52:I52"/>
    <mergeCell ref="J52:K52"/>
    <mergeCell ref="L52:AA52"/>
    <mergeCell ref="F58:F60"/>
    <mergeCell ref="G58:G60"/>
    <mergeCell ref="H58:H60"/>
    <mergeCell ref="I58:S59"/>
    <mergeCell ref="T58:U59"/>
    <mergeCell ref="V58:X59"/>
    <mergeCell ref="Y58:AA59"/>
    <mergeCell ref="T60:U60"/>
    <mergeCell ref="V60:X60"/>
    <mergeCell ref="Y60:AA60"/>
    <mergeCell ref="Y67:AA67"/>
    <mergeCell ref="I61:S61"/>
    <mergeCell ref="T61:U61"/>
    <mergeCell ref="V61:X61"/>
    <mergeCell ref="T29:U29"/>
    <mergeCell ref="V29:X29"/>
    <mergeCell ref="Y29:AA29"/>
    <mergeCell ref="I30:S30"/>
    <mergeCell ref="T30:U30"/>
    <mergeCell ref="V30:X30"/>
    <mergeCell ref="Y30:AA30"/>
    <mergeCell ref="I31:S32"/>
    <mergeCell ref="T31:U32"/>
    <mergeCell ref="V31:X32"/>
    <mergeCell ref="Y31:AA32"/>
    <mergeCell ref="I33:S33"/>
    <mergeCell ref="T33:U33"/>
    <mergeCell ref="V33:X33"/>
    <mergeCell ref="T66:U66"/>
    <mergeCell ref="V66:X66"/>
    <mergeCell ref="Y66:AA66"/>
    <mergeCell ref="I62:S62"/>
    <mergeCell ref="T62:U62"/>
    <mergeCell ref="V62:X62"/>
    <mergeCell ref="B64:D64"/>
    <mergeCell ref="B65:D65"/>
    <mergeCell ref="I65:S65"/>
    <mergeCell ref="T65:U65"/>
    <mergeCell ref="V65:X65"/>
    <mergeCell ref="Y65:AA65"/>
    <mergeCell ref="Y68:AA69"/>
    <mergeCell ref="B61:D63"/>
    <mergeCell ref="E61:E62"/>
    <mergeCell ref="F61:F62"/>
    <mergeCell ref="G61:G62"/>
    <mergeCell ref="H61:H62"/>
    <mergeCell ref="B66:D68"/>
    <mergeCell ref="E66:E67"/>
    <mergeCell ref="F66:F67"/>
    <mergeCell ref="G66:G67"/>
    <mergeCell ref="H66:H67"/>
    <mergeCell ref="I66:S66"/>
    <mergeCell ref="E68:E70"/>
    <mergeCell ref="F68:F70"/>
    <mergeCell ref="G68:G70"/>
    <mergeCell ref="H68:H70"/>
    <mergeCell ref="I68:S69"/>
    <mergeCell ref="Y61:AA61"/>
    <mergeCell ref="B76:S76"/>
    <mergeCell ref="T76:X76"/>
    <mergeCell ref="Y76:AA76"/>
    <mergeCell ref="T68:U69"/>
    <mergeCell ref="V68:X69"/>
    <mergeCell ref="B69:D69"/>
    <mergeCell ref="B70:D70"/>
    <mergeCell ref="I70:S70"/>
    <mergeCell ref="T70:U70"/>
    <mergeCell ref="V70:X70"/>
    <mergeCell ref="Y70:AA70"/>
    <mergeCell ref="Y72:AA72"/>
    <mergeCell ref="E73:E75"/>
    <mergeCell ref="F73:F75"/>
    <mergeCell ref="G73:G75"/>
    <mergeCell ref="H73:H75"/>
    <mergeCell ref="I73:S74"/>
    <mergeCell ref="T73:U74"/>
    <mergeCell ref="V73:X74"/>
    <mergeCell ref="Y73:AA74"/>
    <mergeCell ref="B74:D74"/>
    <mergeCell ref="B75:D75"/>
    <mergeCell ref="I75:S75"/>
    <mergeCell ref="T75:U75"/>
    <mergeCell ref="E63:E65"/>
    <mergeCell ref="F63:F65"/>
    <mergeCell ref="G63:G65"/>
    <mergeCell ref="H63:H65"/>
    <mergeCell ref="I63:S64"/>
    <mergeCell ref="T63:U64"/>
    <mergeCell ref="V63:X64"/>
    <mergeCell ref="I67:S67"/>
    <mergeCell ref="T67:U67"/>
    <mergeCell ref="V67:X67"/>
    <mergeCell ref="B56:D58"/>
    <mergeCell ref="E56:E57"/>
    <mergeCell ref="F56:F57"/>
    <mergeCell ref="G56:G57"/>
    <mergeCell ref="H56:H57"/>
    <mergeCell ref="I56:S56"/>
    <mergeCell ref="T56:U56"/>
    <mergeCell ref="V56:X56"/>
    <mergeCell ref="Y56:AA56"/>
    <mergeCell ref="I57:S57"/>
    <mergeCell ref="T57:U57"/>
    <mergeCell ref="V57:X57"/>
    <mergeCell ref="Y57:AA57"/>
    <mergeCell ref="E58:E60"/>
    <mergeCell ref="B59:D59"/>
    <mergeCell ref="B60:D60"/>
    <mergeCell ref="I60:S60"/>
    <mergeCell ref="B48:D48"/>
    <mergeCell ref="Q48:R48"/>
    <mergeCell ref="Z48:AA48"/>
    <mergeCell ref="B49:D49"/>
    <mergeCell ref="E49:AA49"/>
    <mergeCell ref="B50:Z50"/>
    <mergeCell ref="F51:I51"/>
    <mergeCell ref="J51:K51"/>
    <mergeCell ref="L51:AA51"/>
    <mergeCell ref="E48:G48"/>
    <mergeCell ref="H48:I48"/>
    <mergeCell ref="B54:D55"/>
    <mergeCell ref="E54:H55"/>
    <mergeCell ref="I54:AA54"/>
    <mergeCell ref="I55:S55"/>
    <mergeCell ref="T55:U55"/>
    <mergeCell ref="V55:X55"/>
    <mergeCell ref="Y55:AA55"/>
    <mergeCell ref="I14:S14"/>
    <mergeCell ref="T14:U14"/>
    <mergeCell ref="V14:X14"/>
    <mergeCell ref="Y14:AA14"/>
    <mergeCell ref="I15:S15"/>
    <mergeCell ref="T15:U15"/>
    <mergeCell ref="V15:X15"/>
    <mergeCell ref="B39:D39"/>
    <mergeCell ref="Y33:AA33"/>
    <mergeCell ref="Y15:AA15"/>
    <mergeCell ref="B17:D17"/>
    <mergeCell ref="B37:AA37"/>
    <mergeCell ref="U39:AA39"/>
    <mergeCell ref="B18:D18"/>
    <mergeCell ref="I18:S18"/>
    <mergeCell ref="T18:U18"/>
    <mergeCell ref="V18:X18"/>
    <mergeCell ref="A1:C1"/>
    <mergeCell ref="E1:G1"/>
    <mergeCell ref="S2:U2"/>
    <mergeCell ref="V2:AA2"/>
    <mergeCell ref="S3:U3"/>
    <mergeCell ref="V3:AA3"/>
    <mergeCell ref="B7:D7"/>
    <mergeCell ref="B8:Z8"/>
    <mergeCell ref="B6:D6"/>
    <mergeCell ref="Q6:R6"/>
    <mergeCell ref="B2:D3"/>
    <mergeCell ref="B4:T4"/>
    <mergeCell ref="V4:W4"/>
    <mergeCell ref="Y4:Z4"/>
    <mergeCell ref="H1:AB1"/>
    <mergeCell ref="B12:D13"/>
    <mergeCell ref="E12:H13"/>
    <mergeCell ref="E7:AA7"/>
    <mergeCell ref="Z6:AA6"/>
    <mergeCell ref="I12:AA12"/>
    <mergeCell ref="I13:S13"/>
    <mergeCell ref="T13:U13"/>
    <mergeCell ref="V13:X13"/>
    <mergeCell ref="Y13:AA13"/>
    <mergeCell ref="F9:I9"/>
    <mergeCell ref="F10:I10"/>
    <mergeCell ref="J9:K9"/>
    <mergeCell ref="J10:K10"/>
    <mergeCell ref="L9:AA9"/>
    <mergeCell ref="L10:AA10"/>
    <mergeCell ref="E6:G6"/>
    <mergeCell ref="H6:I6"/>
    <mergeCell ref="Y34:AA34"/>
    <mergeCell ref="B35:AA35"/>
    <mergeCell ref="C36:G36"/>
    <mergeCell ref="K36:P36"/>
    <mergeCell ref="T36:W36"/>
    <mergeCell ref="E14:E15"/>
    <mergeCell ref="G14:G15"/>
    <mergeCell ref="E16:E18"/>
    <mergeCell ref="Y18:AA18"/>
    <mergeCell ref="I16:S17"/>
    <mergeCell ref="T16:U17"/>
    <mergeCell ref="V16:X17"/>
    <mergeCell ref="Y16:AA17"/>
    <mergeCell ref="V19:X19"/>
    <mergeCell ref="Y19:AA19"/>
    <mergeCell ref="V20:X20"/>
    <mergeCell ref="Y20:AA20"/>
    <mergeCell ref="V21:X22"/>
    <mergeCell ref="Y21:AA22"/>
    <mergeCell ref="B23:D23"/>
    <mergeCell ref="I23:S23"/>
    <mergeCell ref="T23:U23"/>
    <mergeCell ref="I19:S19"/>
    <mergeCell ref="V23:X23"/>
    <mergeCell ref="G21:G23"/>
    <mergeCell ref="H21:H23"/>
    <mergeCell ref="I21:S22"/>
    <mergeCell ref="T21:U22"/>
    <mergeCell ref="F16:F18"/>
    <mergeCell ref="G16:G18"/>
    <mergeCell ref="H16:H18"/>
    <mergeCell ref="B14:D16"/>
    <mergeCell ref="B19:D21"/>
    <mergeCell ref="E19:E20"/>
    <mergeCell ref="F19:F20"/>
    <mergeCell ref="G19:G20"/>
    <mergeCell ref="H19:H20"/>
    <mergeCell ref="F14:F15"/>
    <mergeCell ref="H14:H15"/>
    <mergeCell ref="B22:D22"/>
    <mergeCell ref="T19:U19"/>
    <mergeCell ref="I20:S20"/>
    <mergeCell ref="T20:U20"/>
    <mergeCell ref="E21:E23"/>
    <mergeCell ref="F21:F23"/>
    <mergeCell ref="Y23:AA23"/>
    <mergeCell ref="B24:D26"/>
    <mergeCell ref="E24:E25"/>
    <mergeCell ref="F24:F25"/>
    <mergeCell ref="G24:G25"/>
    <mergeCell ref="H24:H25"/>
    <mergeCell ref="I24:S24"/>
    <mergeCell ref="T24:U24"/>
    <mergeCell ref="V24:X24"/>
    <mergeCell ref="Y24:AA24"/>
    <mergeCell ref="I25:S25"/>
    <mergeCell ref="T25:U25"/>
    <mergeCell ref="V25:X25"/>
    <mergeCell ref="Y25:AA25"/>
    <mergeCell ref="E26:E28"/>
    <mergeCell ref="F26:F28"/>
    <mergeCell ref="G26:G28"/>
    <mergeCell ref="H26:H28"/>
    <mergeCell ref="I26:S27"/>
    <mergeCell ref="T26:U27"/>
    <mergeCell ref="V26:X27"/>
    <mergeCell ref="Y26:AA27"/>
    <mergeCell ref="B27:D27"/>
    <mergeCell ref="B28:D28"/>
    <mergeCell ref="I28:S28"/>
    <mergeCell ref="T28:U28"/>
    <mergeCell ref="V28:X28"/>
    <mergeCell ref="Y28:AA28"/>
    <mergeCell ref="B44:D45"/>
    <mergeCell ref="S44:U44"/>
    <mergeCell ref="V44:AA44"/>
    <mergeCell ref="S45:U45"/>
    <mergeCell ref="V45:AA45"/>
    <mergeCell ref="E39:T39"/>
    <mergeCell ref="B34:S34"/>
    <mergeCell ref="B29:D31"/>
    <mergeCell ref="E29:E30"/>
    <mergeCell ref="F29:F30"/>
    <mergeCell ref="G29:G30"/>
    <mergeCell ref="H29:H30"/>
    <mergeCell ref="I29:S29"/>
    <mergeCell ref="B32:D32"/>
    <mergeCell ref="B33:D33"/>
    <mergeCell ref="E31:E33"/>
    <mergeCell ref="F31:F33"/>
    <mergeCell ref="G31:G33"/>
    <mergeCell ref="H31:H33"/>
    <mergeCell ref="T34:X34"/>
    <mergeCell ref="B46:T46"/>
    <mergeCell ref="E40:L40"/>
    <mergeCell ref="N40:P40"/>
    <mergeCell ref="B42:D42"/>
    <mergeCell ref="U40:AA40"/>
    <mergeCell ref="U41:AA41"/>
    <mergeCell ref="U42:AA42"/>
    <mergeCell ref="B40:D40"/>
    <mergeCell ref="B41:D41"/>
    <mergeCell ref="E41:T41"/>
    <mergeCell ref="E42:T42"/>
    <mergeCell ref="V46:W46"/>
    <mergeCell ref="Y46:Z46"/>
  </mergeCells>
  <phoneticPr fontId="1"/>
  <dataValidations count="2">
    <dataValidation type="list" allowBlank="1" showInputMessage="1" showErrorMessage="1" sqref="B18:D18 B23:D23 B33:D33 B60:D60 B65:D65 B28:D28 B70:D70 B75:D75" xr:uid="{00000000-0002-0000-0A00-000000000000}">
      <formula1>"　,西野外調理場,東野外調理場"</formula1>
    </dataValidation>
    <dataValidation imeMode="disabled" allowBlank="1" showInputMessage="1" showErrorMessage="1" sqref="V46:W46 V4:W4" xr:uid="{00000000-0002-0000-0A00-000001000000}"/>
  </dataValidations>
  <pageMargins left="0.51181102362204722" right="0.51181102362204722" top="0.31496062992125984" bottom="0" header="0" footer="0"/>
  <pageSetup paperSize="9" orientation="portrait" blackAndWhite="1" verticalDpi="0" r:id="rId1"/>
  <headerFooter differentFirst="1" scaleWithDoc="0">
    <oddFooter>&amp;R&amp;14④</oddFooter>
    <firstFooter>&amp;L&amp;G&amp;R&amp;14④</first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AY560"/>
  <sheetViews>
    <sheetView showGridLines="0" view="pageBreakPreview" zoomScaleNormal="100" zoomScaleSheetLayoutView="100" workbookViewId="0">
      <selection activeCell="H214" sqref="H214:I215"/>
    </sheetView>
  </sheetViews>
  <sheetFormatPr defaultRowHeight="13.5" x14ac:dyDescent="0.15"/>
  <cols>
    <col min="1" max="1" width="0.5" style="111" customWidth="1"/>
    <col min="2" max="2" width="4.375" style="111" customWidth="1"/>
    <col min="3" max="3" width="12.5" style="111" customWidth="1"/>
    <col min="4" max="4" width="5" style="111" customWidth="1"/>
    <col min="5" max="5" width="5.625" style="111" customWidth="1"/>
    <col min="6" max="7" width="3.375" style="111" customWidth="1"/>
    <col min="8" max="9" width="3.125" style="111" customWidth="1"/>
    <col min="10" max="11" width="3.625" style="48" customWidth="1"/>
    <col min="12" max="13" width="3.125" style="111" customWidth="1"/>
    <col min="14" max="16" width="3.125" style="48" customWidth="1"/>
    <col min="17" max="18" width="3.125" style="111" customWidth="1"/>
    <col min="19" max="21" width="3.125" style="48" customWidth="1"/>
    <col min="22" max="23" width="3.125" style="111" customWidth="1"/>
    <col min="24" max="26" width="3.125" style="48" customWidth="1"/>
    <col min="27" max="28" width="3.125" style="111" customWidth="1"/>
    <col min="29" max="31" width="3.125" style="48" customWidth="1"/>
    <col min="32" max="33" width="3.125" style="111" customWidth="1"/>
    <col min="34" max="35" width="3.625" style="48" customWidth="1"/>
    <col min="36" max="37" width="3.125" style="111" customWidth="1"/>
    <col min="38" max="39" width="3.125" style="48" customWidth="1"/>
    <col min="40" max="40" width="4.25" style="48" customWidth="1"/>
    <col min="41" max="45" width="3.125" style="48" customWidth="1"/>
    <col min="46" max="46" width="5.625" style="48" customWidth="1"/>
    <col min="47" max="47" width="0.375" style="48" customWidth="1"/>
    <col min="48" max="16384" width="9" style="48"/>
  </cols>
  <sheetData>
    <row r="1" spans="1:51" ht="33" customHeight="1" x14ac:dyDescent="0.15">
      <c r="A1" s="3277" t="s">
        <v>55</v>
      </c>
      <c r="B1" s="3277"/>
      <c r="C1" s="3277"/>
      <c r="D1" s="498">
        <f>COUNTA(名簿入力!D15,名簿入力!D45,名簿入力!D75,名簿入力!D105,名簿入力!D135,名簿入力!D165,名簿入力!D195,名簿入力!D225,名簿入力!D255,名簿入力!D285,名簿入力!D315,名簿入力!D345,名簿入力!D375)</f>
        <v>0</v>
      </c>
      <c r="E1" s="3278" t="s">
        <v>56</v>
      </c>
      <c r="F1" s="3278"/>
      <c r="G1" s="3278"/>
      <c r="H1" s="3040" t="s">
        <v>256</v>
      </c>
      <c r="I1" s="3040"/>
      <c r="J1" s="3040"/>
      <c r="K1" s="3040"/>
      <c r="L1" s="3040"/>
      <c r="M1" s="3040"/>
      <c r="N1" s="3040"/>
      <c r="O1" s="3040"/>
      <c r="P1" s="3040"/>
      <c r="Q1" s="3040"/>
      <c r="R1" s="3040"/>
      <c r="S1" s="3040"/>
      <c r="T1" s="3040"/>
      <c r="U1" s="3040"/>
      <c r="V1" s="3040"/>
      <c r="W1" s="3040"/>
      <c r="X1" s="3040"/>
      <c r="Y1" s="3040"/>
      <c r="Z1" s="3040"/>
      <c r="AA1" s="3040"/>
      <c r="AB1" s="3040"/>
      <c r="AC1" s="3040"/>
      <c r="AD1" s="3040"/>
      <c r="AE1" s="3040"/>
      <c r="AF1" s="3040"/>
      <c r="AG1" s="3040"/>
      <c r="AH1" s="3040"/>
      <c r="AI1" s="3040"/>
      <c r="AJ1" s="3040"/>
      <c r="AK1" s="3040"/>
      <c r="AL1" s="3040"/>
      <c r="AM1" s="3040"/>
      <c r="AN1" s="3040"/>
      <c r="AO1" s="3040"/>
      <c r="AP1" s="3040"/>
      <c r="AQ1" s="3040"/>
      <c r="AR1" s="3040"/>
      <c r="AS1" s="3040"/>
      <c r="AT1" s="3040"/>
      <c r="AU1" s="3040"/>
      <c r="AV1" s="3040"/>
      <c r="AW1" s="3040"/>
    </row>
    <row r="2" spans="1:51" ht="26.25" customHeight="1" x14ac:dyDescent="0.15">
      <c r="C2" s="3279" t="s">
        <v>282</v>
      </c>
      <c r="D2" s="3279"/>
      <c r="E2" s="3279"/>
      <c r="F2" s="3279"/>
      <c r="G2" s="3279"/>
      <c r="H2" s="3279"/>
      <c r="I2" s="3279"/>
      <c r="J2" s="3279"/>
      <c r="K2" s="3279"/>
      <c r="L2" s="3279"/>
      <c r="M2" s="3279"/>
      <c r="N2" s="3279"/>
      <c r="O2" s="3279"/>
      <c r="P2" s="3279"/>
      <c r="Q2" s="3279"/>
      <c r="R2" s="3279"/>
      <c r="S2" s="3279"/>
      <c r="T2" s="3279"/>
      <c r="U2" s="3279"/>
      <c r="V2" s="3279"/>
      <c r="W2" s="3279"/>
      <c r="X2" s="3279"/>
      <c r="Y2" s="3279"/>
      <c r="Z2" s="3279"/>
      <c r="AA2" s="1014"/>
      <c r="AB2" s="1014"/>
      <c r="AC2" s="1014"/>
      <c r="AD2" s="1014"/>
      <c r="AE2" s="1014"/>
      <c r="AF2" s="1014"/>
      <c r="AG2" s="1014"/>
      <c r="AH2" s="1014"/>
      <c r="AI2" s="1014"/>
      <c r="AJ2" s="1014"/>
      <c r="AK2" s="1014"/>
      <c r="AL2" s="1014"/>
      <c r="AM2" s="1014"/>
      <c r="AN2" s="1014"/>
      <c r="AP2" s="499"/>
      <c r="AQ2" s="3230" t="s">
        <v>175</v>
      </c>
      <c r="AR2" s="3230"/>
      <c r="AS2" s="3230">
        <v>1</v>
      </c>
      <c r="AT2" s="3230"/>
    </row>
    <row r="3" spans="1:51" ht="3.75" customHeight="1" thickBot="1" x14ac:dyDescent="0.2">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P3" s="499"/>
      <c r="AQ3" s="500"/>
      <c r="AR3" s="500"/>
      <c r="AS3" s="500"/>
      <c r="AT3" s="500"/>
    </row>
    <row r="4" spans="1:51" ht="15" customHeight="1" x14ac:dyDescent="0.15">
      <c r="B4" s="3231" t="s">
        <v>174</v>
      </c>
      <c r="C4" s="3232"/>
      <c r="D4" s="3235" t="str">
        <f>" "&amp;入力ページ!F11</f>
        <v xml:space="preserve"> </v>
      </c>
      <c r="E4" s="3235"/>
      <c r="F4" s="3235"/>
      <c r="G4" s="3235"/>
      <c r="H4" s="3235"/>
      <c r="I4" s="3235"/>
      <c r="J4" s="3235"/>
      <c r="K4" s="3235"/>
      <c r="L4" s="3235"/>
      <c r="M4" s="3235"/>
      <c r="N4" s="3235"/>
      <c r="O4" s="3235"/>
      <c r="P4" s="3235"/>
      <c r="Q4" s="3235"/>
      <c r="R4" s="3235"/>
      <c r="S4" s="3235"/>
      <c r="T4" s="3235"/>
      <c r="U4" s="3235"/>
      <c r="V4" s="3235"/>
      <c r="W4" s="3235"/>
      <c r="X4" s="3235"/>
      <c r="Y4" s="3235"/>
      <c r="Z4" s="3236"/>
      <c r="AA4" s="502"/>
      <c r="AB4" s="3268" t="s">
        <v>427</v>
      </c>
      <c r="AC4" s="3269"/>
      <c r="AD4" s="3269"/>
      <c r="AE4" s="3269"/>
      <c r="AF4" s="3269"/>
      <c r="AG4" s="3269"/>
      <c r="AH4" s="3270"/>
      <c r="AJ4" s="3268" t="s">
        <v>424</v>
      </c>
      <c r="AK4" s="3269"/>
      <c r="AL4" s="3269"/>
      <c r="AM4" s="3269"/>
      <c r="AN4" s="3269"/>
      <c r="AO4" s="3269"/>
      <c r="AP4" s="3269"/>
      <c r="AQ4" s="3269"/>
      <c r="AR4" s="3269"/>
      <c r="AS4" s="3269"/>
      <c r="AT4" s="3270"/>
      <c r="AU4" s="503"/>
      <c r="AV4" s="497"/>
      <c r="AW4" s="497"/>
      <c r="AX4" s="497"/>
    </row>
    <row r="5" spans="1:51" ht="22.5" customHeight="1" thickBot="1" x14ac:dyDescent="0.2">
      <c r="B5" s="3233"/>
      <c r="C5" s="3234"/>
      <c r="D5" s="3237"/>
      <c r="E5" s="3237"/>
      <c r="F5" s="3237"/>
      <c r="G5" s="3237"/>
      <c r="H5" s="3237"/>
      <c r="I5" s="3237"/>
      <c r="J5" s="3237"/>
      <c r="K5" s="3237"/>
      <c r="L5" s="3237"/>
      <c r="M5" s="3237"/>
      <c r="N5" s="3237"/>
      <c r="O5" s="3237"/>
      <c r="P5" s="3237"/>
      <c r="Q5" s="3237"/>
      <c r="R5" s="3237"/>
      <c r="S5" s="3237"/>
      <c r="T5" s="3237"/>
      <c r="U5" s="3237"/>
      <c r="V5" s="3237"/>
      <c r="W5" s="3237"/>
      <c r="X5" s="3237"/>
      <c r="Y5" s="3237"/>
      <c r="Z5" s="3238"/>
      <c r="AA5" s="502"/>
      <c r="AB5" s="3133" t="s">
        <v>436</v>
      </c>
      <c r="AC5" s="3134"/>
      <c r="AD5" s="3134"/>
      <c r="AE5" s="3134"/>
      <c r="AF5" s="3132">
        <f>名簿入力!AF2</f>
        <v>0</v>
      </c>
      <c r="AG5" s="3132"/>
      <c r="AH5" s="520" t="s">
        <v>177</v>
      </c>
      <c r="AJ5" s="512" t="s">
        <v>16</v>
      </c>
      <c r="AK5" s="532" t="str">
        <f>IF(入力ページ!H60="あり","○","")</f>
        <v/>
      </c>
      <c r="AL5" s="3271" t="s">
        <v>425</v>
      </c>
      <c r="AM5" s="3271"/>
      <c r="AN5" s="3271"/>
      <c r="AO5" s="518" t="s">
        <v>435</v>
      </c>
      <c r="AP5" s="505" t="s">
        <v>16</v>
      </c>
      <c r="AQ5" s="506" t="str">
        <f>IF(入力ページ!H60="なし","○","")</f>
        <v/>
      </c>
      <c r="AR5" s="3271" t="s">
        <v>426</v>
      </c>
      <c r="AS5" s="3271"/>
      <c r="AT5" s="3272"/>
      <c r="AU5" s="504"/>
      <c r="AV5" s="497"/>
      <c r="AW5" s="497"/>
      <c r="AX5" s="497"/>
      <c r="AY5" s="497"/>
    </row>
    <row r="6" spans="1:51" ht="24.75" customHeight="1" thickBot="1" x14ac:dyDescent="0.2">
      <c r="B6" s="3239" t="s">
        <v>173</v>
      </c>
      <c r="C6" s="3240"/>
      <c r="D6" s="3241">
        <f>入力ページ!G22</f>
        <v>0</v>
      </c>
      <c r="E6" s="3241"/>
      <c r="F6" s="513" t="s">
        <v>60</v>
      </c>
      <c r="G6" s="3241">
        <f>入力ページ!J22</f>
        <v>0</v>
      </c>
      <c r="H6" s="3241"/>
      <c r="I6" s="514" t="s">
        <v>61</v>
      </c>
      <c r="J6" s="3241">
        <f>入力ページ!L22</f>
        <v>0</v>
      </c>
      <c r="K6" s="3241"/>
      <c r="L6" s="514" t="s">
        <v>62</v>
      </c>
      <c r="M6" s="515" t="s">
        <v>172</v>
      </c>
      <c r="N6" s="514" t="str">
        <f>入力ページ!O22</f>
        <v/>
      </c>
      <c r="O6" s="514" t="s">
        <v>171</v>
      </c>
      <c r="P6" s="3242" t="s">
        <v>170</v>
      </c>
      <c r="Q6" s="3242"/>
      <c r="R6" s="3243" t="str">
        <f>入力ページ!T22</f>
        <v/>
      </c>
      <c r="S6" s="3243"/>
      <c r="T6" s="514" t="s">
        <v>61</v>
      </c>
      <c r="U6" s="3244" t="str">
        <f>入力ページ!V22</f>
        <v/>
      </c>
      <c r="V6" s="3244"/>
      <c r="W6" s="514" t="s">
        <v>62</v>
      </c>
      <c r="X6" s="515" t="s">
        <v>169</v>
      </c>
      <c r="Y6" s="516" t="str">
        <f>入力ページ!Y22</f>
        <v/>
      </c>
      <c r="Z6" s="517" t="s">
        <v>168</v>
      </c>
      <c r="AA6" s="507"/>
      <c r="AB6" s="3135" t="s">
        <v>437</v>
      </c>
      <c r="AC6" s="3136"/>
      <c r="AD6" s="3136"/>
      <c r="AE6" s="3136"/>
      <c r="AF6" s="3276">
        <f>名簿入力!AL2</f>
        <v>0</v>
      </c>
      <c r="AG6" s="3276"/>
      <c r="AH6" s="521" t="s">
        <v>177</v>
      </c>
      <c r="AJ6" s="3273" t="s">
        <v>440</v>
      </c>
      <c r="AK6" s="3273"/>
      <c r="AL6" s="3273"/>
      <c r="AM6" s="3273"/>
      <c r="AN6" s="3273"/>
      <c r="AO6" s="3273"/>
      <c r="AP6" s="3273"/>
      <c r="AQ6" s="3273"/>
      <c r="AR6" s="3273"/>
      <c r="AS6" s="3273"/>
      <c r="AT6" s="3273"/>
    </row>
    <row r="7" spans="1:51" ht="13.5" customHeight="1" thickBot="1" x14ac:dyDescent="0.2">
      <c r="B7" s="508"/>
      <c r="C7" s="508"/>
      <c r="D7" s="509"/>
      <c r="E7" s="509"/>
      <c r="F7" s="509"/>
      <c r="G7" s="509"/>
      <c r="H7" s="509"/>
      <c r="I7" s="509"/>
      <c r="J7" s="509"/>
      <c r="K7" s="509"/>
      <c r="L7" s="509"/>
      <c r="M7" s="509"/>
      <c r="N7" s="509"/>
      <c r="O7" s="509"/>
      <c r="P7" s="509"/>
      <c r="Q7" s="509"/>
      <c r="R7" s="509"/>
      <c r="S7" s="509"/>
      <c r="T7" s="509"/>
      <c r="U7" s="509"/>
      <c r="V7" s="509"/>
      <c r="W7" s="509"/>
      <c r="X7" s="510"/>
      <c r="Y7" s="510"/>
      <c r="Z7" s="510"/>
      <c r="AA7" s="511"/>
      <c r="AB7" s="511"/>
      <c r="AC7" s="511"/>
      <c r="AD7" s="3275"/>
      <c r="AE7" s="3275"/>
      <c r="AF7" s="226"/>
      <c r="AG7" s="226"/>
      <c r="AH7" s="226"/>
      <c r="AI7" s="226"/>
      <c r="AJ7" s="3274"/>
      <c r="AK7" s="3274"/>
      <c r="AL7" s="3274"/>
      <c r="AM7" s="3274"/>
      <c r="AN7" s="3274"/>
      <c r="AO7" s="3274"/>
      <c r="AP7" s="3274"/>
      <c r="AQ7" s="3274"/>
      <c r="AR7" s="3274"/>
      <c r="AS7" s="3274"/>
      <c r="AT7" s="3274"/>
    </row>
    <row r="8" spans="1:51" ht="15" customHeight="1" x14ac:dyDescent="0.15">
      <c r="B8" s="3200" t="s">
        <v>287</v>
      </c>
      <c r="C8" s="3203" t="s">
        <v>167</v>
      </c>
      <c r="D8" s="1959"/>
      <c r="E8" s="1962" t="s">
        <v>341</v>
      </c>
      <c r="F8" s="2097" t="s">
        <v>166</v>
      </c>
      <c r="G8" s="2098"/>
      <c r="H8" s="3245" t="s">
        <v>165</v>
      </c>
      <c r="I8" s="3246"/>
      <c r="J8" s="3246"/>
      <c r="K8" s="3247"/>
      <c r="L8" s="3245" t="s">
        <v>164</v>
      </c>
      <c r="M8" s="3246"/>
      <c r="N8" s="3246"/>
      <c r="O8" s="3246"/>
      <c r="P8" s="3247"/>
      <c r="Q8" s="3245" t="s">
        <v>163</v>
      </c>
      <c r="R8" s="3246"/>
      <c r="S8" s="3246"/>
      <c r="T8" s="3246"/>
      <c r="U8" s="3247"/>
      <c r="V8" s="3245" t="s">
        <v>249</v>
      </c>
      <c r="W8" s="3246"/>
      <c r="X8" s="3246"/>
      <c r="Y8" s="3246"/>
      <c r="Z8" s="3247"/>
      <c r="AA8" s="3245" t="s">
        <v>250</v>
      </c>
      <c r="AB8" s="3246"/>
      <c r="AC8" s="3246"/>
      <c r="AD8" s="3246"/>
      <c r="AE8" s="3247"/>
      <c r="AF8" s="3245" t="s">
        <v>251</v>
      </c>
      <c r="AG8" s="3246"/>
      <c r="AH8" s="3246"/>
      <c r="AI8" s="3246"/>
      <c r="AJ8" s="3248" t="s">
        <v>438</v>
      </c>
      <c r="AK8" s="3249"/>
      <c r="AL8" s="3249"/>
      <c r="AM8" s="3249"/>
      <c r="AN8" s="3249"/>
      <c r="AO8" s="3250"/>
      <c r="AP8" s="3248" t="s">
        <v>162</v>
      </c>
      <c r="AQ8" s="3249"/>
      <c r="AR8" s="3249"/>
      <c r="AS8" s="3249"/>
      <c r="AT8" s="3250"/>
      <c r="AU8" s="117"/>
      <c r="AW8" s="501"/>
      <c r="AX8" s="501"/>
    </row>
    <row r="9" spans="1:51" ht="26.25" customHeight="1" x14ac:dyDescent="0.15">
      <c r="B9" s="3201"/>
      <c r="C9" s="3204"/>
      <c r="D9" s="1960"/>
      <c r="E9" s="1963"/>
      <c r="F9" s="2099"/>
      <c r="G9" s="1972"/>
      <c r="H9" s="3251" t="str">
        <f>入力ページ!I65</f>
        <v/>
      </c>
      <c r="I9" s="3252"/>
      <c r="J9" s="3252"/>
      <c r="K9" s="3253"/>
      <c r="L9" s="3254" t="str">
        <f>入力ページ!M65</f>
        <v/>
      </c>
      <c r="M9" s="3255"/>
      <c r="N9" s="3255"/>
      <c r="O9" s="3255"/>
      <c r="P9" s="3256"/>
      <c r="Q9" s="3254" t="str">
        <f>入力ページ!Q65</f>
        <v/>
      </c>
      <c r="R9" s="3255"/>
      <c r="S9" s="3255"/>
      <c r="T9" s="3255"/>
      <c r="U9" s="3256"/>
      <c r="V9" s="3254" t="str">
        <f>入力ページ!U65</f>
        <v/>
      </c>
      <c r="W9" s="3255"/>
      <c r="X9" s="3255"/>
      <c r="Y9" s="3255"/>
      <c r="Z9" s="3256"/>
      <c r="AA9" s="3254" t="str">
        <f>入力ページ!Y65</f>
        <v/>
      </c>
      <c r="AB9" s="3255"/>
      <c r="AC9" s="3255"/>
      <c r="AD9" s="3255"/>
      <c r="AE9" s="3256"/>
      <c r="AF9" s="3254" t="str">
        <f>入力ページ!AC65</f>
        <v/>
      </c>
      <c r="AG9" s="3255"/>
      <c r="AH9" s="3255"/>
      <c r="AI9" s="3255"/>
      <c r="AJ9" s="3257" t="s">
        <v>441</v>
      </c>
      <c r="AK9" s="3258"/>
      <c r="AL9" s="3258"/>
      <c r="AM9" s="3258"/>
      <c r="AN9" s="3258"/>
      <c r="AO9" s="3259"/>
      <c r="AP9" s="3263" t="s">
        <v>442</v>
      </c>
      <c r="AQ9" s="3264"/>
      <c r="AR9" s="3264"/>
      <c r="AS9" s="3264"/>
      <c r="AT9" s="3265"/>
      <c r="AU9" s="116"/>
    </row>
    <row r="10" spans="1:51" ht="16.5" customHeight="1" x14ac:dyDescent="0.15">
      <c r="B10" s="3201"/>
      <c r="C10" s="3204"/>
      <c r="D10" s="1960"/>
      <c r="E10" s="1963"/>
      <c r="F10" s="3266" t="s">
        <v>78</v>
      </c>
      <c r="G10" s="3206" t="s">
        <v>79</v>
      </c>
      <c r="H10" s="1974" t="s">
        <v>176</v>
      </c>
      <c r="I10" s="3208"/>
      <c r="J10" s="3210" t="s">
        <v>161</v>
      </c>
      <c r="K10" s="3211"/>
      <c r="L10" s="1974" t="s">
        <v>176</v>
      </c>
      <c r="M10" s="3208"/>
      <c r="N10" s="3210" t="s">
        <v>160</v>
      </c>
      <c r="O10" s="3213"/>
      <c r="P10" s="3211"/>
      <c r="Q10" s="1974" t="s">
        <v>176</v>
      </c>
      <c r="R10" s="3208"/>
      <c r="S10" s="3210" t="s">
        <v>160</v>
      </c>
      <c r="T10" s="3213"/>
      <c r="U10" s="3211"/>
      <c r="V10" s="1974" t="s">
        <v>176</v>
      </c>
      <c r="W10" s="3208"/>
      <c r="X10" s="3210" t="s">
        <v>160</v>
      </c>
      <c r="Y10" s="3213"/>
      <c r="Z10" s="3211"/>
      <c r="AA10" s="1974" t="s">
        <v>176</v>
      </c>
      <c r="AB10" s="3208"/>
      <c r="AC10" s="3210" t="s">
        <v>160</v>
      </c>
      <c r="AD10" s="3213"/>
      <c r="AE10" s="3211"/>
      <c r="AF10" s="1974" t="s">
        <v>176</v>
      </c>
      <c r="AG10" s="3208"/>
      <c r="AH10" s="3210" t="s">
        <v>160</v>
      </c>
      <c r="AI10" s="3213"/>
      <c r="AJ10" s="3257"/>
      <c r="AK10" s="3258"/>
      <c r="AL10" s="3258"/>
      <c r="AM10" s="3258"/>
      <c r="AN10" s="3258"/>
      <c r="AO10" s="3259"/>
      <c r="AP10" s="3257"/>
      <c r="AQ10" s="3258"/>
      <c r="AR10" s="3258"/>
      <c r="AS10" s="3258"/>
      <c r="AT10" s="3259"/>
      <c r="AU10" s="115"/>
    </row>
    <row r="11" spans="1:51" ht="19.5" customHeight="1" thickBot="1" x14ac:dyDescent="0.2">
      <c r="B11" s="3202"/>
      <c r="C11" s="3205"/>
      <c r="D11" s="1961"/>
      <c r="E11" s="1964"/>
      <c r="F11" s="3267"/>
      <c r="G11" s="3207"/>
      <c r="H11" s="1978"/>
      <c r="I11" s="3209"/>
      <c r="J11" s="523" t="s">
        <v>153</v>
      </c>
      <c r="K11" s="522" t="s">
        <v>280</v>
      </c>
      <c r="L11" s="1978"/>
      <c r="M11" s="3212"/>
      <c r="N11" s="523" t="s">
        <v>154</v>
      </c>
      <c r="O11" s="523" t="s">
        <v>153</v>
      </c>
      <c r="P11" s="522" t="s">
        <v>280</v>
      </c>
      <c r="Q11" s="1978"/>
      <c r="R11" s="3209"/>
      <c r="S11" s="523" t="s">
        <v>154</v>
      </c>
      <c r="T11" s="523" t="s">
        <v>153</v>
      </c>
      <c r="U11" s="522" t="s">
        <v>280</v>
      </c>
      <c r="V11" s="1978"/>
      <c r="W11" s="3209"/>
      <c r="X11" s="523" t="s">
        <v>154</v>
      </c>
      <c r="Y11" s="523" t="s">
        <v>153</v>
      </c>
      <c r="Z11" s="522" t="s">
        <v>280</v>
      </c>
      <c r="AA11" s="1978"/>
      <c r="AB11" s="3209"/>
      <c r="AC11" s="523" t="s">
        <v>154</v>
      </c>
      <c r="AD11" s="523" t="s">
        <v>153</v>
      </c>
      <c r="AE11" s="522" t="s">
        <v>280</v>
      </c>
      <c r="AF11" s="1978"/>
      <c r="AG11" s="3209"/>
      <c r="AH11" s="523" t="s">
        <v>154</v>
      </c>
      <c r="AI11" s="523" t="s">
        <v>153</v>
      </c>
      <c r="AJ11" s="3260"/>
      <c r="AK11" s="3261"/>
      <c r="AL11" s="3261"/>
      <c r="AM11" s="3261"/>
      <c r="AN11" s="3261"/>
      <c r="AO11" s="3262"/>
      <c r="AP11" s="3260"/>
      <c r="AQ11" s="3261"/>
      <c r="AR11" s="3261"/>
      <c r="AS11" s="3261"/>
      <c r="AT11" s="3262"/>
      <c r="AU11" s="114"/>
    </row>
    <row r="12" spans="1:51" ht="15" customHeight="1" x14ac:dyDescent="0.15">
      <c r="B12" s="3214" t="s">
        <v>159</v>
      </c>
      <c r="C12" s="3216" t="s">
        <v>158</v>
      </c>
      <c r="D12" s="3217"/>
      <c r="E12" s="3220" t="s">
        <v>157</v>
      </c>
      <c r="F12" s="3222" t="s">
        <v>98</v>
      </c>
      <c r="G12" s="3224"/>
      <c r="H12" s="3190" t="s">
        <v>155</v>
      </c>
      <c r="I12" s="3191"/>
      <c r="J12" s="3194" t="s">
        <v>98</v>
      </c>
      <c r="K12" s="3188" t="s">
        <v>98</v>
      </c>
      <c r="L12" s="3190" t="s">
        <v>155</v>
      </c>
      <c r="M12" s="3226"/>
      <c r="N12" s="3194" t="s">
        <v>98</v>
      </c>
      <c r="O12" s="3194" t="s">
        <v>98</v>
      </c>
      <c r="P12" s="3188" t="s">
        <v>98</v>
      </c>
      <c r="Q12" s="2087" t="s">
        <v>414</v>
      </c>
      <c r="R12" s="3196"/>
      <c r="S12" s="3194" t="s">
        <v>98</v>
      </c>
      <c r="T12" s="3198"/>
      <c r="U12" s="3228"/>
      <c r="V12" s="3190"/>
      <c r="W12" s="3191"/>
      <c r="X12" s="3194"/>
      <c r="Y12" s="3194"/>
      <c r="Z12" s="3188"/>
      <c r="AA12" s="3190"/>
      <c r="AB12" s="3191"/>
      <c r="AC12" s="3194"/>
      <c r="AD12" s="3194"/>
      <c r="AE12" s="3188"/>
      <c r="AF12" s="2087"/>
      <c r="AG12" s="3196"/>
      <c r="AH12" s="3194"/>
      <c r="AI12" s="3198"/>
      <c r="AJ12" s="2032" t="s">
        <v>433</v>
      </c>
      <c r="AK12" s="2033"/>
      <c r="AL12" s="2033"/>
      <c r="AM12" s="2033"/>
      <c r="AN12" s="2033"/>
      <c r="AO12" s="2034"/>
      <c r="AP12" s="2026" t="s">
        <v>342</v>
      </c>
      <c r="AQ12" s="2027"/>
      <c r="AR12" s="2027"/>
      <c r="AS12" s="2027"/>
      <c r="AT12" s="2028"/>
      <c r="AU12" s="113"/>
    </row>
    <row r="13" spans="1:51" ht="15" customHeight="1" x14ac:dyDescent="0.15">
      <c r="B13" s="3215"/>
      <c r="C13" s="3218"/>
      <c r="D13" s="3219"/>
      <c r="E13" s="3221"/>
      <c r="F13" s="3223"/>
      <c r="G13" s="3225"/>
      <c r="H13" s="3192"/>
      <c r="I13" s="3193"/>
      <c r="J13" s="3195"/>
      <c r="K13" s="3189"/>
      <c r="L13" s="3192"/>
      <c r="M13" s="3227"/>
      <c r="N13" s="3195"/>
      <c r="O13" s="3195"/>
      <c r="P13" s="3189"/>
      <c r="Q13" s="2089"/>
      <c r="R13" s="3197"/>
      <c r="S13" s="3195"/>
      <c r="T13" s="3199"/>
      <c r="U13" s="3229"/>
      <c r="V13" s="3192"/>
      <c r="W13" s="3193"/>
      <c r="X13" s="3195"/>
      <c r="Y13" s="3195"/>
      <c r="Z13" s="3189"/>
      <c r="AA13" s="3192"/>
      <c r="AB13" s="3193"/>
      <c r="AC13" s="3195"/>
      <c r="AD13" s="3195"/>
      <c r="AE13" s="3189"/>
      <c r="AF13" s="2089"/>
      <c r="AG13" s="3197"/>
      <c r="AH13" s="3195"/>
      <c r="AI13" s="3199"/>
      <c r="AJ13" s="2035" t="s">
        <v>434</v>
      </c>
      <c r="AK13" s="2036"/>
      <c r="AL13" s="2036"/>
      <c r="AM13" s="2036"/>
      <c r="AN13" s="2036"/>
      <c r="AO13" s="2037"/>
      <c r="AP13" s="2029"/>
      <c r="AQ13" s="2030"/>
      <c r="AR13" s="2030"/>
      <c r="AS13" s="2030"/>
      <c r="AT13" s="2031"/>
      <c r="AU13" s="113"/>
    </row>
    <row r="14" spans="1:51" ht="15" customHeight="1" x14ac:dyDescent="0.15">
      <c r="B14" s="3149">
        <v>1</v>
      </c>
      <c r="C14" s="3151">
        <f>名簿入力!D15</f>
        <v>0</v>
      </c>
      <c r="D14" s="3152"/>
      <c r="E14" s="3155">
        <f>名簿入力!E15</f>
        <v>0</v>
      </c>
      <c r="F14" s="3157">
        <f>名簿入力!G15</f>
        <v>0</v>
      </c>
      <c r="G14" s="3159">
        <f>名簿入力!H15</f>
        <v>0</v>
      </c>
      <c r="H14" s="3161">
        <f>名簿入力!I15</f>
        <v>0</v>
      </c>
      <c r="I14" s="3162"/>
      <c r="J14" s="3165">
        <f>名簿入力!K15</f>
        <v>0</v>
      </c>
      <c r="K14" s="3167">
        <f>名簿入力!L15</f>
        <v>0</v>
      </c>
      <c r="L14" s="3161">
        <f>名簿入力!M15</f>
        <v>0</v>
      </c>
      <c r="M14" s="3169"/>
      <c r="N14" s="3165">
        <f>名簿入力!O15</f>
        <v>0</v>
      </c>
      <c r="O14" s="3165">
        <f>名簿入力!P15</f>
        <v>0</v>
      </c>
      <c r="P14" s="3167">
        <f>名簿入力!Q15</f>
        <v>0</v>
      </c>
      <c r="Q14" s="3161">
        <f>名簿入力!R15</f>
        <v>0</v>
      </c>
      <c r="R14" s="3162"/>
      <c r="S14" s="3165">
        <f>名簿入力!T15</f>
        <v>0</v>
      </c>
      <c r="T14" s="3165">
        <f>名簿入力!U15</f>
        <v>0</v>
      </c>
      <c r="U14" s="3167">
        <f>名簿入力!V15</f>
        <v>0</v>
      </c>
      <c r="V14" s="3161">
        <f>名簿入力!W15</f>
        <v>0</v>
      </c>
      <c r="W14" s="3162"/>
      <c r="X14" s="3165">
        <f>名簿入力!Y15</f>
        <v>0</v>
      </c>
      <c r="Y14" s="3165">
        <f>名簿入力!Z15</f>
        <v>0</v>
      </c>
      <c r="Z14" s="3167">
        <f>名簿入力!AA15</f>
        <v>0</v>
      </c>
      <c r="AA14" s="3161">
        <f>名簿入力!AB15</f>
        <v>0</v>
      </c>
      <c r="AB14" s="3162"/>
      <c r="AC14" s="3165">
        <f>名簿入力!AD15</f>
        <v>0</v>
      </c>
      <c r="AD14" s="3165">
        <f>名簿入力!AE15</f>
        <v>0</v>
      </c>
      <c r="AE14" s="3167">
        <f>名簿入力!AF15</f>
        <v>0</v>
      </c>
      <c r="AF14" s="3161">
        <f>名簿入力!AG15</f>
        <v>0</v>
      </c>
      <c r="AG14" s="3162"/>
      <c r="AH14" s="3165">
        <f>名簿入力!AI15</f>
        <v>0</v>
      </c>
      <c r="AI14" s="3165">
        <f>名簿入力!AJ15</f>
        <v>0</v>
      </c>
      <c r="AJ14" s="3175">
        <f>名簿入力!AK15</f>
        <v>0</v>
      </c>
      <c r="AK14" s="3176"/>
      <c r="AL14" s="3176"/>
      <c r="AM14" s="3176"/>
      <c r="AN14" s="3176"/>
      <c r="AO14" s="3177"/>
      <c r="AP14" s="3137">
        <f>名簿入力!AO15</f>
        <v>0</v>
      </c>
      <c r="AQ14" s="3138"/>
      <c r="AR14" s="3138"/>
      <c r="AS14" s="3138"/>
      <c r="AT14" s="3139"/>
      <c r="AU14" s="113"/>
    </row>
    <row r="15" spans="1:51" ht="15" customHeight="1" x14ac:dyDescent="0.15">
      <c r="B15" s="3181"/>
      <c r="C15" s="3182"/>
      <c r="D15" s="3183"/>
      <c r="E15" s="3184"/>
      <c r="F15" s="3185"/>
      <c r="G15" s="3186"/>
      <c r="H15" s="3173"/>
      <c r="I15" s="3174"/>
      <c r="J15" s="3171"/>
      <c r="K15" s="3172"/>
      <c r="L15" s="3173"/>
      <c r="M15" s="3187"/>
      <c r="N15" s="3171"/>
      <c r="O15" s="3171"/>
      <c r="P15" s="3172"/>
      <c r="Q15" s="3173"/>
      <c r="R15" s="3174"/>
      <c r="S15" s="3171"/>
      <c r="T15" s="3171"/>
      <c r="U15" s="3172"/>
      <c r="V15" s="3173"/>
      <c r="W15" s="3174"/>
      <c r="X15" s="3171"/>
      <c r="Y15" s="3171"/>
      <c r="Z15" s="3172"/>
      <c r="AA15" s="3173"/>
      <c r="AB15" s="3174"/>
      <c r="AC15" s="3171"/>
      <c r="AD15" s="3171"/>
      <c r="AE15" s="3172"/>
      <c r="AF15" s="3173"/>
      <c r="AG15" s="3174"/>
      <c r="AH15" s="3171"/>
      <c r="AI15" s="3171"/>
      <c r="AJ15" s="3146">
        <f>名簿入力!AK16</f>
        <v>0</v>
      </c>
      <c r="AK15" s="3147"/>
      <c r="AL15" s="3147"/>
      <c r="AM15" s="3147"/>
      <c r="AN15" s="3147"/>
      <c r="AO15" s="3148"/>
      <c r="AP15" s="3178"/>
      <c r="AQ15" s="3179"/>
      <c r="AR15" s="3179"/>
      <c r="AS15" s="3179"/>
      <c r="AT15" s="3180"/>
      <c r="AU15" s="113"/>
    </row>
    <row r="16" spans="1:51" ht="15" customHeight="1" x14ac:dyDescent="0.15">
      <c r="B16" s="3149">
        <v>2</v>
      </c>
      <c r="C16" s="3151">
        <f>名簿入力!D17</f>
        <v>0</v>
      </c>
      <c r="D16" s="3152"/>
      <c r="E16" s="3155">
        <f>名簿入力!E17</f>
        <v>0</v>
      </c>
      <c r="F16" s="3157">
        <f>名簿入力!G17</f>
        <v>0</v>
      </c>
      <c r="G16" s="3159">
        <f>名簿入力!H17</f>
        <v>0</v>
      </c>
      <c r="H16" s="3161">
        <f>名簿入力!I17</f>
        <v>0</v>
      </c>
      <c r="I16" s="3162"/>
      <c r="J16" s="3165">
        <f>名簿入力!K17</f>
        <v>0</v>
      </c>
      <c r="K16" s="3167">
        <f>名簿入力!L17</f>
        <v>0</v>
      </c>
      <c r="L16" s="3161">
        <f>名簿入力!M17</f>
        <v>0</v>
      </c>
      <c r="M16" s="3169"/>
      <c r="N16" s="3165">
        <f>名簿入力!O17</f>
        <v>0</v>
      </c>
      <c r="O16" s="3165">
        <f>名簿入力!P17</f>
        <v>0</v>
      </c>
      <c r="P16" s="3167">
        <f>名簿入力!Q17</f>
        <v>0</v>
      </c>
      <c r="Q16" s="3161">
        <f>名簿入力!R17</f>
        <v>0</v>
      </c>
      <c r="R16" s="3162"/>
      <c r="S16" s="3165">
        <f>名簿入力!T17</f>
        <v>0</v>
      </c>
      <c r="T16" s="3165">
        <f>名簿入力!U17</f>
        <v>0</v>
      </c>
      <c r="U16" s="3167">
        <f>名簿入力!V17</f>
        <v>0</v>
      </c>
      <c r="V16" s="3161">
        <f>名簿入力!W17</f>
        <v>0</v>
      </c>
      <c r="W16" s="3162"/>
      <c r="X16" s="3165">
        <f>名簿入力!Y17</f>
        <v>0</v>
      </c>
      <c r="Y16" s="3165">
        <f>名簿入力!Z17</f>
        <v>0</v>
      </c>
      <c r="Z16" s="3167">
        <f>名簿入力!AA17</f>
        <v>0</v>
      </c>
      <c r="AA16" s="3161">
        <f>名簿入力!AB17</f>
        <v>0</v>
      </c>
      <c r="AB16" s="3162"/>
      <c r="AC16" s="3165">
        <f>名簿入力!AD17</f>
        <v>0</v>
      </c>
      <c r="AD16" s="3165">
        <f>名簿入力!AE17</f>
        <v>0</v>
      </c>
      <c r="AE16" s="3167">
        <f>名簿入力!AF17</f>
        <v>0</v>
      </c>
      <c r="AF16" s="3161">
        <f>名簿入力!AG17</f>
        <v>0</v>
      </c>
      <c r="AG16" s="3162"/>
      <c r="AH16" s="3165">
        <f>名簿入力!AI17</f>
        <v>0</v>
      </c>
      <c r="AI16" s="3165">
        <f>名簿入力!AJ17</f>
        <v>0</v>
      </c>
      <c r="AJ16" s="3175">
        <f>名簿入力!AK17</f>
        <v>0</v>
      </c>
      <c r="AK16" s="3176"/>
      <c r="AL16" s="3176"/>
      <c r="AM16" s="3176"/>
      <c r="AN16" s="3176"/>
      <c r="AO16" s="3177"/>
      <c r="AP16" s="3137">
        <f>名簿入力!AO17</f>
        <v>0</v>
      </c>
      <c r="AQ16" s="3138"/>
      <c r="AR16" s="3138"/>
      <c r="AS16" s="3138"/>
      <c r="AT16" s="3139"/>
      <c r="AU16" s="113"/>
    </row>
    <row r="17" spans="2:47" ht="15" customHeight="1" x14ac:dyDescent="0.15">
      <c r="B17" s="3181"/>
      <c r="C17" s="3182"/>
      <c r="D17" s="3183"/>
      <c r="E17" s="3184"/>
      <c r="F17" s="3185"/>
      <c r="G17" s="3186"/>
      <c r="H17" s="3173"/>
      <c r="I17" s="3174"/>
      <c r="J17" s="3171"/>
      <c r="K17" s="3172"/>
      <c r="L17" s="3173"/>
      <c r="M17" s="3187"/>
      <c r="N17" s="3171"/>
      <c r="O17" s="3171"/>
      <c r="P17" s="3172"/>
      <c r="Q17" s="3173"/>
      <c r="R17" s="3174"/>
      <c r="S17" s="3171"/>
      <c r="T17" s="3171"/>
      <c r="U17" s="3172"/>
      <c r="V17" s="3173"/>
      <c r="W17" s="3174"/>
      <c r="X17" s="3171"/>
      <c r="Y17" s="3171"/>
      <c r="Z17" s="3172"/>
      <c r="AA17" s="3173"/>
      <c r="AB17" s="3174"/>
      <c r="AC17" s="3171"/>
      <c r="AD17" s="3171"/>
      <c r="AE17" s="3172"/>
      <c r="AF17" s="3173"/>
      <c r="AG17" s="3174"/>
      <c r="AH17" s="3171"/>
      <c r="AI17" s="3171"/>
      <c r="AJ17" s="3146">
        <f>名簿入力!AK18</f>
        <v>0</v>
      </c>
      <c r="AK17" s="3147"/>
      <c r="AL17" s="3147"/>
      <c r="AM17" s="3147"/>
      <c r="AN17" s="3147"/>
      <c r="AO17" s="3148"/>
      <c r="AP17" s="3178"/>
      <c r="AQ17" s="3179"/>
      <c r="AR17" s="3179"/>
      <c r="AS17" s="3179"/>
      <c r="AT17" s="3180"/>
      <c r="AU17" s="113"/>
    </row>
    <row r="18" spans="2:47" ht="15" customHeight="1" x14ac:dyDescent="0.15">
      <c r="B18" s="3149">
        <v>3</v>
      </c>
      <c r="C18" s="3151">
        <f>名簿入力!D19</f>
        <v>0</v>
      </c>
      <c r="D18" s="3152"/>
      <c r="E18" s="3155">
        <f>名簿入力!E19</f>
        <v>0</v>
      </c>
      <c r="F18" s="3157">
        <f>名簿入力!G19</f>
        <v>0</v>
      </c>
      <c r="G18" s="3159">
        <f>名簿入力!H19</f>
        <v>0</v>
      </c>
      <c r="H18" s="3161">
        <f>名簿入力!I19</f>
        <v>0</v>
      </c>
      <c r="I18" s="3162"/>
      <c r="J18" s="3165">
        <f>名簿入力!K19</f>
        <v>0</v>
      </c>
      <c r="K18" s="3167">
        <f>名簿入力!L19</f>
        <v>0</v>
      </c>
      <c r="L18" s="3161">
        <f>名簿入力!M19</f>
        <v>0</v>
      </c>
      <c r="M18" s="3169"/>
      <c r="N18" s="3165">
        <f>名簿入力!O19</f>
        <v>0</v>
      </c>
      <c r="O18" s="3165">
        <f>名簿入力!P19</f>
        <v>0</v>
      </c>
      <c r="P18" s="3167">
        <f>名簿入力!Q19</f>
        <v>0</v>
      </c>
      <c r="Q18" s="3161">
        <f>名簿入力!R19</f>
        <v>0</v>
      </c>
      <c r="R18" s="3162"/>
      <c r="S18" s="3165">
        <f>名簿入力!T19</f>
        <v>0</v>
      </c>
      <c r="T18" s="3165">
        <f>名簿入力!U19</f>
        <v>0</v>
      </c>
      <c r="U18" s="3167">
        <f>名簿入力!V19</f>
        <v>0</v>
      </c>
      <c r="V18" s="3161">
        <f>名簿入力!W19</f>
        <v>0</v>
      </c>
      <c r="W18" s="3162"/>
      <c r="X18" s="3165">
        <f>名簿入力!Y19</f>
        <v>0</v>
      </c>
      <c r="Y18" s="3165">
        <f>名簿入力!Z19</f>
        <v>0</v>
      </c>
      <c r="Z18" s="3167">
        <f>名簿入力!AA19</f>
        <v>0</v>
      </c>
      <c r="AA18" s="3161">
        <f>名簿入力!AB19</f>
        <v>0</v>
      </c>
      <c r="AB18" s="3162"/>
      <c r="AC18" s="3165">
        <f>名簿入力!AD19</f>
        <v>0</v>
      </c>
      <c r="AD18" s="3165">
        <f>名簿入力!AE19</f>
        <v>0</v>
      </c>
      <c r="AE18" s="3167">
        <f>名簿入力!AF19</f>
        <v>0</v>
      </c>
      <c r="AF18" s="3161">
        <f>名簿入力!AG19</f>
        <v>0</v>
      </c>
      <c r="AG18" s="3162"/>
      <c r="AH18" s="3165">
        <f>名簿入力!AI19</f>
        <v>0</v>
      </c>
      <c r="AI18" s="3165">
        <f>名簿入力!AJ19</f>
        <v>0</v>
      </c>
      <c r="AJ18" s="3175">
        <f>名簿入力!AK19</f>
        <v>0</v>
      </c>
      <c r="AK18" s="3176"/>
      <c r="AL18" s="3176"/>
      <c r="AM18" s="3176"/>
      <c r="AN18" s="3176"/>
      <c r="AO18" s="3177"/>
      <c r="AP18" s="3137">
        <f>名簿入力!AO19</f>
        <v>0</v>
      </c>
      <c r="AQ18" s="3138"/>
      <c r="AR18" s="3138"/>
      <c r="AS18" s="3138"/>
      <c r="AT18" s="3139"/>
      <c r="AU18" s="113"/>
    </row>
    <row r="19" spans="2:47" ht="15" customHeight="1" x14ac:dyDescent="0.15">
      <c r="B19" s="3181"/>
      <c r="C19" s="3182"/>
      <c r="D19" s="3183"/>
      <c r="E19" s="3184"/>
      <c r="F19" s="3185"/>
      <c r="G19" s="3186"/>
      <c r="H19" s="3173"/>
      <c r="I19" s="3174"/>
      <c r="J19" s="3171"/>
      <c r="K19" s="3172"/>
      <c r="L19" s="3173"/>
      <c r="M19" s="3187"/>
      <c r="N19" s="3171"/>
      <c r="O19" s="3171"/>
      <c r="P19" s="3172"/>
      <c r="Q19" s="3173"/>
      <c r="R19" s="3174"/>
      <c r="S19" s="3171"/>
      <c r="T19" s="3171"/>
      <c r="U19" s="3172"/>
      <c r="V19" s="3173"/>
      <c r="W19" s="3174"/>
      <c r="X19" s="3171"/>
      <c r="Y19" s="3171"/>
      <c r="Z19" s="3172"/>
      <c r="AA19" s="3173"/>
      <c r="AB19" s="3174"/>
      <c r="AC19" s="3171"/>
      <c r="AD19" s="3171"/>
      <c r="AE19" s="3172"/>
      <c r="AF19" s="3173"/>
      <c r="AG19" s="3174"/>
      <c r="AH19" s="3171"/>
      <c r="AI19" s="3171"/>
      <c r="AJ19" s="3146">
        <f>名簿入力!AK20</f>
        <v>0</v>
      </c>
      <c r="AK19" s="3147"/>
      <c r="AL19" s="3147"/>
      <c r="AM19" s="3147"/>
      <c r="AN19" s="3147"/>
      <c r="AO19" s="3148"/>
      <c r="AP19" s="3178"/>
      <c r="AQ19" s="3179"/>
      <c r="AR19" s="3179"/>
      <c r="AS19" s="3179"/>
      <c r="AT19" s="3180"/>
      <c r="AU19" s="113"/>
    </row>
    <row r="20" spans="2:47" ht="15" customHeight="1" x14ac:dyDescent="0.15">
      <c r="B20" s="3149">
        <v>4</v>
      </c>
      <c r="C20" s="3151">
        <f>名簿入力!D21</f>
        <v>0</v>
      </c>
      <c r="D20" s="3152"/>
      <c r="E20" s="3155">
        <f>名簿入力!E21</f>
        <v>0</v>
      </c>
      <c r="F20" s="3157">
        <f>名簿入力!G21</f>
        <v>0</v>
      </c>
      <c r="G20" s="3159">
        <f>名簿入力!H21</f>
        <v>0</v>
      </c>
      <c r="H20" s="3161">
        <f>名簿入力!I21</f>
        <v>0</v>
      </c>
      <c r="I20" s="3162"/>
      <c r="J20" s="3165">
        <f>名簿入力!K21</f>
        <v>0</v>
      </c>
      <c r="K20" s="3167">
        <f>名簿入力!L21</f>
        <v>0</v>
      </c>
      <c r="L20" s="3161">
        <f>名簿入力!M21</f>
        <v>0</v>
      </c>
      <c r="M20" s="3169"/>
      <c r="N20" s="3165">
        <f>名簿入力!O21</f>
        <v>0</v>
      </c>
      <c r="O20" s="3165">
        <f>名簿入力!P21</f>
        <v>0</v>
      </c>
      <c r="P20" s="3167">
        <f>名簿入力!Q21</f>
        <v>0</v>
      </c>
      <c r="Q20" s="3161">
        <f>名簿入力!R21</f>
        <v>0</v>
      </c>
      <c r="R20" s="3162"/>
      <c r="S20" s="3165">
        <f>名簿入力!T21</f>
        <v>0</v>
      </c>
      <c r="T20" s="3165">
        <f>名簿入力!U21</f>
        <v>0</v>
      </c>
      <c r="U20" s="3167">
        <f>名簿入力!V21</f>
        <v>0</v>
      </c>
      <c r="V20" s="3161">
        <f>名簿入力!W21</f>
        <v>0</v>
      </c>
      <c r="W20" s="3162"/>
      <c r="X20" s="3165">
        <f>名簿入力!Y21</f>
        <v>0</v>
      </c>
      <c r="Y20" s="3165">
        <f>名簿入力!Z21</f>
        <v>0</v>
      </c>
      <c r="Z20" s="3167">
        <f>名簿入力!AA21</f>
        <v>0</v>
      </c>
      <c r="AA20" s="3161">
        <f>名簿入力!AB21</f>
        <v>0</v>
      </c>
      <c r="AB20" s="3162"/>
      <c r="AC20" s="3165">
        <f>名簿入力!AD21</f>
        <v>0</v>
      </c>
      <c r="AD20" s="3165">
        <f>名簿入力!AE21</f>
        <v>0</v>
      </c>
      <c r="AE20" s="3167">
        <f>名簿入力!AF21</f>
        <v>0</v>
      </c>
      <c r="AF20" s="3161">
        <f>名簿入力!AG21</f>
        <v>0</v>
      </c>
      <c r="AG20" s="3162"/>
      <c r="AH20" s="3165">
        <f>名簿入力!AI21</f>
        <v>0</v>
      </c>
      <c r="AI20" s="3165">
        <f>名簿入力!AJ21</f>
        <v>0</v>
      </c>
      <c r="AJ20" s="3175">
        <f>名簿入力!AK21</f>
        <v>0</v>
      </c>
      <c r="AK20" s="3176"/>
      <c r="AL20" s="3176"/>
      <c r="AM20" s="3176"/>
      <c r="AN20" s="3176"/>
      <c r="AO20" s="3177"/>
      <c r="AP20" s="3137">
        <f>名簿入力!AO21</f>
        <v>0</v>
      </c>
      <c r="AQ20" s="3138"/>
      <c r="AR20" s="3138"/>
      <c r="AS20" s="3138"/>
      <c r="AT20" s="3139"/>
      <c r="AU20" s="113"/>
    </row>
    <row r="21" spans="2:47" ht="15" customHeight="1" x14ac:dyDescent="0.15">
      <c r="B21" s="3181"/>
      <c r="C21" s="3182"/>
      <c r="D21" s="3183"/>
      <c r="E21" s="3184"/>
      <c r="F21" s="3185"/>
      <c r="G21" s="3186"/>
      <c r="H21" s="3173"/>
      <c r="I21" s="3174"/>
      <c r="J21" s="3171"/>
      <c r="K21" s="3172"/>
      <c r="L21" s="3173"/>
      <c r="M21" s="3187"/>
      <c r="N21" s="3171"/>
      <c r="O21" s="3171"/>
      <c r="P21" s="3172"/>
      <c r="Q21" s="3173"/>
      <c r="R21" s="3174"/>
      <c r="S21" s="3171"/>
      <c r="T21" s="3171"/>
      <c r="U21" s="3172"/>
      <c r="V21" s="3173"/>
      <c r="W21" s="3174"/>
      <c r="X21" s="3171"/>
      <c r="Y21" s="3171"/>
      <c r="Z21" s="3172"/>
      <c r="AA21" s="3173"/>
      <c r="AB21" s="3174"/>
      <c r="AC21" s="3171"/>
      <c r="AD21" s="3171"/>
      <c r="AE21" s="3172"/>
      <c r="AF21" s="3173"/>
      <c r="AG21" s="3174"/>
      <c r="AH21" s="3171"/>
      <c r="AI21" s="3171"/>
      <c r="AJ21" s="3146">
        <f>名簿入力!AK22</f>
        <v>0</v>
      </c>
      <c r="AK21" s="3147"/>
      <c r="AL21" s="3147"/>
      <c r="AM21" s="3147"/>
      <c r="AN21" s="3147"/>
      <c r="AO21" s="3148"/>
      <c r="AP21" s="3178"/>
      <c r="AQ21" s="3179"/>
      <c r="AR21" s="3179"/>
      <c r="AS21" s="3179"/>
      <c r="AT21" s="3180"/>
      <c r="AU21" s="113"/>
    </row>
    <row r="22" spans="2:47" ht="15" customHeight="1" x14ac:dyDescent="0.15">
      <c r="B22" s="3149">
        <v>5</v>
      </c>
      <c r="C22" s="3151">
        <f>名簿入力!D23</f>
        <v>0</v>
      </c>
      <c r="D22" s="3152"/>
      <c r="E22" s="3155">
        <f>名簿入力!E23</f>
        <v>0</v>
      </c>
      <c r="F22" s="3157">
        <f>名簿入力!G23</f>
        <v>0</v>
      </c>
      <c r="G22" s="3159">
        <f>名簿入力!H23</f>
        <v>0</v>
      </c>
      <c r="H22" s="3161">
        <f>名簿入力!I23</f>
        <v>0</v>
      </c>
      <c r="I22" s="3162"/>
      <c r="J22" s="3165">
        <f>名簿入力!K23</f>
        <v>0</v>
      </c>
      <c r="K22" s="3167">
        <f>名簿入力!L23</f>
        <v>0</v>
      </c>
      <c r="L22" s="3161">
        <f>名簿入力!M23</f>
        <v>0</v>
      </c>
      <c r="M22" s="3169"/>
      <c r="N22" s="3165">
        <f>名簿入力!O23</f>
        <v>0</v>
      </c>
      <c r="O22" s="3165">
        <f>名簿入力!P23</f>
        <v>0</v>
      </c>
      <c r="P22" s="3167">
        <f>名簿入力!Q23</f>
        <v>0</v>
      </c>
      <c r="Q22" s="3161">
        <f>名簿入力!R23</f>
        <v>0</v>
      </c>
      <c r="R22" s="3162"/>
      <c r="S22" s="3165">
        <f>名簿入力!T23</f>
        <v>0</v>
      </c>
      <c r="T22" s="3165">
        <f>名簿入力!U23</f>
        <v>0</v>
      </c>
      <c r="U22" s="3167">
        <f>名簿入力!V23</f>
        <v>0</v>
      </c>
      <c r="V22" s="3161">
        <f>名簿入力!W23</f>
        <v>0</v>
      </c>
      <c r="W22" s="3162"/>
      <c r="X22" s="3165">
        <f>名簿入力!Y23</f>
        <v>0</v>
      </c>
      <c r="Y22" s="3165">
        <f>名簿入力!Z23</f>
        <v>0</v>
      </c>
      <c r="Z22" s="3167">
        <f>名簿入力!AA23</f>
        <v>0</v>
      </c>
      <c r="AA22" s="3161">
        <f>名簿入力!AB23</f>
        <v>0</v>
      </c>
      <c r="AB22" s="3162"/>
      <c r="AC22" s="3165">
        <f>名簿入力!AD23</f>
        <v>0</v>
      </c>
      <c r="AD22" s="3165">
        <f>名簿入力!AE23</f>
        <v>0</v>
      </c>
      <c r="AE22" s="3167">
        <f>名簿入力!AF23</f>
        <v>0</v>
      </c>
      <c r="AF22" s="3161">
        <f>名簿入力!AG23</f>
        <v>0</v>
      </c>
      <c r="AG22" s="3162"/>
      <c r="AH22" s="3165">
        <f>名簿入力!AI23</f>
        <v>0</v>
      </c>
      <c r="AI22" s="3165">
        <f>名簿入力!AJ23</f>
        <v>0</v>
      </c>
      <c r="AJ22" s="3175">
        <f>名簿入力!AK23</f>
        <v>0</v>
      </c>
      <c r="AK22" s="3176"/>
      <c r="AL22" s="3176"/>
      <c r="AM22" s="3176"/>
      <c r="AN22" s="3176"/>
      <c r="AO22" s="3177"/>
      <c r="AP22" s="3137">
        <f>名簿入力!AO23</f>
        <v>0</v>
      </c>
      <c r="AQ22" s="3138"/>
      <c r="AR22" s="3138"/>
      <c r="AS22" s="3138"/>
      <c r="AT22" s="3139"/>
      <c r="AU22" s="113"/>
    </row>
    <row r="23" spans="2:47" ht="15" customHeight="1" x14ac:dyDescent="0.15">
      <c r="B23" s="3181"/>
      <c r="C23" s="3182"/>
      <c r="D23" s="3183"/>
      <c r="E23" s="3184"/>
      <c r="F23" s="3185"/>
      <c r="G23" s="3186"/>
      <c r="H23" s="3173"/>
      <c r="I23" s="3174"/>
      <c r="J23" s="3171"/>
      <c r="K23" s="3172"/>
      <c r="L23" s="3173"/>
      <c r="M23" s="3187"/>
      <c r="N23" s="3171"/>
      <c r="O23" s="3171"/>
      <c r="P23" s="3172"/>
      <c r="Q23" s="3173"/>
      <c r="R23" s="3174"/>
      <c r="S23" s="3171"/>
      <c r="T23" s="3171"/>
      <c r="U23" s="3172"/>
      <c r="V23" s="3173"/>
      <c r="W23" s="3174"/>
      <c r="X23" s="3171"/>
      <c r="Y23" s="3171"/>
      <c r="Z23" s="3172"/>
      <c r="AA23" s="3173"/>
      <c r="AB23" s="3174"/>
      <c r="AC23" s="3171"/>
      <c r="AD23" s="3171"/>
      <c r="AE23" s="3172"/>
      <c r="AF23" s="3173"/>
      <c r="AG23" s="3174"/>
      <c r="AH23" s="3171"/>
      <c r="AI23" s="3171"/>
      <c r="AJ23" s="3146">
        <f>名簿入力!AK24</f>
        <v>0</v>
      </c>
      <c r="AK23" s="3147"/>
      <c r="AL23" s="3147"/>
      <c r="AM23" s="3147"/>
      <c r="AN23" s="3147"/>
      <c r="AO23" s="3148"/>
      <c r="AP23" s="3178"/>
      <c r="AQ23" s="3179"/>
      <c r="AR23" s="3179"/>
      <c r="AS23" s="3179"/>
      <c r="AT23" s="3180"/>
      <c r="AU23" s="113"/>
    </row>
    <row r="24" spans="2:47" ht="15" customHeight="1" x14ac:dyDescent="0.15">
      <c r="B24" s="3149">
        <v>6</v>
      </c>
      <c r="C24" s="3151">
        <f>名簿入力!D25</f>
        <v>0</v>
      </c>
      <c r="D24" s="3152"/>
      <c r="E24" s="3155">
        <f>名簿入力!E25</f>
        <v>0</v>
      </c>
      <c r="F24" s="3157">
        <f>名簿入力!G25</f>
        <v>0</v>
      </c>
      <c r="G24" s="3159">
        <f>名簿入力!H25</f>
        <v>0</v>
      </c>
      <c r="H24" s="3161">
        <f>名簿入力!I25</f>
        <v>0</v>
      </c>
      <c r="I24" s="3162"/>
      <c r="J24" s="3165">
        <f>名簿入力!K25</f>
        <v>0</v>
      </c>
      <c r="K24" s="3167">
        <f>名簿入力!L25</f>
        <v>0</v>
      </c>
      <c r="L24" s="3161">
        <f>名簿入力!M25</f>
        <v>0</v>
      </c>
      <c r="M24" s="3169"/>
      <c r="N24" s="3165">
        <f>名簿入力!O25</f>
        <v>0</v>
      </c>
      <c r="O24" s="3165">
        <f>名簿入力!P25</f>
        <v>0</v>
      </c>
      <c r="P24" s="3167">
        <f>名簿入力!Q25</f>
        <v>0</v>
      </c>
      <c r="Q24" s="3161">
        <f>名簿入力!R25</f>
        <v>0</v>
      </c>
      <c r="R24" s="3162"/>
      <c r="S24" s="3165">
        <f>名簿入力!T25</f>
        <v>0</v>
      </c>
      <c r="T24" s="3165">
        <f>名簿入力!U25</f>
        <v>0</v>
      </c>
      <c r="U24" s="3167">
        <f>名簿入力!V25</f>
        <v>0</v>
      </c>
      <c r="V24" s="3161">
        <f>名簿入力!W25</f>
        <v>0</v>
      </c>
      <c r="W24" s="3162"/>
      <c r="X24" s="3165">
        <f>名簿入力!Y25</f>
        <v>0</v>
      </c>
      <c r="Y24" s="3165">
        <f>名簿入力!Z25</f>
        <v>0</v>
      </c>
      <c r="Z24" s="3167">
        <f>名簿入力!AA25</f>
        <v>0</v>
      </c>
      <c r="AA24" s="3161">
        <f>名簿入力!AB25</f>
        <v>0</v>
      </c>
      <c r="AB24" s="3162"/>
      <c r="AC24" s="3165">
        <f>名簿入力!AD25</f>
        <v>0</v>
      </c>
      <c r="AD24" s="3165">
        <f>名簿入力!AE25</f>
        <v>0</v>
      </c>
      <c r="AE24" s="3167">
        <f>名簿入力!AF25</f>
        <v>0</v>
      </c>
      <c r="AF24" s="3161">
        <f>名簿入力!AG25</f>
        <v>0</v>
      </c>
      <c r="AG24" s="3162"/>
      <c r="AH24" s="3165">
        <f>名簿入力!AI25</f>
        <v>0</v>
      </c>
      <c r="AI24" s="3165">
        <f>名簿入力!AJ25</f>
        <v>0</v>
      </c>
      <c r="AJ24" s="3175">
        <f>名簿入力!AK25</f>
        <v>0</v>
      </c>
      <c r="AK24" s="3176"/>
      <c r="AL24" s="3176"/>
      <c r="AM24" s="3176"/>
      <c r="AN24" s="3176"/>
      <c r="AO24" s="3177"/>
      <c r="AP24" s="3137">
        <f>名簿入力!AO25</f>
        <v>0</v>
      </c>
      <c r="AQ24" s="3138"/>
      <c r="AR24" s="3138"/>
      <c r="AS24" s="3138"/>
      <c r="AT24" s="3139"/>
      <c r="AU24" s="113"/>
    </row>
    <row r="25" spans="2:47" ht="15" customHeight="1" x14ac:dyDescent="0.15">
      <c r="B25" s="3181"/>
      <c r="C25" s="3182"/>
      <c r="D25" s="3183"/>
      <c r="E25" s="3184"/>
      <c r="F25" s="3185"/>
      <c r="G25" s="3186"/>
      <c r="H25" s="3173"/>
      <c r="I25" s="3174"/>
      <c r="J25" s="3171"/>
      <c r="K25" s="3172"/>
      <c r="L25" s="3173"/>
      <c r="M25" s="3187"/>
      <c r="N25" s="3171"/>
      <c r="O25" s="3171"/>
      <c r="P25" s="3172"/>
      <c r="Q25" s="3173"/>
      <c r="R25" s="3174"/>
      <c r="S25" s="3171"/>
      <c r="T25" s="3171"/>
      <c r="U25" s="3172"/>
      <c r="V25" s="3173"/>
      <c r="W25" s="3174"/>
      <c r="X25" s="3171"/>
      <c r="Y25" s="3171"/>
      <c r="Z25" s="3172"/>
      <c r="AA25" s="3173"/>
      <c r="AB25" s="3174"/>
      <c r="AC25" s="3171"/>
      <c r="AD25" s="3171"/>
      <c r="AE25" s="3172"/>
      <c r="AF25" s="3173"/>
      <c r="AG25" s="3174"/>
      <c r="AH25" s="3171"/>
      <c r="AI25" s="3171"/>
      <c r="AJ25" s="3146">
        <f>名簿入力!AK26</f>
        <v>0</v>
      </c>
      <c r="AK25" s="3147"/>
      <c r="AL25" s="3147"/>
      <c r="AM25" s="3147"/>
      <c r="AN25" s="3147"/>
      <c r="AO25" s="3148"/>
      <c r="AP25" s="3178"/>
      <c r="AQ25" s="3179"/>
      <c r="AR25" s="3179"/>
      <c r="AS25" s="3179"/>
      <c r="AT25" s="3180"/>
      <c r="AU25" s="113"/>
    </row>
    <row r="26" spans="2:47" ht="15" customHeight="1" x14ac:dyDescent="0.15">
      <c r="B26" s="3149">
        <v>7</v>
      </c>
      <c r="C26" s="3151">
        <f>名簿入力!D27</f>
        <v>0</v>
      </c>
      <c r="D26" s="3152"/>
      <c r="E26" s="3155">
        <f>名簿入力!E27</f>
        <v>0</v>
      </c>
      <c r="F26" s="3157">
        <f>名簿入力!G27</f>
        <v>0</v>
      </c>
      <c r="G26" s="3159">
        <f>名簿入力!H27</f>
        <v>0</v>
      </c>
      <c r="H26" s="3161">
        <f>名簿入力!I27</f>
        <v>0</v>
      </c>
      <c r="I26" s="3162"/>
      <c r="J26" s="3165">
        <f>名簿入力!K27</f>
        <v>0</v>
      </c>
      <c r="K26" s="3167">
        <f>名簿入力!L27</f>
        <v>0</v>
      </c>
      <c r="L26" s="3161">
        <f>名簿入力!M27</f>
        <v>0</v>
      </c>
      <c r="M26" s="3169"/>
      <c r="N26" s="3165">
        <f>名簿入力!O27</f>
        <v>0</v>
      </c>
      <c r="O26" s="3165">
        <f>名簿入力!P27</f>
        <v>0</v>
      </c>
      <c r="P26" s="3167">
        <f>名簿入力!Q27</f>
        <v>0</v>
      </c>
      <c r="Q26" s="3161">
        <f>名簿入力!R27</f>
        <v>0</v>
      </c>
      <c r="R26" s="3162"/>
      <c r="S26" s="3165">
        <f>名簿入力!T27</f>
        <v>0</v>
      </c>
      <c r="T26" s="3165">
        <f>名簿入力!U27</f>
        <v>0</v>
      </c>
      <c r="U26" s="3167">
        <f>名簿入力!V27</f>
        <v>0</v>
      </c>
      <c r="V26" s="3161">
        <f>名簿入力!W27</f>
        <v>0</v>
      </c>
      <c r="W26" s="3162"/>
      <c r="X26" s="3165">
        <f>名簿入力!Y27</f>
        <v>0</v>
      </c>
      <c r="Y26" s="3165">
        <f>名簿入力!Z27</f>
        <v>0</v>
      </c>
      <c r="Z26" s="3167">
        <f>名簿入力!AA27</f>
        <v>0</v>
      </c>
      <c r="AA26" s="3161">
        <f>名簿入力!AB27</f>
        <v>0</v>
      </c>
      <c r="AB26" s="3162"/>
      <c r="AC26" s="3165">
        <f>名簿入力!AD27</f>
        <v>0</v>
      </c>
      <c r="AD26" s="3165">
        <f>名簿入力!AE27</f>
        <v>0</v>
      </c>
      <c r="AE26" s="3167">
        <f>名簿入力!AF27</f>
        <v>0</v>
      </c>
      <c r="AF26" s="3161">
        <f>名簿入力!AG27</f>
        <v>0</v>
      </c>
      <c r="AG26" s="3162"/>
      <c r="AH26" s="3165">
        <f>名簿入力!AI27</f>
        <v>0</v>
      </c>
      <c r="AI26" s="3165">
        <f>名簿入力!AJ27</f>
        <v>0</v>
      </c>
      <c r="AJ26" s="3175">
        <f>名簿入力!AK27</f>
        <v>0</v>
      </c>
      <c r="AK26" s="3176"/>
      <c r="AL26" s="3176"/>
      <c r="AM26" s="3176"/>
      <c r="AN26" s="3176"/>
      <c r="AO26" s="3177"/>
      <c r="AP26" s="3137">
        <f>名簿入力!AO27</f>
        <v>0</v>
      </c>
      <c r="AQ26" s="3138"/>
      <c r="AR26" s="3138"/>
      <c r="AS26" s="3138"/>
      <c r="AT26" s="3139"/>
      <c r="AU26" s="113"/>
    </row>
    <row r="27" spans="2:47" ht="15" customHeight="1" x14ac:dyDescent="0.15">
      <c r="B27" s="3181"/>
      <c r="C27" s="3182"/>
      <c r="D27" s="3183"/>
      <c r="E27" s="3184"/>
      <c r="F27" s="3185"/>
      <c r="G27" s="3186"/>
      <c r="H27" s="3173"/>
      <c r="I27" s="3174"/>
      <c r="J27" s="3171"/>
      <c r="K27" s="3172"/>
      <c r="L27" s="3173"/>
      <c r="M27" s="3187"/>
      <c r="N27" s="3171"/>
      <c r="O27" s="3171"/>
      <c r="P27" s="3172"/>
      <c r="Q27" s="3173"/>
      <c r="R27" s="3174"/>
      <c r="S27" s="3171"/>
      <c r="T27" s="3171"/>
      <c r="U27" s="3172"/>
      <c r="V27" s="3173"/>
      <c r="W27" s="3174"/>
      <c r="X27" s="3171"/>
      <c r="Y27" s="3171"/>
      <c r="Z27" s="3172"/>
      <c r="AA27" s="3173"/>
      <c r="AB27" s="3174"/>
      <c r="AC27" s="3171"/>
      <c r="AD27" s="3171"/>
      <c r="AE27" s="3172"/>
      <c r="AF27" s="3173"/>
      <c r="AG27" s="3174"/>
      <c r="AH27" s="3171"/>
      <c r="AI27" s="3171"/>
      <c r="AJ27" s="3146">
        <f>名簿入力!AK28</f>
        <v>0</v>
      </c>
      <c r="AK27" s="3147"/>
      <c r="AL27" s="3147"/>
      <c r="AM27" s="3147"/>
      <c r="AN27" s="3147"/>
      <c r="AO27" s="3148"/>
      <c r="AP27" s="3178"/>
      <c r="AQ27" s="3179"/>
      <c r="AR27" s="3179"/>
      <c r="AS27" s="3179"/>
      <c r="AT27" s="3180"/>
      <c r="AU27" s="113"/>
    </row>
    <row r="28" spans="2:47" ht="15" customHeight="1" x14ac:dyDescent="0.15">
      <c r="B28" s="3149">
        <v>8</v>
      </c>
      <c r="C28" s="3151">
        <f>名簿入力!D29</f>
        <v>0</v>
      </c>
      <c r="D28" s="3152"/>
      <c r="E28" s="3155">
        <f>名簿入力!E29</f>
        <v>0</v>
      </c>
      <c r="F28" s="3157">
        <f>名簿入力!G29</f>
        <v>0</v>
      </c>
      <c r="G28" s="3159">
        <f>名簿入力!H29</f>
        <v>0</v>
      </c>
      <c r="H28" s="3161">
        <f>名簿入力!I29</f>
        <v>0</v>
      </c>
      <c r="I28" s="3162"/>
      <c r="J28" s="3165">
        <f>名簿入力!K29</f>
        <v>0</v>
      </c>
      <c r="K28" s="3167">
        <f>名簿入力!L29</f>
        <v>0</v>
      </c>
      <c r="L28" s="3161">
        <f>名簿入力!M29</f>
        <v>0</v>
      </c>
      <c r="M28" s="3169"/>
      <c r="N28" s="3165">
        <f>名簿入力!O29</f>
        <v>0</v>
      </c>
      <c r="O28" s="3165">
        <f>名簿入力!P29</f>
        <v>0</v>
      </c>
      <c r="P28" s="3167">
        <f>名簿入力!Q29</f>
        <v>0</v>
      </c>
      <c r="Q28" s="3161">
        <f>名簿入力!R29</f>
        <v>0</v>
      </c>
      <c r="R28" s="3162"/>
      <c r="S28" s="3165">
        <f>名簿入力!T29</f>
        <v>0</v>
      </c>
      <c r="T28" s="3165">
        <f>名簿入力!U29</f>
        <v>0</v>
      </c>
      <c r="U28" s="3167">
        <f>名簿入力!V29</f>
        <v>0</v>
      </c>
      <c r="V28" s="3161">
        <f>名簿入力!W29</f>
        <v>0</v>
      </c>
      <c r="W28" s="3162"/>
      <c r="X28" s="3165">
        <f>名簿入力!Y29</f>
        <v>0</v>
      </c>
      <c r="Y28" s="3165">
        <f>名簿入力!Z29</f>
        <v>0</v>
      </c>
      <c r="Z28" s="3167">
        <f>名簿入力!AA29</f>
        <v>0</v>
      </c>
      <c r="AA28" s="3161">
        <f>名簿入力!AB29</f>
        <v>0</v>
      </c>
      <c r="AB28" s="3162"/>
      <c r="AC28" s="3165">
        <f>名簿入力!AD29</f>
        <v>0</v>
      </c>
      <c r="AD28" s="3165">
        <f>名簿入力!AE29</f>
        <v>0</v>
      </c>
      <c r="AE28" s="3167">
        <f>名簿入力!AF29</f>
        <v>0</v>
      </c>
      <c r="AF28" s="3161">
        <f>名簿入力!AG29</f>
        <v>0</v>
      </c>
      <c r="AG28" s="3162"/>
      <c r="AH28" s="3165">
        <f>名簿入力!AI29</f>
        <v>0</v>
      </c>
      <c r="AI28" s="3165">
        <f>名簿入力!AJ29</f>
        <v>0</v>
      </c>
      <c r="AJ28" s="3175">
        <f>名簿入力!AK29</f>
        <v>0</v>
      </c>
      <c r="AK28" s="3176"/>
      <c r="AL28" s="3176"/>
      <c r="AM28" s="3176"/>
      <c r="AN28" s="3176"/>
      <c r="AO28" s="3177"/>
      <c r="AP28" s="3137">
        <f>名簿入力!AO29</f>
        <v>0</v>
      </c>
      <c r="AQ28" s="3138"/>
      <c r="AR28" s="3138"/>
      <c r="AS28" s="3138"/>
      <c r="AT28" s="3139"/>
      <c r="AU28" s="113"/>
    </row>
    <row r="29" spans="2:47" ht="15" customHeight="1" x14ac:dyDescent="0.15">
      <c r="B29" s="3181"/>
      <c r="C29" s="3182"/>
      <c r="D29" s="3183"/>
      <c r="E29" s="3184"/>
      <c r="F29" s="3185"/>
      <c r="G29" s="3186"/>
      <c r="H29" s="3173"/>
      <c r="I29" s="3174"/>
      <c r="J29" s="3171"/>
      <c r="K29" s="3172"/>
      <c r="L29" s="3173"/>
      <c r="M29" s="3187"/>
      <c r="N29" s="3171"/>
      <c r="O29" s="3171"/>
      <c r="P29" s="3172"/>
      <c r="Q29" s="3173"/>
      <c r="R29" s="3174"/>
      <c r="S29" s="3171"/>
      <c r="T29" s="3171"/>
      <c r="U29" s="3172"/>
      <c r="V29" s="3173"/>
      <c r="W29" s="3174"/>
      <c r="X29" s="3171"/>
      <c r="Y29" s="3171"/>
      <c r="Z29" s="3172"/>
      <c r="AA29" s="3173"/>
      <c r="AB29" s="3174"/>
      <c r="AC29" s="3171"/>
      <c r="AD29" s="3171"/>
      <c r="AE29" s="3172"/>
      <c r="AF29" s="3173"/>
      <c r="AG29" s="3174"/>
      <c r="AH29" s="3171"/>
      <c r="AI29" s="3171"/>
      <c r="AJ29" s="3146">
        <f>名簿入力!AK30</f>
        <v>0</v>
      </c>
      <c r="AK29" s="3147"/>
      <c r="AL29" s="3147"/>
      <c r="AM29" s="3147"/>
      <c r="AN29" s="3147"/>
      <c r="AO29" s="3148"/>
      <c r="AP29" s="3178"/>
      <c r="AQ29" s="3179"/>
      <c r="AR29" s="3179"/>
      <c r="AS29" s="3179"/>
      <c r="AT29" s="3180"/>
      <c r="AU29" s="113"/>
    </row>
    <row r="30" spans="2:47" ht="15" customHeight="1" x14ac:dyDescent="0.15">
      <c r="B30" s="3149">
        <v>9</v>
      </c>
      <c r="C30" s="3151">
        <f>名簿入力!D31</f>
        <v>0</v>
      </c>
      <c r="D30" s="3152"/>
      <c r="E30" s="3155">
        <f>名簿入力!E31</f>
        <v>0</v>
      </c>
      <c r="F30" s="3157">
        <f>名簿入力!G31</f>
        <v>0</v>
      </c>
      <c r="G30" s="3159">
        <f>名簿入力!H31</f>
        <v>0</v>
      </c>
      <c r="H30" s="3161">
        <f>名簿入力!I31</f>
        <v>0</v>
      </c>
      <c r="I30" s="3162"/>
      <c r="J30" s="3165">
        <f>名簿入力!K31</f>
        <v>0</v>
      </c>
      <c r="K30" s="3167">
        <f>名簿入力!L31</f>
        <v>0</v>
      </c>
      <c r="L30" s="3161">
        <f>名簿入力!M31</f>
        <v>0</v>
      </c>
      <c r="M30" s="3169"/>
      <c r="N30" s="3165">
        <f>名簿入力!O31</f>
        <v>0</v>
      </c>
      <c r="O30" s="3165">
        <f>名簿入力!P31</f>
        <v>0</v>
      </c>
      <c r="P30" s="3167">
        <f>名簿入力!Q31</f>
        <v>0</v>
      </c>
      <c r="Q30" s="3161">
        <f>名簿入力!R31</f>
        <v>0</v>
      </c>
      <c r="R30" s="3162"/>
      <c r="S30" s="3165">
        <f>名簿入力!T31</f>
        <v>0</v>
      </c>
      <c r="T30" s="3165">
        <f>名簿入力!U31</f>
        <v>0</v>
      </c>
      <c r="U30" s="3167">
        <f>名簿入力!V31</f>
        <v>0</v>
      </c>
      <c r="V30" s="3161">
        <f>名簿入力!W31</f>
        <v>0</v>
      </c>
      <c r="W30" s="3162"/>
      <c r="X30" s="3165">
        <f>名簿入力!Y31</f>
        <v>0</v>
      </c>
      <c r="Y30" s="3165">
        <f>名簿入力!Z31</f>
        <v>0</v>
      </c>
      <c r="Z30" s="3167">
        <f>名簿入力!AA31</f>
        <v>0</v>
      </c>
      <c r="AA30" s="3161">
        <f>名簿入力!AB31</f>
        <v>0</v>
      </c>
      <c r="AB30" s="3162"/>
      <c r="AC30" s="3165">
        <f>名簿入力!AD31</f>
        <v>0</v>
      </c>
      <c r="AD30" s="3165">
        <f>名簿入力!AE31</f>
        <v>0</v>
      </c>
      <c r="AE30" s="3167">
        <f>名簿入力!AF31</f>
        <v>0</v>
      </c>
      <c r="AF30" s="3161">
        <f>名簿入力!AG31</f>
        <v>0</v>
      </c>
      <c r="AG30" s="3162"/>
      <c r="AH30" s="3165">
        <f>名簿入力!AI31</f>
        <v>0</v>
      </c>
      <c r="AI30" s="3165">
        <f>名簿入力!AJ31</f>
        <v>0</v>
      </c>
      <c r="AJ30" s="3175">
        <f>名簿入力!AK31</f>
        <v>0</v>
      </c>
      <c r="AK30" s="3176"/>
      <c r="AL30" s="3176"/>
      <c r="AM30" s="3176"/>
      <c r="AN30" s="3176"/>
      <c r="AO30" s="3177"/>
      <c r="AP30" s="3137">
        <f>名簿入力!AO31</f>
        <v>0</v>
      </c>
      <c r="AQ30" s="3138"/>
      <c r="AR30" s="3138"/>
      <c r="AS30" s="3138"/>
      <c r="AT30" s="3139"/>
      <c r="AU30" s="113"/>
    </row>
    <row r="31" spans="2:47" ht="15" customHeight="1" x14ac:dyDescent="0.15">
      <c r="B31" s="3181"/>
      <c r="C31" s="3182"/>
      <c r="D31" s="3183"/>
      <c r="E31" s="3184"/>
      <c r="F31" s="3185"/>
      <c r="G31" s="3186"/>
      <c r="H31" s="3173"/>
      <c r="I31" s="3174"/>
      <c r="J31" s="3171"/>
      <c r="K31" s="3172"/>
      <c r="L31" s="3173"/>
      <c r="M31" s="3187"/>
      <c r="N31" s="3171"/>
      <c r="O31" s="3171"/>
      <c r="P31" s="3172"/>
      <c r="Q31" s="3173"/>
      <c r="R31" s="3174"/>
      <c r="S31" s="3171"/>
      <c r="T31" s="3171"/>
      <c r="U31" s="3172"/>
      <c r="V31" s="3173"/>
      <c r="W31" s="3174"/>
      <c r="X31" s="3171"/>
      <c r="Y31" s="3171"/>
      <c r="Z31" s="3172"/>
      <c r="AA31" s="3173"/>
      <c r="AB31" s="3174"/>
      <c r="AC31" s="3171"/>
      <c r="AD31" s="3171"/>
      <c r="AE31" s="3172"/>
      <c r="AF31" s="3173"/>
      <c r="AG31" s="3174"/>
      <c r="AH31" s="3171"/>
      <c r="AI31" s="3171"/>
      <c r="AJ31" s="3146">
        <f>名簿入力!AK32</f>
        <v>0</v>
      </c>
      <c r="AK31" s="3147"/>
      <c r="AL31" s="3147"/>
      <c r="AM31" s="3147"/>
      <c r="AN31" s="3147"/>
      <c r="AO31" s="3148"/>
      <c r="AP31" s="3178"/>
      <c r="AQ31" s="3179"/>
      <c r="AR31" s="3179"/>
      <c r="AS31" s="3179"/>
      <c r="AT31" s="3180"/>
      <c r="AU31" s="113"/>
    </row>
    <row r="32" spans="2:47" ht="15" customHeight="1" x14ac:dyDescent="0.15">
      <c r="B32" s="3149">
        <v>10</v>
      </c>
      <c r="C32" s="3151">
        <f>名簿入力!D33</f>
        <v>0</v>
      </c>
      <c r="D32" s="3152"/>
      <c r="E32" s="3155">
        <f>名簿入力!E33</f>
        <v>0</v>
      </c>
      <c r="F32" s="3157">
        <f>名簿入力!G33</f>
        <v>0</v>
      </c>
      <c r="G32" s="3159">
        <f>名簿入力!H33</f>
        <v>0</v>
      </c>
      <c r="H32" s="3161">
        <f>名簿入力!I33</f>
        <v>0</v>
      </c>
      <c r="I32" s="3162"/>
      <c r="J32" s="3165">
        <f>名簿入力!K33</f>
        <v>0</v>
      </c>
      <c r="K32" s="3167">
        <f>名簿入力!L33</f>
        <v>0</v>
      </c>
      <c r="L32" s="3161">
        <f>名簿入力!M33</f>
        <v>0</v>
      </c>
      <c r="M32" s="3169"/>
      <c r="N32" s="3165">
        <f>名簿入力!O33</f>
        <v>0</v>
      </c>
      <c r="O32" s="3165">
        <f>名簿入力!P33</f>
        <v>0</v>
      </c>
      <c r="P32" s="3167">
        <f>名簿入力!Q33</f>
        <v>0</v>
      </c>
      <c r="Q32" s="3161">
        <f>名簿入力!R33</f>
        <v>0</v>
      </c>
      <c r="R32" s="3162"/>
      <c r="S32" s="3165">
        <f>名簿入力!T33</f>
        <v>0</v>
      </c>
      <c r="T32" s="3165">
        <f>名簿入力!U33</f>
        <v>0</v>
      </c>
      <c r="U32" s="3167">
        <f>名簿入力!V33</f>
        <v>0</v>
      </c>
      <c r="V32" s="3161">
        <f>名簿入力!W33</f>
        <v>0</v>
      </c>
      <c r="W32" s="3162"/>
      <c r="X32" s="3165">
        <f>名簿入力!Y33</f>
        <v>0</v>
      </c>
      <c r="Y32" s="3165">
        <f>名簿入力!Z33</f>
        <v>0</v>
      </c>
      <c r="Z32" s="3167">
        <f>名簿入力!AA33</f>
        <v>0</v>
      </c>
      <c r="AA32" s="3161">
        <f>名簿入力!AB33</f>
        <v>0</v>
      </c>
      <c r="AB32" s="3162"/>
      <c r="AC32" s="3165">
        <f>名簿入力!AD33</f>
        <v>0</v>
      </c>
      <c r="AD32" s="3165">
        <f>名簿入力!AE33</f>
        <v>0</v>
      </c>
      <c r="AE32" s="3167">
        <f>名簿入力!AF33</f>
        <v>0</v>
      </c>
      <c r="AF32" s="3161">
        <f>名簿入力!AG33</f>
        <v>0</v>
      </c>
      <c r="AG32" s="3162"/>
      <c r="AH32" s="3165">
        <f>名簿入力!AI33</f>
        <v>0</v>
      </c>
      <c r="AI32" s="3165">
        <f>名簿入力!AJ33</f>
        <v>0</v>
      </c>
      <c r="AJ32" s="3175">
        <f>名簿入力!AK33</f>
        <v>0</v>
      </c>
      <c r="AK32" s="3176"/>
      <c r="AL32" s="3176"/>
      <c r="AM32" s="3176"/>
      <c r="AN32" s="3176"/>
      <c r="AO32" s="3177"/>
      <c r="AP32" s="3137">
        <f>名簿入力!AO33</f>
        <v>0</v>
      </c>
      <c r="AQ32" s="3138"/>
      <c r="AR32" s="3138"/>
      <c r="AS32" s="3138"/>
      <c r="AT32" s="3139"/>
      <c r="AU32" s="113"/>
    </row>
    <row r="33" spans="2:47" ht="15" customHeight="1" x14ac:dyDescent="0.15">
      <c r="B33" s="3181"/>
      <c r="C33" s="3182"/>
      <c r="D33" s="3183"/>
      <c r="E33" s="3184"/>
      <c r="F33" s="3185"/>
      <c r="G33" s="3186"/>
      <c r="H33" s="3173"/>
      <c r="I33" s="3174"/>
      <c r="J33" s="3171"/>
      <c r="K33" s="3172"/>
      <c r="L33" s="3173"/>
      <c r="M33" s="3187"/>
      <c r="N33" s="3171"/>
      <c r="O33" s="3171"/>
      <c r="P33" s="3172"/>
      <c r="Q33" s="3173"/>
      <c r="R33" s="3174"/>
      <c r="S33" s="3171"/>
      <c r="T33" s="3171"/>
      <c r="U33" s="3172"/>
      <c r="V33" s="3173"/>
      <c r="W33" s="3174"/>
      <c r="X33" s="3171"/>
      <c r="Y33" s="3171"/>
      <c r="Z33" s="3172"/>
      <c r="AA33" s="3173"/>
      <c r="AB33" s="3174"/>
      <c r="AC33" s="3171"/>
      <c r="AD33" s="3171"/>
      <c r="AE33" s="3172"/>
      <c r="AF33" s="3173"/>
      <c r="AG33" s="3174"/>
      <c r="AH33" s="3171"/>
      <c r="AI33" s="3171"/>
      <c r="AJ33" s="3146">
        <f>名簿入力!AK34</f>
        <v>0</v>
      </c>
      <c r="AK33" s="3147"/>
      <c r="AL33" s="3147"/>
      <c r="AM33" s="3147"/>
      <c r="AN33" s="3147"/>
      <c r="AO33" s="3148"/>
      <c r="AP33" s="3178"/>
      <c r="AQ33" s="3179"/>
      <c r="AR33" s="3179"/>
      <c r="AS33" s="3179"/>
      <c r="AT33" s="3180"/>
      <c r="AU33" s="113"/>
    </row>
    <row r="34" spans="2:47" ht="15" customHeight="1" x14ac:dyDescent="0.15">
      <c r="B34" s="3149">
        <v>11</v>
      </c>
      <c r="C34" s="3151">
        <f>名簿入力!D35</f>
        <v>0</v>
      </c>
      <c r="D34" s="3152"/>
      <c r="E34" s="3155">
        <f>名簿入力!E35</f>
        <v>0</v>
      </c>
      <c r="F34" s="3157">
        <f>名簿入力!G35</f>
        <v>0</v>
      </c>
      <c r="G34" s="3159">
        <f>名簿入力!H35</f>
        <v>0</v>
      </c>
      <c r="H34" s="3161">
        <f>名簿入力!I35</f>
        <v>0</v>
      </c>
      <c r="I34" s="3162"/>
      <c r="J34" s="3165">
        <f>名簿入力!K35</f>
        <v>0</v>
      </c>
      <c r="K34" s="3167">
        <f>名簿入力!L35</f>
        <v>0</v>
      </c>
      <c r="L34" s="3161">
        <f>名簿入力!M35</f>
        <v>0</v>
      </c>
      <c r="M34" s="3169"/>
      <c r="N34" s="3165">
        <f>名簿入力!O35</f>
        <v>0</v>
      </c>
      <c r="O34" s="3165">
        <f>名簿入力!P35</f>
        <v>0</v>
      </c>
      <c r="P34" s="3167">
        <f>名簿入力!Q35</f>
        <v>0</v>
      </c>
      <c r="Q34" s="3161">
        <f>名簿入力!R35</f>
        <v>0</v>
      </c>
      <c r="R34" s="3162"/>
      <c r="S34" s="3165">
        <f>名簿入力!T35</f>
        <v>0</v>
      </c>
      <c r="T34" s="3165">
        <f>名簿入力!U35</f>
        <v>0</v>
      </c>
      <c r="U34" s="3167">
        <f>名簿入力!V35</f>
        <v>0</v>
      </c>
      <c r="V34" s="3161">
        <f>名簿入力!W35</f>
        <v>0</v>
      </c>
      <c r="W34" s="3162"/>
      <c r="X34" s="3165">
        <f>名簿入力!Y35</f>
        <v>0</v>
      </c>
      <c r="Y34" s="3165">
        <f>名簿入力!Z35</f>
        <v>0</v>
      </c>
      <c r="Z34" s="3167">
        <f>名簿入力!AA35</f>
        <v>0</v>
      </c>
      <c r="AA34" s="3161">
        <f>名簿入力!AB35</f>
        <v>0</v>
      </c>
      <c r="AB34" s="3162"/>
      <c r="AC34" s="3165">
        <f>名簿入力!AD35</f>
        <v>0</v>
      </c>
      <c r="AD34" s="3165">
        <f>名簿入力!AE35</f>
        <v>0</v>
      </c>
      <c r="AE34" s="3167">
        <f>名簿入力!AF35</f>
        <v>0</v>
      </c>
      <c r="AF34" s="3161">
        <f>名簿入力!AG35</f>
        <v>0</v>
      </c>
      <c r="AG34" s="3162"/>
      <c r="AH34" s="3165">
        <f>名簿入力!AI35</f>
        <v>0</v>
      </c>
      <c r="AI34" s="3165">
        <f>名簿入力!AJ35</f>
        <v>0</v>
      </c>
      <c r="AJ34" s="3175">
        <f>名簿入力!AK35</f>
        <v>0</v>
      </c>
      <c r="AK34" s="3176"/>
      <c r="AL34" s="3176"/>
      <c r="AM34" s="3176"/>
      <c r="AN34" s="3176"/>
      <c r="AO34" s="3177"/>
      <c r="AP34" s="3137">
        <f>名簿入力!AO35</f>
        <v>0</v>
      </c>
      <c r="AQ34" s="3138"/>
      <c r="AR34" s="3138"/>
      <c r="AS34" s="3138"/>
      <c r="AT34" s="3139"/>
      <c r="AU34" s="113"/>
    </row>
    <row r="35" spans="2:47" ht="15" customHeight="1" x14ac:dyDescent="0.15">
      <c r="B35" s="3181"/>
      <c r="C35" s="3182"/>
      <c r="D35" s="3183"/>
      <c r="E35" s="3184"/>
      <c r="F35" s="3185"/>
      <c r="G35" s="3186"/>
      <c r="H35" s="3173"/>
      <c r="I35" s="3174"/>
      <c r="J35" s="3171"/>
      <c r="K35" s="3172"/>
      <c r="L35" s="3173"/>
      <c r="M35" s="3187"/>
      <c r="N35" s="3171"/>
      <c r="O35" s="3171"/>
      <c r="P35" s="3172"/>
      <c r="Q35" s="3173"/>
      <c r="R35" s="3174"/>
      <c r="S35" s="3171"/>
      <c r="T35" s="3171"/>
      <c r="U35" s="3172"/>
      <c r="V35" s="3173"/>
      <c r="W35" s="3174"/>
      <c r="X35" s="3171"/>
      <c r="Y35" s="3171"/>
      <c r="Z35" s="3172"/>
      <c r="AA35" s="3173"/>
      <c r="AB35" s="3174"/>
      <c r="AC35" s="3171"/>
      <c r="AD35" s="3171"/>
      <c r="AE35" s="3172"/>
      <c r="AF35" s="3173"/>
      <c r="AG35" s="3174"/>
      <c r="AH35" s="3171"/>
      <c r="AI35" s="3171"/>
      <c r="AJ35" s="3146">
        <f>名簿入力!AK36</f>
        <v>0</v>
      </c>
      <c r="AK35" s="3147"/>
      <c r="AL35" s="3147"/>
      <c r="AM35" s="3147"/>
      <c r="AN35" s="3147"/>
      <c r="AO35" s="3148"/>
      <c r="AP35" s="3178"/>
      <c r="AQ35" s="3179"/>
      <c r="AR35" s="3179"/>
      <c r="AS35" s="3179"/>
      <c r="AT35" s="3180"/>
      <c r="AU35" s="113"/>
    </row>
    <row r="36" spans="2:47" ht="15" customHeight="1" x14ac:dyDescent="0.15">
      <c r="B36" s="3149">
        <v>12</v>
      </c>
      <c r="C36" s="3151">
        <f>名簿入力!D37</f>
        <v>0</v>
      </c>
      <c r="D36" s="3152"/>
      <c r="E36" s="3155">
        <f>名簿入力!E37</f>
        <v>0</v>
      </c>
      <c r="F36" s="3157">
        <f>名簿入力!G37</f>
        <v>0</v>
      </c>
      <c r="G36" s="3159">
        <f>名簿入力!H37</f>
        <v>0</v>
      </c>
      <c r="H36" s="3161">
        <f>名簿入力!I37</f>
        <v>0</v>
      </c>
      <c r="I36" s="3162"/>
      <c r="J36" s="3165">
        <f>名簿入力!K37</f>
        <v>0</v>
      </c>
      <c r="K36" s="3167">
        <f>名簿入力!L37</f>
        <v>0</v>
      </c>
      <c r="L36" s="3161">
        <f>名簿入力!M37</f>
        <v>0</v>
      </c>
      <c r="M36" s="3169"/>
      <c r="N36" s="3165">
        <f>名簿入力!O37</f>
        <v>0</v>
      </c>
      <c r="O36" s="3165">
        <f>名簿入力!P37</f>
        <v>0</v>
      </c>
      <c r="P36" s="3167">
        <f>名簿入力!Q37</f>
        <v>0</v>
      </c>
      <c r="Q36" s="3161">
        <f>名簿入力!R37</f>
        <v>0</v>
      </c>
      <c r="R36" s="3162"/>
      <c r="S36" s="3165">
        <f>名簿入力!T37</f>
        <v>0</v>
      </c>
      <c r="T36" s="3165">
        <f>名簿入力!U37</f>
        <v>0</v>
      </c>
      <c r="U36" s="3167">
        <f>名簿入力!V37</f>
        <v>0</v>
      </c>
      <c r="V36" s="3161">
        <f>名簿入力!W37</f>
        <v>0</v>
      </c>
      <c r="W36" s="3162"/>
      <c r="X36" s="3165">
        <f>名簿入力!Y37</f>
        <v>0</v>
      </c>
      <c r="Y36" s="3165">
        <f>名簿入力!Z37</f>
        <v>0</v>
      </c>
      <c r="Z36" s="3167">
        <f>名簿入力!AA37</f>
        <v>0</v>
      </c>
      <c r="AA36" s="3161">
        <f>名簿入力!AB37</f>
        <v>0</v>
      </c>
      <c r="AB36" s="3162"/>
      <c r="AC36" s="3165">
        <f>名簿入力!AD37</f>
        <v>0</v>
      </c>
      <c r="AD36" s="3165">
        <f>名簿入力!AE37</f>
        <v>0</v>
      </c>
      <c r="AE36" s="3167">
        <f>名簿入力!AF37</f>
        <v>0</v>
      </c>
      <c r="AF36" s="3161">
        <f>名簿入力!AG37</f>
        <v>0</v>
      </c>
      <c r="AG36" s="3162"/>
      <c r="AH36" s="3165">
        <f>名簿入力!AI37</f>
        <v>0</v>
      </c>
      <c r="AI36" s="3165">
        <f>名簿入力!AJ37</f>
        <v>0</v>
      </c>
      <c r="AJ36" s="3175">
        <f>名簿入力!AK37</f>
        <v>0</v>
      </c>
      <c r="AK36" s="3176"/>
      <c r="AL36" s="3176"/>
      <c r="AM36" s="3176"/>
      <c r="AN36" s="3176"/>
      <c r="AO36" s="3177"/>
      <c r="AP36" s="3137">
        <f>名簿入力!AO37</f>
        <v>0</v>
      </c>
      <c r="AQ36" s="3138"/>
      <c r="AR36" s="3138"/>
      <c r="AS36" s="3138"/>
      <c r="AT36" s="3139"/>
      <c r="AU36" s="113"/>
    </row>
    <row r="37" spans="2:47" ht="15" customHeight="1" x14ac:dyDescent="0.15">
      <c r="B37" s="3181"/>
      <c r="C37" s="3182"/>
      <c r="D37" s="3183"/>
      <c r="E37" s="3184"/>
      <c r="F37" s="3185"/>
      <c r="G37" s="3186"/>
      <c r="H37" s="3173"/>
      <c r="I37" s="3174"/>
      <c r="J37" s="3171"/>
      <c r="K37" s="3172"/>
      <c r="L37" s="3173"/>
      <c r="M37" s="3187"/>
      <c r="N37" s="3171"/>
      <c r="O37" s="3171"/>
      <c r="P37" s="3172"/>
      <c r="Q37" s="3173"/>
      <c r="R37" s="3174"/>
      <c r="S37" s="3171"/>
      <c r="T37" s="3171"/>
      <c r="U37" s="3172"/>
      <c r="V37" s="3173"/>
      <c r="W37" s="3174"/>
      <c r="X37" s="3171"/>
      <c r="Y37" s="3171"/>
      <c r="Z37" s="3172"/>
      <c r="AA37" s="3173"/>
      <c r="AB37" s="3174"/>
      <c r="AC37" s="3171"/>
      <c r="AD37" s="3171"/>
      <c r="AE37" s="3172"/>
      <c r="AF37" s="3173"/>
      <c r="AG37" s="3174"/>
      <c r="AH37" s="3171"/>
      <c r="AI37" s="3171"/>
      <c r="AJ37" s="3146">
        <f>名簿入力!AK38</f>
        <v>0</v>
      </c>
      <c r="AK37" s="3147"/>
      <c r="AL37" s="3147"/>
      <c r="AM37" s="3147"/>
      <c r="AN37" s="3147"/>
      <c r="AO37" s="3148"/>
      <c r="AP37" s="3178"/>
      <c r="AQ37" s="3179"/>
      <c r="AR37" s="3179"/>
      <c r="AS37" s="3179"/>
      <c r="AT37" s="3180"/>
      <c r="AU37" s="113"/>
    </row>
    <row r="38" spans="2:47" ht="15" customHeight="1" x14ac:dyDescent="0.15">
      <c r="B38" s="3149">
        <v>13</v>
      </c>
      <c r="C38" s="3151">
        <f>名簿入力!D39</f>
        <v>0</v>
      </c>
      <c r="D38" s="3152"/>
      <c r="E38" s="3155">
        <f>名簿入力!E39</f>
        <v>0</v>
      </c>
      <c r="F38" s="3157">
        <f>名簿入力!G39</f>
        <v>0</v>
      </c>
      <c r="G38" s="3159">
        <f>名簿入力!H39</f>
        <v>0</v>
      </c>
      <c r="H38" s="3161">
        <f>名簿入力!I39</f>
        <v>0</v>
      </c>
      <c r="I38" s="3162"/>
      <c r="J38" s="3165">
        <f>名簿入力!K39</f>
        <v>0</v>
      </c>
      <c r="K38" s="3167">
        <f>名簿入力!L39</f>
        <v>0</v>
      </c>
      <c r="L38" s="3161">
        <f>名簿入力!M39</f>
        <v>0</v>
      </c>
      <c r="M38" s="3169"/>
      <c r="N38" s="3165">
        <f>名簿入力!O39</f>
        <v>0</v>
      </c>
      <c r="O38" s="3165">
        <f>名簿入力!P39</f>
        <v>0</v>
      </c>
      <c r="P38" s="3167">
        <f>名簿入力!Q39</f>
        <v>0</v>
      </c>
      <c r="Q38" s="3161">
        <f>名簿入力!R39</f>
        <v>0</v>
      </c>
      <c r="R38" s="3162"/>
      <c r="S38" s="3165">
        <f>名簿入力!T39</f>
        <v>0</v>
      </c>
      <c r="T38" s="3165">
        <f>名簿入力!U39</f>
        <v>0</v>
      </c>
      <c r="U38" s="3167">
        <f>名簿入力!V39</f>
        <v>0</v>
      </c>
      <c r="V38" s="3161">
        <f>名簿入力!W39</f>
        <v>0</v>
      </c>
      <c r="W38" s="3162"/>
      <c r="X38" s="3165">
        <f>名簿入力!Y39</f>
        <v>0</v>
      </c>
      <c r="Y38" s="3165">
        <f>名簿入力!Z39</f>
        <v>0</v>
      </c>
      <c r="Z38" s="3167">
        <f>名簿入力!AA39</f>
        <v>0</v>
      </c>
      <c r="AA38" s="3161">
        <f>名簿入力!AB39</f>
        <v>0</v>
      </c>
      <c r="AB38" s="3162"/>
      <c r="AC38" s="3165">
        <f>名簿入力!AD39</f>
        <v>0</v>
      </c>
      <c r="AD38" s="3165">
        <f>名簿入力!AE39</f>
        <v>0</v>
      </c>
      <c r="AE38" s="3167">
        <f>名簿入力!AF39</f>
        <v>0</v>
      </c>
      <c r="AF38" s="3161">
        <f>名簿入力!AG39</f>
        <v>0</v>
      </c>
      <c r="AG38" s="3162"/>
      <c r="AH38" s="3165">
        <f>名簿入力!AI39</f>
        <v>0</v>
      </c>
      <c r="AI38" s="3165">
        <f>名簿入力!AJ39</f>
        <v>0</v>
      </c>
      <c r="AJ38" s="3175">
        <f>名簿入力!AK39</f>
        <v>0</v>
      </c>
      <c r="AK38" s="3176"/>
      <c r="AL38" s="3176"/>
      <c r="AM38" s="3176"/>
      <c r="AN38" s="3176"/>
      <c r="AO38" s="3177"/>
      <c r="AP38" s="3137">
        <f>名簿入力!AO39</f>
        <v>0</v>
      </c>
      <c r="AQ38" s="3138"/>
      <c r="AR38" s="3138"/>
      <c r="AS38" s="3138"/>
      <c r="AT38" s="3139"/>
      <c r="AU38" s="113"/>
    </row>
    <row r="39" spans="2:47" ht="15" customHeight="1" x14ac:dyDescent="0.15">
      <c r="B39" s="3181"/>
      <c r="C39" s="3182"/>
      <c r="D39" s="3183"/>
      <c r="E39" s="3184"/>
      <c r="F39" s="3185"/>
      <c r="G39" s="3186"/>
      <c r="H39" s="3173"/>
      <c r="I39" s="3174"/>
      <c r="J39" s="3171"/>
      <c r="K39" s="3172"/>
      <c r="L39" s="3173"/>
      <c r="M39" s="3187"/>
      <c r="N39" s="3171"/>
      <c r="O39" s="3171"/>
      <c r="P39" s="3172"/>
      <c r="Q39" s="3173"/>
      <c r="R39" s="3174"/>
      <c r="S39" s="3171"/>
      <c r="T39" s="3171"/>
      <c r="U39" s="3172"/>
      <c r="V39" s="3173"/>
      <c r="W39" s="3174"/>
      <c r="X39" s="3171"/>
      <c r="Y39" s="3171"/>
      <c r="Z39" s="3172"/>
      <c r="AA39" s="3173"/>
      <c r="AB39" s="3174"/>
      <c r="AC39" s="3171"/>
      <c r="AD39" s="3171"/>
      <c r="AE39" s="3172"/>
      <c r="AF39" s="3173"/>
      <c r="AG39" s="3174"/>
      <c r="AH39" s="3171"/>
      <c r="AI39" s="3171"/>
      <c r="AJ39" s="3146">
        <f>名簿入力!AK40</f>
        <v>0</v>
      </c>
      <c r="AK39" s="3147"/>
      <c r="AL39" s="3147"/>
      <c r="AM39" s="3147"/>
      <c r="AN39" s="3147"/>
      <c r="AO39" s="3148"/>
      <c r="AP39" s="3178"/>
      <c r="AQ39" s="3179"/>
      <c r="AR39" s="3179"/>
      <c r="AS39" s="3179"/>
      <c r="AT39" s="3180"/>
      <c r="AU39" s="113"/>
    </row>
    <row r="40" spans="2:47" ht="15" customHeight="1" x14ac:dyDescent="0.15">
      <c r="B40" s="3149">
        <v>14</v>
      </c>
      <c r="C40" s="3151">
        <f>名簿入力!D41</f>
        <v>0</v>
      </c>
      <c r="D40" s="3152"/>
      <c r="E40" s="3155">
        <f>名簿入力!E41</f>
        <v>0</v>
      </c>
      <c r="F40" s="3157">
        <f>名簿入力!G41</f>
        <v>0</v>
      </c>
      <c r="G40" s="3159">
        <f>名簿入力!H41</f>
        <v>0</v>
      </c>
      <c r="H40" s="3161">
        <f>名簿入力!I41</f>
        <v>0</v>
      </c>
      <c r="I40" s="3162"/>
      <c r="J40" s="3165">
        <f>名簿入力!K41</f>
        <v>0</v>
      </c>
      <c r="K40" s="3167">
        <f>名簿入力!L41</f>
        <v>0</v>
      </c>
      <c r="L40" s="3161">
        <f>名簿入力!M41</f>
        <v>0</v>
      </c>
      <c r="M40" s="3169"/>
      <c r="N40" s="3165">
        <f>名簿入力!O41</f>
        <v>0</v>
      </c>
      <c r="O40" s="3165">
        <f>名簿入力!P41</f>
        <v>0</v>
      </c>
      <c r="P40" s="3167">
        <f>名簿入力!Q41</f>
        <v>0</v>
      </c>
      <c r="Q40" s="3161">
        <f>名簿入力!R41</f>
        <v>0</v>
      </c>
      <c r="R40" s="3162"/>
      <c r="S40" s="3165">
        <f>名簿入力!T41</f>
        <v>0</v>
      </c>
      <c r="T40" s="3165">
        <f>名簿入力!U41</f>
        <v>0</v>
      </c>
      <c r="U40" s="3167">
        <f>名簿入力!V41</f>
        <v>0</v>
      </c>
      <c r="V40" s="3161">
        <f>名簿入力!W41</f>
        <v>0</v>
      </c>
      <c r="W40" s="3162"/>
      <c r="X40" s="3165">
        <f>名簿入力!Y41</f>
        <v>0</v>
      </c>
      <c r="Y40" s="3165">
        <f>名簿入力!Z41</f>
        <v>0</v>
      </c>
      <c r="Z40" s="3167">
        <f>名簿入力!AA41</f>
        <v>0</v>
      </c>
      <c r="AA40" s="3161">
        <f>名簿入力!AB41</f>
        <v>0</v>
      </c>
      <c r="AB40" s="3162"/>
      <c r="AC40" s="3165">
        <f>名簿入力!AD41</f>
        <v>0</v>
      </c>
      <c r="AD40" s="3165">
        <f>名簿入力!AE41</f>
        <v>0</v>
      </c>
      <c r="AE40" s="3167">
        <f>名簿入力!AF41</f>
        <v>0</v>
      </c>
      <c r="AF40" s="3161">
        <f>名簿入力!AG41</f>
        <v>0</v>
      </c>
      <c r="AG40" s="3162"/>
      <c r="AH40" s="3165">
        <f>名簿入力!AI41</f>
        <v>0</v>
      </c>
      <c r="AI40" s="3165">
        <f>名簿入力!AJ41</f>
        <v>0</v>
      </c>
      <c r="AJ40" s="3175">
        <f>名簿入力!AK41</f>
        <v>0</v>
      </c>
      <c r="AK40" s="3176"/>
      <c r="AL40" s="3176"/>
      <c r="AM40" s="3176"/>
      <c r="AN40" s="3176"/>
      <c r="AO40" s="3177"/>
      <c r="AP40" s="3137">
        <f>名簿入力!AO41</f>
        <v>0</v>
      </c>
      <c r="AQ40" s="3138"/>
      <c r="AR40" s="3138"/>
      <c r="AS40" s="3138"/>
      <c r="AT40" s="3139"/>
      <c r="AU40" s="113"/>
    </row>
    <row r="41" spans="2:47" ht="15" customHeight="1" x14ac:dyDescent="0.15">
      <c r="B41" s="3181"/>
      <c r="C41" s="3182"/>
      <c r="D41" s="3183"/>
      <c r="E41" s="3184"/>
      <c r="F41" s="3185"/>
      <c r="G41" s="3186"/>
      <c r="H41" s="3173"/>
      <c r="I41" s="3174"/>
      <c r="J41" s="3171"/>
      <c r="K41" s="3172"/>
      <c r="L41" s="3173"/>
      <c r="M41" s="3187"/>
      <c r="N41" s="3171"/>
      <c r="O41" s="3171"/>
      <c r="P41" s="3172"/>
      <c r="Q41" s="3173"/>
      <c r="R41" s="3174"/>
      <c r="S41" s="3171"/>
      <c r="T41" s="3171"/>
      <c r="U41" s="3172"/>
      <c r="V41" s="3173"/>
      <c r="W41" s="3174"/>
      <c r="X41" s="3171"/>
      <c r="Y41" s="3171"/>
      <c r="Z41" s="3172"/>
      <c r="AA41" s="3173"/>
      <c r="AB41" s="3174"/>
      <c r="AC41" s="3171"/>
      <c r="AD41" s="3171"/>
      <c r="AE41" s="3172"/>
      <c r="AF41" s="3173"/>
      <c r="AG41" s="3174"/>
      <c r="AH41" s="3171"/>
      <c r="AI41" s="3171"/>
      <c r="AJ41" s="3146">
        <f>名簿入力!AK42</f>
        <v>0</v>
      </c>
      <c r="AK41" s="3147"/>
      <c r="AL41" s="3147"/>
      <c r="AM41" s="3147"/>
      <c r="AN41" s="3147"/>
      <c r="AO41" s="3148"/>
      <c r="AP41" s="3178"/>
      <c r="AQ41" s="3179"/>
      <c r="AR41" s="3179"/>
      <c r="AS41" s="3179"/>
      <c r="AT41" s="3180"/>
      <c r="AU41" s="113"/>
    </row>
    <row r="42" spans="2:47" ht="15" customHeight="1" x14ac:dyDescent="0.15">
      <c r="B42" s="3149">
        <v>15</v>
      </c>
      <c r="C42" s="3151">
        <f>名簿入力!D43</f>
        <v>0</v>
      </c>
      <c r="D42" s="3152"/>
      <c r="E42" s="3155">
        <f>名簿入力!E43</f>
        <v>0</v>
      </c>
      <c r="F42" s="3157">
        <f>名簿入力!G43</f>
        <v>0</v>
      </c>
      <c r="G42" s="3159">
        <f>名簿入力!H43</f>
        <v>0</v>
      </c>
      <c r="H42" s="3161">
        <f>名簿入力!I43</f>
        <v>0</v>
      </c>
      <c r="I42" s="3162"/>
      <c r="J42" s="3165">
        <f>名簿入力!K43</f>
        <v>0</v>
      </c>
      <c r="K42" s="3167">
        <f>名簿入力!L43</f>
        <v>0</v>
      </c>
      <c r="L42" s="3161">
        <f>名簿入力!M43</f>
        <v>0</v>
      </c>
      <c r="M42" s="3169"/>
      <c r="N42" s="3165">
        <f>名簿入力!O43</f>
        <v>0</v>
      </c>
      <c r="O42" s="3165">
        <f>名簿入力!P43</f>
        <v>0</v>
      </c>
      <c r="P42" s="3167">
        <f>名簿入力!Q43</f>
        <v>0</v>
      </c>
      <c r="Q42" s="3161">
        <f>名簿入力!R43</f>
        <v>0</v>
      </c>
      <c r="R42" s="3162"/>
      <c r="S42" s="3165">
        <f>名簿入力!T43</f>
        <v>0</v>
      </c>
      <c r="T42" s="3165">
        <f>名簿入力!U43</f>
        <v>0</v>
      </c>
      <c r="U42" s="3167">
        <f>名簿入力!V43</f>
        <v>0</v>
      </c>
      <c r="V42" s="3161">
        <f>名簿入力!W43</f>
        <v>0</v>
      </c>
      <c r="W42" s="3162"/>
      <c r="X42" s="3165">
        <f>名簿入力!Y43</f>
        <v>0</v>
      </c>
      <c r="Y42" s="3165">
        <f>名簿入力!Z43</f>
        <v>0</v>
      </c>
      <c r="Z42" s="3167">
        <f>名簿入力!AA43</f>
        <v>0</v>
      </c>
      <c r="AA42" s="3161">
        <f>名簿入力!AB43</f>
        <v>0</v>
      </c>
      <c r="AB42" s="3162"/>
      <c r="AC42" s="3165">
        <f>名簿入力!AD43</f>
        <v>0</v>
      </c>
      <c r="AD42" s="3165">
        <f>名簿入力!AE43</f>
        <v>0</v>
      </c>
      <c r="AE42" s="3167">
        <f>名簿入力!AF43</f>
        <v>0</v>
      </c>
      <c r="AF42" s="3161">
        <f>名簿入力!AG43</f>
        <v>0</v>
      </c>
      <c r="AG42" s="3162"/>
      <c r="AH42" s="3165">
        <f>名簿入力!AI43</f>
        <v>0</v>
      </c>
      <c r="AI42" s="3165">
        <f>名簿入力!AJ43</f>
        <v>0</v>
      </c>
      <c r="AJ42" s="3175">
        <f>名簿入力!AK43</f>
        <v>0</v>
      </c>
      <c r="AK42" s="3176"/>
      <c r="AL42" s="3176"/>
      <c r="AM42" s="3176"/>
      <c r="AN42" s="3176"/>
      <c r="AO42" s="3177"/>
      <c r="AP42" s="3137">
        <f>名簿入力!AO43</f>
        <v>0</v>
      </c>
      <c r="AQ42" s="3138"/>
      <c r="AR42" s="3138"/>
      <c r="AS42" s="3138"/>
      <c r="AT42" s="3139"/>
      <c r="AU42" s="113"/>
    </row>
    <row r="43" spans="2:47" ht="15" customHeight="1" thickBot="1" x14ac:dyDescent="0.2">
      <c r="B43" s="3150"/>
      <c r="C43" s="3153"/>
      <c r="D43" s="3154"/>
      <c r="E43" s="3156"/>
      <c r="F43" s="3158"/>
      <c r="G43" s="3160"/>
      <c r="H43" s="3163"/>
      <c r="I43" s="3164"/>
      <c r="J43" s="3166"/>
      <c r="K43" s="3168"/>
      <c r="L43" s="3163"/>
      <c r="M43" s="3170"/>
      <c r="N43" s="3166"/>
      <c r="O43" s="3166"/>
      <c r="P43" s="3168"/>
      <c r="Q43" s="3163"/>
      <c r="R43" s="3164"/>
      <c r="S43" s="3166"/>
      <c r="T43" s="3166"/>
      <c r="U43" s="3168"/>
      <c r="V43" s="3163"/>
      <c r="W43" s="3164"/>
      <c r="X43" s="3166"/>
      <c r="Y43" s="3166"/>
      <c r="Z43" s="3168"/>
      <c r="AA43" s="3163"/>
      <c r="AB43" s="3164"/>
      <c r="AC43" s="3166"/>
      <c r="AD43" s="3166"/>
      <c r="AE43" s="3168"/>
      <c r="AF43" s="3163"/>
      <c r="AG43" s="3164"/>
      <c r="AH43" s="3166"/>
      <c r="AI43" s="3166"/>
      <c r="AJ43" s="3143">
        <f>名簿入力!AK44</f>
        <v>0</v>
      </c>
      <c r="AK43" s="3144"/>
      <c r="AL43" s="3144"/>
      <c r="AM43" s="3144"/>
      <c r="AN43" s="3144"/>
      <c r="AO43" s="3145"/>
      <c r="AP43" s="3140"/>
      <c r="AQ43" s="3141"/>
      <c r="AR43" s="3141"/>
      <c r="AS43" s="3141"/>
      <c r="AT43" s="3142"/>
      <c r="AU43" s="113"/>
    </row>
    <row r="44" spans="2:47" ht="46.5" customHeight="1" x14ac:dyDescent="0.15">
      <c r="B44" s="1107"/>
      <c r="C44" s="1108"/>
      <c r="D44" s="1108"/>
      <c r="E44" s="1109"/>
      <c r="F44" s="1110"/>
      <c r="G44" s="1110"/>
      <c r="H44" s="1111"/>
      <c r="I44" s="1111"/>
      <c r="J44" s="1112"/>
      <c r="K44" s="1112"/>
      <c r="L44" s="1111"/>
      <c r="M44" s="1111"/>
      <c r="N44" s="1112"/>
      <c r="O44" s="1112"/>
      <c r="P44" s="1112"/>
      <c r="Q44" s="1111"/>
      <c r="R44" s="1111"/>
      <c r="S44" s="1112"/>
      <c r="T44" s="1112"/>
      <c r="U44" s="1112"/>
      <c r="V44" s="1111"/>
      <c r="W44" s="1111"/>
      <c r="X44" s="1112"/>
      <c r="Y44" s="1112"/>
      <c r="Z44" s="1112"/>
      <c r="AA44" s="1111"/>
      <c r="AB44" s="1111"/>
      <c r="AC44" s="1112"/>
      <c r="AD44" s="1112"/>
      <c r="AE44" s="1112"/>
      <c r="AF44" s="1111"/>
      <c r="AG44" s="1111"/>
      <c r="AH44" s="1112"/>
      <c r="AI44" s="1112"/>
      <c r="AJ44" s="1113"/>
      <c r="AK44" s="1113"/>
      <c r="AL44" s="1113"/>
      <c r="AM44" s="1113"/>
      <c r="AN44" s="1113"/>
      <c r="AO44" s="1113"/>
      <c r="AP44" s="1114"/>
      <c r="AQ44" s="1114"/>
      <c r="AR44" s="1114"/>
      <c r="AS44" s="1114"/>
      <c r="AT44" s="1114"/>
      <c r="AU44" s="113"/>
    </row>
    <row r="45" spans="2:47" ht="26.25" customHeight="1" x14ac:dyDescent="0.15">
      <c r="C45" s="3279" t="s">
        <v>282</v>
      </c>
      <c r="D45" s="3279"/>
      <c r="E45" s="3279"/>
      <c r="F45" s="3279"/>
      <c r="G45" s="3279"/>
      <c r="H45" s="3279"/>
      <c r="I45" s="3279"/>
      <c r="J45" s="3279"/>
      <c r="K45" s="3279"/>
      <c r="L45" s="3279"/>
      <c r="M45" s="3279"/>
      <c r="N45" s="3279"/>
      <c r="O45" s="3279"/>
      <c r="P45" s="3279"/>
      <c r="Q45" s="3279"/>
      <c r="R45" s="3279"/>
      <c r="S45" s="3279"/>
      <c r="T45" s="3279"/>
      <c r="U45" s="3279"/>
      <c r="V45" s="3279"/>
      <c r="W45" s="3279"/>
      <c r="X45" s="3279"/>
      <c r="Y45" s="3279"/>
      <c r="Z45" s="3279"/>
      <c r="AA45" s="1014"/>
      <c r="AB45" s="1014"/>
      <c r="AC45" s="1014"/>
      <c r="AD45" s="1014"/>
      <c r="AE45" s="1014"/>
      <c r="AF45" s="1014"/>
      <c r="AG45" s="1014"/>
      <c r="AH45" s="1014"/>
      <c r="AI45" s="1014"/>
      <c r="AJ45" s="1014"/>
      <c r="AK45" s="1014"/>
      <c r="AL45" s="1014"/>
      <c r="AM45" s="1014"/>
      <c r="AN45" s="1014"/>
      <c r="AP45" s="499"/>
      <c r="AQ45" s="3230" t="s">
        <v>175</v>
      </c>
      <c r="AR45" s="3230"/>
      <c r="AS45" s="3230">
        <v>2</v>
      </c>
      <c r="AT45" s="3230"/>
    </row>
    <row r="46" spans="2:47" ht="3.75" customHeight="1" thickBot="1" x14ac:dyDescent="0.2">
      <c r="B46" s="854"/>
      <c r="C46" s="854"/>
      <c r="D46" s="854"/>
      <c r="E46" s="854"/>
      <c r="F46" s="854"/>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4"/>
      <c r="AI46" s="854"/>
      <c r="AJ46" s="854"/>
      <c r="AK46" s="854"/>
      <c r="AL46" s="854"/>
      <c r="AM46" s="854"/>
      <c r="AN46" s="854"/>
      <c r="AP46" s="499"/>
      <c r="AQ46" s="855"/>
      <c r="AR46" s="855"/>
      <c r="AS46" s="855"/>
      <c r="AT46" s="855"/>
    </row>
    <row r="47" spans="2:47" ht="15" customHeight="1" x14ac:dyDescent="0.15">
      <c r="B47" s="3231" t="s">
        <v>174</v>
      </c>
      <c r="C47" s="3232"/>
      <c r="D47" s="3235" t="str">
        <f>$D$4</f>
        <v xml:space="preserve"> </v>
      </c>
      <c r="E47" s="3235"/>
      <c r="F47" s="3235"/>
      <c r="G47" s="3235"/>
      <c r="H47" s="3235"/>
      <c r="I47" s="3235"/>
      <c r="J47" s="3235"/>
      <c r="K47" s="3235"/>
      <c r="L47" s="3235"/>
      <c r="M47" s="3235"/>
      <c r="N47" s="3235"/>
      <c r="O47" s="3235"/>
      <c r="P47" s="3235"/>
      <c r="Q47" s="3235"/>
      <c r="R47" s="3235"/>
      <c r="S47" s="3235"/>
      <c r="T47" s="3235"/>
      <c r="U47" s="3235"/>
      <c r="V47" s="3235"/>
      <c r="W47" s="3235"/>
      <c r="X47" s="3235"/>
      <c r="Y47" s="3235"/>
      <c r="Z47" s="3236"/>
      <c r="AA47" s="502"/>
      <c r="AB47" s="503"/>
      <c r="AC47" s="497"/>
      <c r="AD47" s="497"/>
      <c r="AE47" s="497"/>
      <c r="AF47" s="48"/>
      <c r="AG47" s="48"/>
      <c r="AJ47" s="48"/>
      <c r="AK47" s="48"/>
    </row>
    <row r="48" spans="2:47" ht="22.5" customHeight="1" x14ac:dyDescent="0.15">
      <c r="B48" s="3233"/>
      <c r="C48" s="3234"/>
      <c r="D48" s="3237"/>
      <c r="E48" s="3237"/>
      <c r="F48" s="3237"/>
      <c r="G48" s="3237"/>
      <c r="H48" s="3237"/>
      <c r="I48" s="3237"/>
      <c r="J48" s="3237"/>
      <c r="K48" s="3237"/>
      <c r="L48" s="3237"/>
      <c r="M48" s="3237"/>
      <c r="N48" s="3237"/>
      <c r="O48" s="3237"/>
      <c r="P48" s="3237"/>
      <c r="Q48" s="3237"/>
      <c r="R48" s="3237"/>
      <c r="S48" s="3237"/>
      <c r="T48" s="3237"/>
      <c r="U48" s="3237"/>
      <c r="V48" s="3237"/>
      <c r="W48" s="3237"/>
      <c r="X48" s="3237"/>
      <c r="Y48" s="3237"/>
      <c r="Z48" s="3238"/>
      <c r="AA48" s="502"/>
      <c r="AB48" s="504"/>
      <c r="AC48" s="497"/>
      <c r="AD48" s="497"/>
      <c r="AE48" s="497"/>
      <c r="AF48" s="497"/>
      <c r="AG48" s="48"/>
      <c r="AJ48" s="48"/>
      <c r="AK48" s="48"/>
    </row>
    <row r="49" spans="2:50" ht="24.75" customHeight="1" thickBot="1" x14ac:dyDescent="0.2">
      <c r="B49" s="3239" t="s">
        <v>173</v>
      </c>
      <c r="C49" s="3240"/>
      <c r="D49" s="3241">
        <f>$D$6</f>
        <v>0</v>
      </c>
      <c r="E49" s="3241"/>
      <c r="F49" s="513" t="s">
        <v>60</v>
      </c>
      <c r="G49" s="3241">
        <f>$G$6</f>
        <v>0</v>
      </c>
      <c r="H49" s="3241"/>
      <c r="I49" s="514" t="s">
        <v>61</v>
      </c>
      <c r="J49" s="3241">
        <f>$J$6</f>
        <v>0</v>
      </c>
      <c r="K49" s="3241"/>
      <c r="L49" s="514" t="s">
        <v>62</v>
      </c>
      <c r="M49" s="515" t="s">
        <v>96</v>
      </c>
      <c r="N49" s="514" t="str">
        <f>$N$6</f>
        <v/>
      </c>
      <c r="O49" s="514" t="s">
        <v>104</v>
      </c>
      <c r="P49" s="3242" t="s">
        <v>110</v>
      </c>
      <c r="Q49" s="3242"/>
      <c r="R49" s="3243" t="str">
        <f>$R$6</f>
        <v/>
      </c>
      <c r="S49" s="3243"/>
      <c r="T49" s="514" t="s">
        <v>61</v>
      </c>
      <c r="U49" s="3244" t="str">
        <f>$U$6</f>
        <v/>
      </c>
      <c r="V49" s="3244"/>
      <c r="W49" s="514" t="s">
        <v>62</v>
      </c>
      <c r="X49" s="515" t="s">
        <v>96</v>
      </c>
      <c r="Y49" s="516" t="str">
        <f>$Y$6</f>
        <v/>
      </c>
      <c r="Z49" s="517" t="s">
        <v>104</v>
      </c>
      <c r="AA49" s="507"/>
      <c r="AB49" s="48"/>
      <c r="AF49" s="48"/>
      <c r="AG49" s="48"/>
      <c r="AJ49" s="48"/>
      <c r="AK49" s="48"/>
    </row>
    <row r="50" spans="2:50" ht="13.5" customHeight="1" thickBot="1" x14ac:dyDescent="0.2">
      <c r="B50" s="508"/>
      <c r="C50" s="508"/>
      <c r="D50" s="509"/>
      <c r="E50" s="509"/>
      <c r="F50" s="509"/>
      <c r="G50" s="509"/>
      <c r="H50" s="509"/>
      <c r="I50" s="509"/>
      <c r="J50" s="509"/>
      <c r="K50" s="509"/>
      <c r="L50" s="509"/>
      <c r="M50" s="509"/>
      <c r="N50" s="509"/>
      <c r="O50" s="509"/>
      <c r="P50" s="509"/>
      <c r="Q50" s="509"/>
      <c r="R50" s="509"/>
      <c r="S50" s="509"/>
      <c r="T50" s="509"/>
      <c r="U50" s="509"/>
      <c r="V50" s="509"/>
      <c r="W50" s="509"/>
      <c r="X50" s="510"/>
      <c r="Y50" s="510"/>
      <c r="Z50" s="510"/>
      <c r="AA50" s="511"/>
      <c r="AB50" s="48"/>
      <c r="AF50" s="48"/>
      <c r="AG50" s="48"/>
      <c r="AJ50" s="48"/>
      <c r="AK50" s="48"/>
    </row>
    <row r="51" spans="2:50" ht="15" customHeight="1" x14ac:dyDescent="0.15">
      <c r="B51" s="3200" t="s">
        <v>287</v>
      </c>
      <c r="C51" s="3203" t="s">
        <v>167</v>
      </c>
      <c r="D51" s="1959"/>
      <c r="E51" s="1962" t="s">
        <v>341</v>
      </c>
      <c r="F51" s="2097" t="s">
        <v>166</v>
      </c>
      <c r="G51" s="2098"/>
      <c r="H51" s="3245" t="s">
        <v>165</v>
      </c>
      <c r="I51" s="3246"/>
      <c r="J51" s="3246"/>
      <c r="K51" s="3247"/>
      <c r="L51" s="3245" t="s">
        <v>164</v>
      </c>
      <c r="M51" s="3246"/>
      <c r="N51" s="3246"/>
      <c r="O51" s="3246"/>
      <c r="P51" s="3247"/>
      <c r="Q51" s="3245" t="s">
        <v>163</v>
      </c>
      <c r="R51" s="3246"/>
      <c r="S51" s="3246"/>
      <c r="T51" s="3246"/>
      <c r="U51" s="3247"/>
      <c r="V51" s="3245" t="s">
        <v>249</v>
      </c>
      <c r="W51" s="3246"/>
      <c r="X51" s="3246"/>
      <c r="Y51" s="3246"/>
      <c r="Z51" s="3247"/>
      <c r="AA51" s="3245" t="s">
        <v>250</v>
      </c>
      <c r="AB51" s="3246"/>
      <c r="AC51" s="3246"/>
      <c r="AD51" s="3246"/>
      <c r="AE51" s="3247"/>
      <c r="AF51" s="3245" t="s">
        <v>251</v>
      </c>
      <c r="AG51" s="3246"/>
      <c r="AH51" s="3246"/>
      <c r="AI51" s="3246"/>
      <c r="AJ51" s="3248" t="s">
        <v>438</v>
      </c>
      <c r="AK51" s="3249"/>
      <c r="AL51" s="3249"/>
      <c r="AM51" s="3249"/>
      <c r="AN51" s="3249"/>
      <c r="AO51" s="3250"/>
      <c r="AP51" s="3248" t="s">
        <v>162</v>
      </c>
      <c r="AQ51" s="3249"/>
      <c r="AR51" s="3249"/>
      <c r="AS51" s="3249"/>
      <c r="AT51" s="3250"/>
      <c r="AU51" s="117"/>
      <c r="AW51" s="501"/>
      <c r="AX51" s="501"/>
    </row>
    <row r="52" spans="2:50" ht="26.25" customHeight="1" x14ac:dyDescent="0.15">
      <c r="B52" s="3201"/>
      <c r="C52" s="3204"/>
      <c r="D52" s="1960"/>
      <c r="E52" s="1963"/>
      <c r="F52" s="2099"/>
      <c r="G52" s="1972"/>
      <c r="H52" s="3251" t="str">
        <f>$H$9</f>
        <v/>
      </c>
      <c r="I52" s="3252"/>
      <c r="J52" s="3252"/>
      <c r="K52" s="3253"/>
      <c r="L52" s="3254" t="str">
        <f>$L$9</f>
        <v/>
      </c>
      <c r="M52" s="3255"/>
      <c r="N52" s="3255"/>
      <c r="O52" s="3255"/>
      <c r="P52" s="3256"/>
      <c r="Q52" s="3254" t="str">
        <f>$Q$9</f>
        <v/>
      </c>
      <c r="R52" s="3255"/>
      <c r="S52" s="3255"/>
      <c r="T52" s="3255"/>
      <c r="U52" s="3256"/>
      <c r="V52" s="3254" t="str">
        <f>$V$9</f>
        <v/>
      </c>
      <c r="W52" s="3255"/>
      <c r="X52" s="3255"/>
      <c r="Y52" s="3255"/>
      <c r="Z52" s="3256"/>
      <c r="AA52" s="3254" t="str">
        <f>$AA$9</f>
        <v/>
      </c>
      <c r="AB52" s="3255"/>
      <c r="AC52" s="3255"/>
      <c r="AD52" s="3255"/>
      <c r="AE52" s="3256"/>
      <c r="AF52" s="3254" t="str">
        <f>$AF$9</f>
        <v/>
      </c>
      <c r="AG52" s="3255"/>
      <c r="AH52" s="3255"/>
      <c r="AI52" s="3255"/>
      <c r="AJ52" s="3257" t="s">
        <v>441</v>
      </c>
      <c r="AK52" s="3258"/>
      <c r="AL52" s="3258"/>
      <c r="AM52" s="3258"/>
      <c r="AN52" s="3258"/>
      <c r="AO52" s="3259"/>
      <c r="AP52" s="3263" t="s">
        <v>442</v>
      </c>
      <c r="AQ52" s="3264"/>
      <c r="AR52" s="3264"/>
      <c r="AS52" s="3264"/>
      <c r="AT52" s="3265"/>
      <c r="AU52" s="116"/>
    </row>
    <row r="53" spans="2:50" ht="16.5" customHeight="1" x14ac:dyDescent="0.15">
      <c r="B53" s="3201"/>
      <c r="C53" s="3204"/>
      <c r="D53" s="1960"/>
      <c r="E53" s="1963"/>
      <c r="F53" s="3266" t="s">
        <v>78</v>
      </c>
      <c r="G53" s="3206" t="s">
        <v>79</v>
      </c>
      <c r="H53" s="1974" t="s">
        <v>176</v>
      </c>
      <c r="I53" s="3208"/>
      <c r="J53" s="3210" t="s">
        <v>161</v>
      </c>
      <c r="K53" s="3211"/>
      <c r="L53" s="1974" t="s">
        <v>176</v>
      </c>
      <c r="M53" s="3208"/>
      <c r="N53" s="3210" t="s">
        <v>160</v>
      </c>
      <c r="O53" s="3213"/>
      <c r="P53" s="3211"/>
      <c r="Q53" s="1974" t="s">
        <v>176</v>
      </c>
      <c r="R53" s="3208"/>
      <c r="S53" s="3210" t="s">
        <v>160</v>
      </c>
      <c r="T53" s="3213"/>
      <c r="U53" s="3211"/>
      <c r="V53" s="1974" t="s">
        <v>176</v>
      </c>
      <c r="W53" s="3208"/>
      <c r="X53" s="3210" t="s">
        <v>160</v>
      </c>
      <c r="Y53" s="3213"/>
      <c r="Z53" s="3211"/>
      <c r="AA53" s="1974" t="s">
        <v>176</v>
      </c>
      <c r="AB53" s="3208"/>
      <c r="AC53" s="3210" t="s">
        <v>160</v>
      </c>
      <c r="AD53" s="3213"/>
      <c r="AE53" s="3211"/>
      <c r="AF53" s="1974" t="s">
        <v>176</v>
      </c>
      <c r="AG53" s="3208"/>
      <c r="AH53" s="3210" t="s">
        <v>160</v>
      </c>
      <c r="AI53" s="3213"/>
      <c r="AJ53" s="3257"/>
      <c r="AK53" s="3258"/>
      <c r="AL53" s="3258"/>
      <c r="AM53" s="3258"/>
      <c r="AN53" s="3258"/>
      <c r="AO53" s="3259"/>
      <c r="AP53" s="3257"/>
      <c r="AQ53" s="3258"/>
      <c r="AR53" s="3258"/>
      <c r="AS53" s="3258"/>
      <c r="AT53" s="3259"/>
      <c r="AU53" s="115"/>
    </row>
    <row r="54" spans="2:50" ht="19.5" customHeight="1" thickBot="1" x14ac:dyDescent="0.2">
      <c r="B54" s="3202"/>
      <c r="C54" s="3205"/>
      <c r="D54" s="1961"/>
      <c r="E54" s="1964"/>
      <c r="F54" s="3267"/>
      <c r="G54" s="3207"/>
      <c r="H54" s="1978"/>
      <c r="I54" s="3209"/>
      <c r="J54" s="523" t="s">
        <v>153</v>
      </c>
      <c r="K54" s="522" t="s">
        <v>280</v>
      </c>
      <c r="L54" s="1978"/>
      <c r="M54" s="3212"/>
      <c r="N54" s="523" t="s">
        <v>154</v>
      </c>
      <c r="O54" s="523" t="s">
        <v>153</v>
      </c>
      <c r="P54" s="522" t="s">
        <v>280</v>
      </c>
      <c r="Q54" s="1978"/>
      <c r="R54" s="3209"/>
      <c r="S54" s="523" t="s">
        <v>154</v>
      </c>
      <c r="T54" s="523" t="s">
        <v>153</v>
      </c>
      <c r="U54" s="522" t="s">
        <v>280</v>
      </c>
      <c r="V54" s="1978"/>
      <c r="W54" s="3209"/>
      <c r="X54" s="523" t="s">
        <v>154</v>
      </c>
      <c r="Y54" s="523" t="s">
        <v>153</v>
      </c>
      <c r="Z54" s="522" t="s">
        <v>280</v>
      </c>
      <c r="AA54" s="1978"/>
      <c r="AB54" s="3209"/>
      <c r="AC54" s="523" t="s">
        <v>154</v>
      </c>
      <c r="AD54" s="523" t="s">
        <v>153</v>
      </c>
      <c r="AE54" s="522" t="s">
        <v>280</v>
      </c>
      <c r="AF54" s="1978"/>
      <c r="AG54" s="3209"/>
      <c r="AH54" s="523" t="s">
        <v>154</v>
      </c>
      <c r="AI54" s="523" t="s">
        <v>153</v>
      </c>
      <c r="AJ54" s="3260"/>
      <c r="AK54" s="3261"/>
      <c r="AL54" s="3261"/>
      <c r="AM54" s="3261"/>
      <c r="AN54" s="3261"/>
      <c r="AO54" s="3262"/>
      <c r="AP54" s="3260"/>
      <c r="AQ54" s="3261"/>
      <c r="AR54" s="3261"/>
      <c r="AS54" s="3261"/>
      <c r="AT54" s="3262"/>
      <c r="AU54" s="114"/>
    </row>
    <row r="55" spans="2:50" ht="15" customHeight="1" x14ac:dyDescent="0.15">
      <c r="B55" s="3214" t="s">
        <v>159</v>
      </c>
      <c r="C55" s="3216" t="s">
        <v>158</v>
      </c>
      <c r="D55" s="3217"/>
      <c r="E55" s="3220" t="s">
        <v>157</v>
      </c>
      <c r="F55" s="3222" t="s">
        <v>98</v>
      </c>
      <c r="G55" s="3224"/>
      <c r="H55" s="3190" t="s">
        <v>155</v>
      </c>
      <c r="I55" s="3191"/>
      <c r="J55" s="3194" t="s">
        <v>98</v>
      </c>
      <c r="K55" s="3188" t="s">
        <v>98</v>
      </c>
      <c r="L55" s="3190" t="s">
        <v>155</v>
      </c>
      <c r="M55" s="3226"/>
      <c r="N55" s="3194" t="s">
        <v>98</v>
      </c>
      <c r="O55" s="3194" t="s">
        <v>98</v>
      </c>
      <c r="P55" s="3188" t="s">
        <v>98</v>
      </c>
      <c r="Q55" s="2087" t="s">
        <v>414</v>
      </c>
      <c r="R55" s="3196"/>
      <c r="S55" s="3194" t="s">
        <v>98</v>
      </c>
      <c r="T55" s="3198"/>
      <c r="U55" s="3228"/>
      <c r="V55" s="3190"/>
      <c r="W55" s="3191"/>
      <c r="X55" s="3194"/>
      <c r="Y55" s="3194"/>
      <c r="Z55" s="3188"/>
      <c r="AA55" s="3190"/>
      <c r="AB55" s="3191"/>
      <c r="AC55" s="3194"/>
      <c r="AD55" s="3194"/>
      <c r="AE55" s="3188"/>
      <c r="AF55" s="2087"/>
      <c r="AG55" s="3196"/>
      <c r="AH55" s="3194"/>
      <c r="AI55" s="3198"/>
      <c r="AJ55" s="2032" t="s">
        <v>433</v>
      </c>
      <c r="AK55" s="2033"/>
      <c r="AL55" s="2033"/>
      <c r="AM55" s="2033"/>
      <c r="AN55" s="2033"/>
      <c r="AO55" s="2034"/>
      <c r="AP55" s="2026" t="s">
        <v>342</v>
      </c>
      <c r="AQ55" s="2027"/>
      <c r="AR55" s="2027"/>
      <c r="AS55" s="2027"/>
      <c r="AT55" s="2028"/>
      <c r="AU55" s="113"/>
    </row>
    <row r="56" spans="2:50" ht="15" customHeight="1" x14ac:dyDescent="0.15">
      <c r="B56" s="3215"/>
      <c r="C56" s="3218"/>
      <c r="D56" s="3219"/>
      <c r="E56" s="3221"/>
      <c r="F56" s="3223"/>
      <c r="G56" s="3225"/>
      <c r="H56" s="3192"/>
      <c r="I56" s="3193"/>
      <c r="J56" s="3195"/>
      <c r="K56" s="3189"/>
      <c r="L56" s="3192"/>
      <c r="M56" s="3227"/>
      <c r="N56" s="3195"/>
      <c r="O56" s="3195"/>
      <c r="P56" s="3189"/>
      <c r="Q56" s="2089"/>
      <c r="R56" s="3197"/>
      <c r="S56" s="3195"/>
      <c r="T56" s="3199"/>
      <c r="U56" s="3229"/>
      <c r="V56" s="3192"/>
      <c r="W56" s="3193"/>
      <c r="X56" s="3195"/>
      <c r="Y56" s="3195"/>
      <c r="Z56" s="3189"/>
      <c r="AA56" s="3192"/>
      <c r="AB56" s="3193"/>
      <c r="AC56" s="3195"/>
      <c r="AD56" s="3195"/>
      <c r="AE56" s="3189"/>
      <c r="AF56" s="2089"/>
      <c r="AG56" s="3197"/>
      <c r="AH56" s="3195"/>
      <c r="AI56" s="3199"/>
      <c r="AJ56" s="2035" t="s">
        <v>434</v>
      </c>
      <c r="AK56" s="2036"/>
      <c r="AL56" s="2036"/>
      <c r="AM56" s="2036"/>
      <c r="AN56" s="2036"/>
      <c r="AO56" s="2037"/>
      <c r="AP56" s="2029"/>
      <c r="AQ56" s="2030"/>
      <c r="AR56" s="2030"/>
      <c r="AS56" s="2030"/>
      <c r="AT56" s="2031"/>
      <c r="AU56" s="113"/>
    </row>
    <row r="57" spans="2:50" ht="15" customHeight="1" x14ac:dyDescent="0.15">
      <c r="B57" s="3149">
        <v>16</v>
      </c>
      <c r="C57" s="3151">
        <f>名簿入力!D45</f>
        <v>0</v>
      </c>
      <c r="D57" s="3152"/>
      <c r="E57" s="3155">
        <f>名簿入力!E45</f>
        <v>0</v>
      </c>
      <c r="F57" s="3157">
        <f>名簿入力!G45</f>
        <v>0</v>
      </c>
      <c r="G57" s="3159">
        <f>名簿入力!H45</f>
        <v>0</v>
      </c>
      <c r="H57" s="3161">
        <f>名簿入力!I45</f>
        <v>0</v>
      </c>
      <c r="I57" s="3162"/>
      <c r="J57" s="3165">
        <f>名簿入力!K45</f>
        <v>0</v>
      </c>
      <c r="K57" s="3167">
        <f>名簿入力!L45</f>
        <v>0</v>
      </c>
      <c r="L57" s="3161">
        <f>名簿入力!M45</f>
        <v>0</v>
      </c>
      <c r="M57" s="3169"/>
      <c r="N57" s="3165">
        <f>名簿入力!O45</f>
        <v>0</v>
      </c>
      <c r="O57" s="3165">
        <f>名簿入力!P45</f>
        <v>0</v>
      </c>
      <c r="P57" s="3167">
        <f>名簿入力!Q45</f>
        <v>0</v>
      </c>
      <c r="Q57" s="3161">
        <f>名簿入力!R45</f>
        <v>0</v>
      </c>
      <c r="R57" s="3162"/>
      <c r="S57" s="3165">
        <f>名簿入力!T45</f>
        <v>0</v>
      </c>
      <c r="T57" s="3165">
        <f>名簿入力!U45</f>
        <v>0</v>
      </c>
      <c r="U57" s="3167">
        <f>名簿入力!V45</f>
        <v>0</v>
      </c>
      <c r="V57" s="3161">
        <f>名簿入力!W45</f>
        <v>0</v>
      </c>
      <c r="W57" s="3162"/>
      <c r="X57" s="3165">
        <f>名簿入力!Y45</f>
        <v>0</v>
      </c>
      <c r="Y57" s="3165">
        <f>名簿入力!Z45</f>
        <v>0</v>
      </c>
      <c r="Z57" s="3167">
        <f>名簿入力!AA45</f>
        <v>0</v>
      </c>
      <c r="AA57" s="3161">
        <f>名簿入力!AB45</f>
        <v>0</v>
      </c>
      <c r="AB57" s="3162"/>
      <c r="AC57" s="3165">
        <f>名簿入力!AD45</f>
        <v>0</v>
      </c>
      <c r="AD57" s="3165">
        <f>名簿入力!AE45</f>
        <v>0</v>
      </c>
      <c r="AE57" s="3167">
        <f>名簿入力!AF45</f>
        <v>0</v>
      </c>
      <c r="AF57" s="3161">
        <f>名簿入力!AG45</f>
        <v>0</v>
      </c>
      <c r="AG57" s="3162"/>
      <c r="AH57" s="3165">
        <f>名簿入力!AI45</f>
        <v>0</v>
      </c>
      <c r="AI57" s="3165">
        <f>名簿入力!AJ45</f>
        <v>0</v>
      </c>
      <c r="AJ57" s="3175">
        <f>名簿入力!AK45</f>
        <v>0</v>
      </c>
      <c r="AK57" s="3176"/>
      <c r="AL57" s="3176"/>
      <c r="AM57" s="3176"/>
      <c r="AN57" s="3176"/>
      <c r="AO57" s="3177"/>
      <c r="AP57" s="3137">
        <f>名簿入力!AO45</f>
        <v>0</v>
      </c>
      <c r="AQ57" s="3138"/>
      <c r="AR57" s="3138"/>
      <c r="AS57" s="3138"/>
      <c r="AT57" s="3139"/>
      <c r="AU57" s="113"/>
    </row>
    <row r="58" spans="2:50" ht="15" customHeight="1" x14ac:dyDescent="0.15">
      <c r="B58" s="3181"/>
      <c r="C58" s="3182"/>
      <c r="D58" s="3183"/>
      <c r="E58" s="3184"/>
      <c r="F58" s="3185"/>
      <c r="G58" s="3186"/>
      <c r="H58" s="3173"/>
      <c r="I58" s="3174"/>
      <c r="J58" s="3171"/>
      <c r="K58" s="3172"/>
      <c r="L58" s="3173"/>
      <c r="M58" s="3187"/>
      <c r="N58" s="3171"/>
      <c r="O58" s="3171"/>
      <c r="P58" s="3172"/>
      <c r="Q58" s="3173"/>
      <c r="R58" s="3174"/>
      <c r="S58" s="3171"/>
      <c r="T58" s="3171"/>
      <c r="U58" s="3172"/>
      <c r="V58" s="3173"/>
      <c r="W58" s="3174"/>
      <c r="X58" s="3171"/>
      <c r="Y58" s="3171"/>
      <c r="Z58" s="3172"/>
      <c r="AA58" s="3173"/>
      <c r="AB58" s="3174"/>
      <c r="AC58" s="3171"/>
      <c r="AD58" s="3171"/>
      <c r="AE58" s="3172"/>
      <c r="AF58" s="3173"/>
      <c r="AG58" s="3174"/>
      <c r="AH58" s="3171"/>
      <c r="AI58" s="3171"/>
      <c r="AJ58" s="3146">
        <f>名簿入力!AK46</f>
        <v>0</v>
      </c>
      <c r="AK58" s="3147"/>
      <c r="AL58" s="3147"/>
      <c r="AM58" s="3147"/>
      <c r="AN58" s="3147"/>
      <c r="AO58" s="3148"/>
      <c r="AP58" s="3178"/>
      <c r="AQ58" s="3179"/>
      <c r="AR58" s="3179"/>
      <c r="AS58" s="3179"/>
      <c r="AT58" s="3180"/>
      <c r="AU58" s="113"/>
    </row>
    <row r="59" spans="2:50" ht="15" customHeight="1" x14ac:dyDescent="0.15">
      <c r="B59" s="3149">
        <v>17</v>
      </c>
      <c r="C59" s="3151">
        <f>名簿入力!D47</f>
        <v>0</v>
      </c>
      <c r="D59" s="3152"/>
      <c r="E59" s="3155">
        <f>名簿入力!E47</f>
        <v>0</v>
      </c>
      <c r="F59" s="3157">
        <f>名簿入力!G47</f>
        <v>0</v>
      </c>
      <c r="G59" s="3159">
        <f>名簿入力!H47</f>
        <v>0</v>
      </c>
      <c r="H59" s="3161">
        <f>名簿入力!I47</f>
        <v>0</v>
      </c>
      <c r="I59" s="3162"/>
      <c r="J59" s="3165">
        <f>名簿入力!K47</f>
        <v>0</v>
      </c>
      <c r="K59" s="3167">
        <f>名簿入力!L47</f>
        <v>0</v>
      </c>
      <c r="L59" s="3161">
        <f>名簿入力!M47</f>
        <v>0</v>
      </c>
      <c r="M59" s="3169"/>
      <c r="N59" s="3165">
        <f>名簿入力!O47</f>
        <v>0</v>
      </c>
      <c r="O59" s="3165">
        <f>名簿入力!P47</f>
        <v>0</v>
      </c>
      <c r="P59" s="3167">
        <f>名簿入力!Q47</f>
        <v>0</v>
      </c>
      <c r="Q59" s="3161">
        <f>名簿入力!R47</f>
        <v>0</v>
      </c>
      <c r="R59" s="3162"/>
      <c r="S59" s="3165">
        <f>名簿入力!T47</f>
        <v>0</v>
      </c>
      <c r="T59" s="3165">
        <f>名簿入力!U47</f>
        <v>0</v>
      </c>
      <c r="U59" s="3167">
        <f>名簿入力!V47</f>
        <v>0</v>
      </c>
      <c r="V59" s="3161">
        <f>名簿入力!W47</f>
        <v>0</v>
      </c>
      <c r="W59" s="3162"/>
      <c r="X59" s="3165">
        <f>名簿入力!Y47</f>
        <v>0</v>
      </c>
      <c r="Y59" s="3165">
        <f>名簿入力!Z47</f>
        <v>0</v>
      </c>
      <c r="Z59" s="3167">
        <f>名簿入力!AA47</f>
        <v>0</v>
      </c>
      <c r="AA59" s="3161">
        <f>名簿入力!AB47</f>
        <v>0</v>
      </c>
      <c r="AB59" s="3162"/>
      <c r="AC59" s="3165">
        <f>名簿入力!AD47</f>
        <v>0</v>
      </c>
      <c r="AD59" s="3165">
        <f>名簿入力!AE47</f>
        <v>0</v>
      </c>
      <c r="AE59" s="3167">
        <f>名簿入力!AF47</f>
        <v>0</v>
      </c>
      <c r="AF59" s="3161">
        <f>名簿入力!AG47</f>
        <v>0</v>
      </c>
      <c r="AG59" s="3162"/>
      <c r="AH59" s="3165">
        <f>名簿入力!AI47</f>
        <v>0</v>
      </c>
      <c r="AI59" s="3165">
        <f>名簿入力!AJ47</f>
        <v>0</v>
      </c>
      <c r="AJ59" s="3175">
        <f>名簿入力!AK47</f>
        <v>0</v>
      </c>
      <c r="AK59" s="3176"/>
      <c r="AL59" s="3176"/>
      <c r="AM59" s="3176"/>
      <c r="AN59" s="3176"/>
      <c r="AO59" s="3177"/>
      <c r="AP59" s="3137">
        <f>名簿入力!AO47</f>
        <v>0</v>
      </c>
      <c r="AQ59" s="3138"/>
      <c r="AR59" s="3138"/>
      <c r="AS59" s="3138"/>
      <c r="AT59" s="3139"/>
      <c r="AU59" s="113"/>
    </row>
    <row r="60" spans="2:50" ht="15" customHeight="1" x14ac:dyDescent="0.15">
      <c r="B60" s="3181"/>
      <c r="C60" s="3182"/>
      <c r="D60" s="3183"/>
      <c r="E60" s="3184"/>
      <c r="F60" s="3185"/>
      <c r="G60" s="3186"/>
      <c r="H60" s="3173"/>
      <c r="I60" s="3174"/>
      <c r="J60" s="3171"/>
      <c r="K60" s="3172"/>
      <c r="L60" s="3173"/>
      <c r="M60" s="3187"/>
      <c r="N60" s="3171"/>
      <c r="O60" s="3171"/>
      <c r="P60" s="3172"/>
      <c r="Q60" s="3173"/>
      <c r="R60" s="3174"/>
      <c r="S60" s="3171"/>
      <c r="T60" s="3171"/>
      <c r="U60" s="3172"/>
      <c r="V60" s="3173"/>
      <c r="W60" s="3174"/>
      <c r="X60" s="3171"/>
      <c r="Y60" s="3171"/>
      <c r="Z60" s="3172"/>
      <c r="AA60" s="3173"/>
      <c r="AB60" s="3174"/>
      <c r="AC60" s="3171"/>
      <c r="AD60" s="3171"/>
      <c r="AE60" s="3172"/>
      <c r="AF60" s="3173"/>
      <c r="AG60" s="3174"/>
      <c r="AH60" s="3171"/>
      <c r="AI60" s="3171"/>
      <c r="AJ60" s="3146">
        <f>名簿入力!AK48</f>
        <v>0</v>
      </c>
      <c r="AK60" s="3147"/>
      <c r="AL60" s="3147"/>
      <c r="AM60" s="3147"/>
      <c r="AN60" s="3147"/>
      <c r="AO60" s="3148"/>
      <c r="AP60" s="3178"/>
      <c r="AQ60" s="3179"/>
      <c r="AR60" s="3179"/>
      <c r="AS60" s="3179"/>
      <c r="AT60" s="3180"/>
      <c r="AU60" s="113"/>
    </row>
    <row r="61" spans="2:50" ht="15" customHeight="1" x14ac:dyDescent="0.15">
      <c r="B61" s="3149">
        <v>18</v>
      </c>
      <c r="C61" s="3151">
        <f>名簿入力!D49</f>
        <v>0</v>
      </c>
      <c r="D61" s="3152"/>
      <c r="E61" s="3155">
        <f>名簿入力!E49</f>
        <v>0</v>
      </c>
      <c r="F61" s="3157">
        <f>名簿入力!G49</f>
        <v>0</v>
      </c>
      <c r="G61" s="3159">
        <f>名簿入力!H49</f>
        <v>0</v>
      </c>
      <c r="H61" s="3161">
        <f>名簿入力!I49</f>
        <v>0</v>
      </c>
      <c r="I61" s="3162"/>
      <c r="J61" s="3165">
        <f>名簿入力!K49</f>
        <v>0</v>
      </c>
      <c r="K61" s="3167">
        <f>名簿入力!L49</f>
        <v>0</v>
      </c>
      <c r="L61" s="3161">
        <f>名簿入力!M49</f>
        <v>0</v>
      </c>
      <c r="M61" s="3169"/>
      <c r="N61" s="3165">
        <f>名簿入力!O49</f>
        <v>0</v>
      </c>
      <c r="O61" s="3165">
        <f>名簿入力!P49</f>
        <v>0</v>
      </c>
      <c r="P61" s="3167">
        <f>名簿入力!Q49</f>
        <v>0</v>
      </c>
      <c r="Q61" s="3161">
        <f>名簿入力!R49</f>
        <v>0</v>
      </c>
      <c r="R61" s="3162"/>
      <c r="S61" s="3165">
        <f>名簿入力!T49</f>
        <v>0</v>
      </c>
      <c r="T61" s="3165">
        <f>名簿入力!U49</f>
        <v>0</v>
      </c>
      <c r="U61" s="3167">
        <f>名簿入力!V49</f>
        <v>0</v>
      </c>
      <c r="V61" s="3161">
        <f>名簿入力!W49</f>
        <v>0</v>
      </c>
      <c r="W61" s="3162"/>
      <c r="X61" s="3165">
        <f>名簿入力!Y49</f>
        <v>0</v>
      </c>
      <c r="Y61" s="3165">
        <f>名簿入力!Z49</f>
        <v>0</v>
      </c>
      <c r="Z61" s="3167">
        <f>名簿入力!AA49</f>
        <v>0</v>
      </c>
      <c r="AA61" s="3161">
        <f>名簿入力!AB49</f>
        <v>0</v>
      </c>
      <c r="AB61" s="3162"/>
      <c r="AC61" s="3165">
        <f>名簿入力!AD49</f>
        <v>0</v>
      </c>
      <c r="AD61" s="3165">
        <f>名簿入力!AE49</f>
        <v>0</v>
      </c>
      <c r="AE61" s="3167">
        <f>名簿入力!AF49</f>
        <v>0</v>
      </c>
      <c r="AF61" s="3161">
        <f>名簿入力!AG49</f>
        <v>0</v>
      </c>
      <c r="AG61" s="3162"/>
      <c r="AH61" s="3165">
        <f>名簿入力!AI49</f>
        <v>0</v>
      </c>
      <c r="AI61" s="3165">
        <f>名簿入力!AJ49</f>
        <v>0</v>
      </c>
      <c r="AJ61" s="3175">
        <f>名簿入力!AK49</f>
        <v>0</v>
      </c>
      <c r="AK61" s="3176"/>
      <c r="AL61" s="3176"/>
      <c r="AM61" s="3176"/>
      <c r="AN61" s="3176"/>
      <c r="AO61" s="3177"/>
      <c r="AP61" s="3137">
        <f>名簿入力!AO49</f>
        <v>0</v>
      </c>
      <c r="AQ61" s="3138"/>
      <c r="AR61" s="3138"/>
      <c r="AS61" s="3138"/>
      <c r="AT61" s="3139"/>
      <c r="AU61" s="113"/>
    </row>
    <row r="62" spans="2:50" ht="15" customHeight="1" x14ac:dyDescent="0.15">
      <c r="B62" s="3181"/>
      <c r="C62" s="3182"/>
      <c r="D62" s="3183"/>
      <c r="E62" s="3184"/>
      <c r="F62" s="3185"/>
      <c r="G62" s="3186"/>
      <c r="H62" s="3173"/>
      <c r="I62" s="3174"/>
      <c r="J62" s="3171"/>
      <c r="K62" s="3172"/>
      <c r="L62" s="3173"/>
      <c r="M62" s="3187"/>
      <c r="N62" s="3171"/>
      <c r="O62" s="3171"/>
      <c r="P62" s="3172"/>
      <c r="Q62" s="3173"/>
      <c r="R62" s="3174"/>
      <c r="S62" s="3171"/>
      <c r="T62" s="3171"/>
      <c r="U62" s="3172"/>
      <c r="V62" s="3173"/>
      <c r="W62" s="3174"/>
      <c r="X62" s="3171"/>
      <c r="Y62" s="3171"/>
      <c r="Z62" s="3172"/>
      <c r="AA62" s="3173"/>
      <c r="AB62" s="3174"/>
      <c r="AC62" s="3171"/>
      <c r="AD62" s="3171"/>
      <c r="AE62" s="3172"/>
      <c r="AF62" s="3173"/>
      <c r="AG62" s="3174"/>
      <c r="AH62" s="3171"/>
      <c r="AI62" s="3171"/>
      <c r="AJ62" s="3146">
        <f>名簿入力!AK50</f>
        <v>0</v>
      </c>
      <c r="AK62" s="3147"/>
      <c r="AL62" s="3147"/>
      <c r="AM62" s="3147"/>
      <c r="AN62" s="3147"/>
      <c r="AO62" s="3148"/>
      <c r="AP62" s="3178"/>
      <c r="AQ62" s="3179"/>
      <c r="AR62" s="3179"/>
      <c r="AS62" s="3179"/>
      <c r="AT62" s="3180"/>
      <c r="AU62" s="113"/>
    </row>
    <row r="63" spans="2:50" ht="15" customHeight="1" x14ac:dyDescent="0.15">
      <c r="B63" s="3149">
        <v>19</v>
      </c>
      <c r="C63" s="3151">
        <f>名簿入力!D51</f>
        <v>0</v>
      </c>
      <c r="D63" s="3152"/>
      <c r="E63" s="3155">
        <f>名簿入力!E51</f>
        <v>0</v>
      </c>
      <c r="F63" s="3157">
        <f>名簿入力!G51</f>
        <v>0</v>
      </c>
      <c r="G63" s="3159">
        <f>名簿入力!H51</f>
        <v>0</v>
      </c>
      <c r="H63" s="3161">
        <f>名簿入力!I51</f>
        <v>0</v>
      </c>
      <c r="I63" s="3162"/>
      <c r="J63" s="3165">
        <f>名簿入力!K51</f>
        <v>0</v>
      </c>
      <c r="K63" s="3167">
        <f>名簿入力!L51</f>
        <v>0</v>
      </c>
      <c r="L63" s="3161">
        <f>名簿入力!M51</f>
        <v>0</v>
      </c>
      <c r="M63" s="3169"/>
      <c r="N63" s="3165">
        <f>名簿入力!O51</f>
        <v>0</v>
      </c>
      <c r="O63" s="3165">
        <f>名簿入力!P51</f>
        <v>0</v>
      </c>
      <c r="P63" s="3167">
        <f>名簿入力!Q51</f>
        <v>0</v>
      </c>
      <c r="Q63" s="3161">
        <f>名簿入力!R51</f>
        <v>0</v>
      </c>
      <c r="R63" s="3162"/>
      <c r="S63" s="3165">
        <f>名簿入力!T51</f>
        <v>0</v>
      </c>
      <c r="T63" s="3165">
        <f>名簿入力!U51</f>
        <v>0</v>
      </c>
      <c r="U63" s="3167">
        <f>名簿入力!V51</f>
        <v>0</v>
      </c>
      <c r="V63" s="3161">
        <f>名簿入力!W51</f>
        <v>0</v>
      </c>
      <c r="W63" s="3162"/>
      <c r="X63" s="3165">
        <f>名簿入力!Y51</f>
        <v>0</v>
      </c>
      <c r="Y63" s="3165">
        <f>名簿入力!Z51</f>
        <v>0</v>
      </c>
      <c r="Z63" s="3167">
        <f>名簿入力!AA51</f>
        <v>0</v>
      </c>
      <c r="AA63" s="3161">
        <f>名簿入力!AB51</f>
        <v>0</v>
      </c>
      <c r="AB63" s="3162"/>
      <c r="AC63" s="3165">
        <f>名簿入力!AD51</f>
        <v>0</v>
      </c>
      <c r="AD63" s="3165">
        <f>名簿入力!AE51</f>
        <v>0</v>
      </c>
      <c r="AE63" s="3167">
        <f>名簿入力!AF51</f>
        <v>0</v>
      </c>
      <c r="AF63" s="3161">
        <f>名簿入力!AG51</f>
        <v>0</v>
      </c>
      <c r="AG63" s="3162"/>
      <c r="AH63" s="3165">
        <f>名簿入力!AI51</f>
        <v>0</v>
      </c>
      <c r="AI63" s="3165">
        <f>名簿入力!AJ51</f>
        <v>0</v>
      </c>
      <c r="AJ63" s="3175">
        <f>名簿入力!AK51</f>
        <v>0</v>
      </c>
      <c r="AK63" s="3176"/>
      <c r="AL63" s="3176"/>
      <c r="AM63" s="3176"/>
      <c r="AN63" s="3176"/>
      <c r="AO63" s="3177"/>
      <c r="AP63" s="3137">
        <f>名簿入力!AO51</f>
        <v>0</v>
      </c>
      <c r="AQ63" s="3138"/>
      <c r="AR63" s="3138"/>
      <c r="AS63" s="3138"/>
      <c r="AT63" s="3139"/>
      <c r="AU63" s="113"/>
    </row>
    <row r="64" spans="2:50" ht="15" customHeight="1" x14ac:dyDescent="0.15">
      <c r="B64" s="3181"/>
      <c r="C64" s="3182"/>
      <c r="D64" s="3183"/>
      <c r="E64" s="3184"/>
      <c r="F64" s="3185"/>
      <c r="G64" s="3186"/>
      <c r="H64" s="3173"/>
      <c r="I64" s="3174"/>
      <c r="J64" s="3171"/>
      <c r="K64" s="3172"/>
      <c r="L64" s="3173"/>
      <c r="M64" s="3187"/>
      <c r="N64" s="3171"/>
      <c r="O64" s="3171"/>
      <c r="P64" s="3172"/>
      <c r="Q64" s="3173"/>
      <c r="R64" s="3174"/>
      <c r="S64" s="3171"/>
      <c r="T64" s="3171"/>
      <c r="U64" s="3172"/>
      <c r="V64" s="3173"/>
      <c r="W64" s="3174"/>
      <c r="X64" s="3171"/>
      <c r="Y64" s="3171"/>
      <c r="Z64" s="3172"/>
      <c r="AA64" s="3173"/>
      <c r="AB64" s="3174"/>
      <c r="AC64" s="3171"/>
      <c r="AD64" s="3171"/>
      <c r="AE64" s="3172"/>
      <c r="AF64" s="3173"/>
      <c r="AG64" s="3174"/>
      <c r="AH64" s="3171"/>
      <c r="AI64" s="3171"/>
      <c r="AJ64" s="3146">
        <f>名簿入力!AK52</f>
        <v>0</v>
      </c>
      <c r="AK64" s="3147"/>
      <c r="AL64" s="3147"/>
      <c r="AM64" s="3147"/>
      <c r="AN64" s="3147"/>
      <c r="AO64" s="3148"/>
      <c r="AP64" s="3178"/>
      <c r="AQ64" s="3179"/>
      <c r="AR64" s="3179"/>
      <c r="AS64" s="3179"/>
      <c r="AT64" s="3180"/>
      <c r="AU64" s="113"/>
    </row>
    <row r="65" spans="2:47" ht="15" customHeight="1" x14ac:dyDescent="0.15">
      <c r="B65" s="3149">
        <v>20</v>
      </c>
      <c r="C65" s="3151">
        <f>名簿入力!D53</f>
        <v>0</v>
      </c>
      <c r="D65" s="3152"/>
      <c r="E65" s="3155">
        <f>名簿入力!E53</f>
        <v>0</v>
      </c>
      <c r="F65" s="3157">
        <f>名簿入力!G53</f>
        <v>0</v>
      </c>
      <c r="G65" s="3159">
        <f>名簿入力!H53</f>
        <v>0</v>
      </c>
      <c r="H65" s="3161">
        <f>名簿入力!I53</f>
        <v>0</v>
      </c>
      <c r="I65" s="3162"/>
      <c r="J65" s="3165">
        <f>名簿入力!K53</f>
        <v>0</v>
      </c>
      <c r="K65" s="3167">
        <f>名簿入力!L53</f>
        <v>0</v>
      </c>
      <c r="L65" s="3161">
        <f>名簿入力!M53</f>
        <v>0</v>
      </c>
      <c r="M65" s="3169"/>
      <c r="N65" s="3165">
        <f>名簿入力!O53</f>
        <v>0</v>
      </c>
      <c r="O65" s="3165">
        <f>名簿入力!P53</f>
        <v>0</v>
      </c>
      <c r="P65" s="3167">
        <f>名簿入力!Q53</f>
        <v>0</v>
      </c>
      <c r="Q65" s="3161">
        <f>名簿入力!R53</f>
        <v>0</v>
      </c>
      <c r="R65" s="3162"/>
      <c r="S65" s="3165">
        <f>名簿入力!T53</f>
        <v>0</v>
      </c>
      <c r="T65" s="3165">
        <f>名簿入力!U53</f>
        <v>0</v>
      </c>
      <c r="U65" s="3167">
        <f>名簿入力!V53</f>
        <v>0</v>
      </c>
      <c r="V65" s="3161">
        <f>名簿入力!W53</f>
        <v>0</v>
      </c>
      <c r="W65" s="3162"/>
      <c r="X65" s="3165">
        <f>名簿入力!Y53</f>
        <v>0</v>
      </c>
      <c r="Y65" s="3165">
        <f>名簿入力!Z53</f>
        <v>0</v>
      </c>
      <c r="Z65" s="3167">
        <f>名簿入力!AA53</f>
        <v>0</v>
      </c>
      <c r="AA65" s="3161">
        <f>名簿入力!AB53</f>
        <v>0</v>
      </c>
      <c r="AB65" s="3162"/>
      <c r="AC65" s="3165">
        <f>名簿入力!AD53</f>
        <v>0</v>
      </c>
      <c r="AD65" s="3165">
        <f>名簿入力!AE53</f>
        <v>0</v>
      </c>
      <c r="AE65" s="3167">
        <f>名簿入力!AF53</f>
        <v>0</v>
      </c>
      <c r="AF65" s="3161">
        <f>名簿入力!AG53</f>
        <v>0</v>
      </c>
      <c r="AG65" s="3162"/>
      <c r="AH65" s="3165">
        <f>名簿入力!AI53</f>
        <v>0</v>
      </c>
      <c r="AI65" s="3165">
        <f>名簿入力!AJ53</f>
        <v>0</v>
      </c>
      <c r="AJ65" s="3175">
        <f>名簿入力!AK53</f>
        <v>0</v>
      </c>
      <c r="AK65" s="3176"/>
      <c r="AL65" s="3176"/>
      <c r="AM65" s="3176"/>
      <c r="AN65" s="3176"/>
      <c r="AO65" s="3177"/>
      <c r="AP65" s="3137">
        <f>名簿入力!AO53</f>
        <v>0</v>
      </c>
      <c r="AQ65" s="3138"/>
      <c r="AR65" s="3138"/>
      <c r="AS65" s="3138"/>
      <c r="AT65" s="3139"/>
      <c r="AU65" s="113"/>
    </row>
    <row r="66" spans="2:47" ht="15" customHeight="1" x14ac:dyDescent="0.15">
      <c r="B66" s="3181"/>
      <c r="C66" s="3182"/>
      <c r="D66" s="3183"/>
      <c r="E66" s="3184"/>
      <c r="F66" s="3185"/>
      <c r="G66" s="3186"/>
      <c r="H66" s="3173"/>
      <c r="I66" s="3174"/>
      <c r="J66" s="3171"/>
      <c r="K66" s="3172"/>
      <c r="L66" s="3173"/>
      <c r="M66" s="3187"/>
      <c r="N66" s="3171"/>
      <c r="O66" s="3171"/>
      <c r="P66" s="3172"/>
      <c r="Q66" s="3173"/>
      <c r="R66" s="3174"/>
      <c r="S66" s="3171"/>
      <c r="T66" s="3171"/>
      <c r="U66" s="3172"/>
      <c r="V66" s="3173"/>
      <c r="W66" s="3174"/>
      <c r="X66" s="3171"/>
      <c r="Y66" s="3171"/>
      <c r="Z66" s="3172"/>
      <c r="AA66" s="3173"/>
      <c r="AB66" s="3174"/>
      <c r="AC66" s="3171"/>
      <c r="AD66" s="3171"/>
      <c r="AE66" s="3172"/>
      <c r="AF66" s="3173"/>
      <c r="AG66" s="3174"/>
      <c r="AH66" s="3171"/>
      <c r="AI66" s="3171"/>
      <c r="AJ66" s="3146">
        <f>名簿入力!AK54</f>
        <v>0</v>
      </c>
      <c r="AK66" s="3147"/>
      <c r="AL66" s="3147"/>
      <c r="AM66" s="3147"/>
      <c r="AN66" s="3147"/>
      <c r="AO66" s="3148"/>
      <c r="AP66" s="3178"/>
      <c r="AQ66" s="3179"/>
      <c r="AR66" s="3179"/>
      <c r="AS66" s="3179"/>
      <c r="AT66" s="3180"/>
      <c r="AU66" s="113"/>
    </row>
    <row r="67" spans="2:47" ht="15" customHeight="1" x14ac:dyDescent="0.15">
      <c r="B67" s="3149">
        <v>21</v>
      </c>
      <c r="C67" s="3151">
        <f>名簿入力!D55</f>
        <v>0</v>
      </c>
      <c r="D67" s="3152"/>
      <c r="E67" s="3155">
        <f>名簿入力!E55</f>
        <v>0</v>
      </c>
      <c r="F67" s="3157">
        <f>名簿入力!G55</f>
        <v>0</v>
      </c>
      <c r="G67" s="3159">
        <f>名簿入力!H55</f>
        <v>0</v>
      </c>
      <c r="H67" s="3161">
        <f>名簿入力!I55</f>
        <v>0</v>
      </c>
      <c r="I67" s="3162"/>
      <c r="J67" s="3165">
        <f>名簿入力!K55</f>
        <v>0</v>
      </c>
      <c r="K67" s="3167">
        <f>名簿入力!L55</f>
        <v>0</v>
      </c>
      <c r="L67" s="3161">
        <f>名簿入力!M55</f>
        <v>0</v>
      </c>
      <c r="M67" s="3169"/>
      <c r="N67" s="3165">
        <f>名簿入力!O55</f>
        <v>0</v>
      </c>
      <c r="O67" s="3165">
        <f>名簿入力!P55</f>
        <v>0</v>
      </c>
      <c r="P67" s="3167">
        <f>名簿入力!Q55</f>
        <v>0</v>
      </c>
      <c r="Q67" s="3161">
        <f>名簿入力!R55</f>
        <v>0</v>
      </c>
      <c r="R67" s="3162"/>
      <c r="S67" s="3165">
        <f>名簿入力!T55</f>
        <v>0</v>
      </c>
      <c r="T67" s="3165">
        <f>名簿入力!U55</f>
        <v>0</v>
      </c>
      <c r="U67" s="3167">
        <f>名簿入力!V55</f>
        <v>0</v>
      </c>
      <c r="V67" s="3161">
        <f>名簿入力!W55</f>
        <v>0</v>
      </c>
      <c r="W67" s="3162"/>
      <c r="X67" s="3165">
        <f>名簿入力!Y55</f>
        <v>0</v>
      </c>
      <c r="Y67" s="3165">
        <f>名簿入力!Z55</f>
        <v>0</v>
      </c>
      <c r="Z67" s="3167">
        <f>名簿入力!AA55</f>
        <v>0</v>
      </c>
      <c r="AA67" s="3161">
        <f>名簿入力!AB55</f>
        <v>0</v>
      </c>
      <c r="AB67" s="3162"/>
      <c r="AC67" s="3165">
        <f>名簿入力!AD55</f>
        <v>0</v>
      </c>
      <c r="AD67" s="3165">
        <f>名簿入力!AE55</f>
        <v>0</v>
      </c>
      <c r="AE67" s="3167">
        <f>名簿入力!AF55</f>
        <v>0</v>
      </c>
      <c r="AF67" s="3161">
        <f>名簿入力!AG55</f>
        <v>0</v>
      </c>
      <c r="AG67" s="3162"/>
      <c r="AH67" s="3165">
        <f>名簿入力!AI55</f>
        <v>0</v>
      </c>
      <c r="AI67" s="3165">
        <f>名簿入力!AJ55</f>
        <v>0</v>
      </c>
      <c r="AJ67" s="3175">
        <f>名簿入力!AK55</f>
        <v>0</v>
      </c>
      <c r="AK67" s="3176"/>
      <c r="AL67" s="3176"/>
      <c r="AM67" s="3176"/>
      <c r="AN67" s="3176"/>
      <c r="AO67" s="3177"/>
      <c r="AP67" s="3137">
        <f>名簿入力!AO55</f>
        <v>0</v>
      </c>
      <c r="AQ67" s="3138"/>
      <c r="AR67" s="3138"/>
      <c r="AS67" s="3138"/>
      <c r="AT67" s="3139"/>
      <c r="AU67" s="113"/>
    </row>
    <row r="68" spans="2:47" ht="15" customHeight="1" x14ac:dyDescent="0.15">
      <c r="B68" s="3181"/>
      <c r="C68" s="3182"/>
      <c r="D68" s="3183"/>
      <c r="E68" s="3184"/>
      <c r="F68" s="3185"/>
      <c r="G68" s="3186"/>
      <c r="H68" s="3173"/>
      <c r="I68" s="3174"/>
      <c r="J68" s="3171"/>
      <c r="K68" s="3172"/>
      <c r="L68" s="3173"/>
      <c r="M68" s="3187"/>
      <c r="N68" s="3171"/>
      <c r="O68" s="3171"/>
      <c r="P68" s="3172"/>
      <c r="Q68" s="3173"/>
      <c r="R68" s="3174"/>
      <c r="S68" s="3171"/>
      <c r="T68" s="3171"/>
      <c r="U68" s="3172"/>
      <c r="V68" s="3173"/>
      <c r="W68" s="3174"/>
      <c r="X68" s="3171"/>
      <c r="Y68" s="3171"/>
      <c r="Z68" s="3172"/>
      <c r="AA68" s="3173"/>
      <c r="AB68" s="3174"/>
      <c r="AC68" s="3171"/>
      <c r="AD68" s="3171"/>
      <c r="AE68" s="3172"/>
      <c r="AF68" s="3173"/>
      <c r="AG68" s="3174"/>
      <c r="AH68" s="3171"/>
      <c r="AI68" s="3171"/>
      <c r="AJ68" s="3146">
        <f>名簿入力!AK56</f>
        <v>0</v>
      </c>
      <c r="AK68" s="3147"/>
      <c r="AL68" s="3147"/>
      <c r="AM68" s="3147"/>
      <c r="AN68" s="3147"/>
      <c r="AO68" s="3148"/>
      <c r="AP68" s="3178"/>
      <c r="AQ68" s="3179"/>
      <c r="AR68" s="3179"/>
      <c r="AS68" s="3179"/>
      <c r="AT68" s="3180"/>
      <c r="AU68" s="113"/>
    </row>
    <row r="69" spans="2:47" ht="15" customHeight="1" x14ac:dyDescent="0.15">
      <c r="B69" s="3149">
        <v>22</v>
      </c>
      <c r="C69" s="3151">
        <f>名簿入力!D57</f>
        <v>0</v>
      </c>
      <c r="D69" s="3152"/>
      <c r="E69" s="3155">
        <f>名簿入力!E57</f>
        <v>0</v>
      </c>
      <c r="F69" s="3157">
        <f>名簿入力!G57</f>
        <v>0</v>
      </c>
      <c r="G69" s="3159">
        <f>名簿入力!H57</f>
        <v>0</v>
      </c>
      <c r="H69" s="3161">
        <f>名簿入力!I57</f>
        <v>0</v>
      </c>
      <c r="I69" s="3162"/>
      <c r="J69" s="3165">
        <f>名簿入力!K57</f>
        <v>0</v>
      </c>
      <c r="K69" s="3167">
        <f>名簿入力!L57</f>
        <v>0</v>
      </c>
      <c r="L69" s="3161">
        <f>名簿入力!M57</f>
        <v>0</v>
      </c>
      <c r="M69" s="3169"/>
      <c r="N69" s="3165">
        <f>名簿入力!O57</f>
        <v>0</v>
      </c>
      <c r="O69" s="3165">
        <f>名簿入力!P57</f>
        <v>0</v>
      </c>
      <c r="P69" s="3167">
        <f>名簿入力!Q57</f>
        <v>0</v>
      </c>
      <c r="Q69" s="3161">
        <f>名簿入力!R57</f>
        <v>0</v>
      </c>
      <c r="R69" s="3162"/>
      <c r="S69" s="3165">
        <f>名簿入力!T57</f>
        <v>0</v>
      </c>
      <c r="T69" s="3165">
        <f>名簿入力!U57</f>
        <v>0</v>
      </c>
      <c r="U69" s="3167">
        <f>名簿入力!V57</f>
        <v>0</v>
      </c>
      <c r="V69" s="3161">
        <f>名簿入力!W57</f>
        <v>0</v>
      </c>
      <c r="W69" s="3162"/>
      <c r="X69" s="3165">
        <f>名簿入力!Y57</f>
        <v>0</v>
      </c>
      <c r="Y69" s="3165">
        <f>名簿入力!Z57</f>
        <v>0</v>
      </c>
      <c r="Z69" s="3167">
        <f>名簿入力!AA57</f>
        <v>0</v>
      </c>
      <c r="AA69" s="3161">
        <f>名簿入力!AB57</f>
        <v>0</v>
      </c>
      <c r="AB69" s="3162"/>
      <c r="AC69" s="3165">
        <f>名簿入力!AD57</f>
        <v>0</v>
      </c>
      <c r="AD69" s="3165">
        <f>名簿入力!AE57</f>
        <v>0</v>
      </c>
      <c r="AE69" s="3167">
        <f>名簿入力!AF57</f>
        <v>0</v>
      </c>
      <c r="AF69" s="3161">
        <f>名簿入力!AG57</f>
        <v>0</v>
      </c>
      <c r="AG69" s="3162"/>
      <c r="AH69" s="3165">
        <f>名簿入力!AI57</f>
        <v>0</v>
      </c>
      <c r="AI69" s="3165">
        <f>名簿入力!AJ57</f>
        <v>0</v>
      </c>
      <c r="AJ69" s="3175">
        <f>名簿入力!AK57</f>
        <v>0</v>
      </c>
      <c r="AK69" s="3176"/>
      <c r="AL69" s="3176"/>
      <c r="AM69" s="3176"/>
      <c r="AN69" s="3176"/>
      <c r="AO69" s="3177"/>
      <c r="AP69" s="3137">
        <f>名簿入力!AO57</f>
        <v>0</v>
      </c>
      <c r="AQ69" s="3138"/>
      <c r="AR69" s="3138"/>
      <c r="AS69" s="3138"/>
      <c r="AT69" s="3139"/>
      <c r="AU69" s="113"/>
    </row>
    <row r="70" spans="2:47" ht="15" customHeight="1" x14ac:dyDescent="0.15">
      <c r="B70" s="3181"/>
      <c r="C70" s="3182"/>
      <c r="D70" s="3183"/>
      <c r="E70" s="3184"/>
      <c r="F70" s="3185"/>
      <c r="G70" s="3186"/>
      <c r="H70" s="3173"/>
      <c r="I70" s="3174"/>
      <c r="J70" s="3171"/>
      <c r="K70" s="3172"/>
      <c r="L70" s="3173"/>
      <c r="M70" s="3187"/>
      <c r="N70" s="3171"/>
      <c r="O70" s="3171"/>
      <c r="P70" s="3172"/>
      <c r="Q70" s="3173"/>
      <c r="R70" s="3174"/>
      <c r="S70" s="3171"/>
      <c r="T70" s="3171"/>
      <c r="U70" s="3172"/>
      <c r="V70" s="3173"/>
      <c r="W70" s="3174"/>
      <c r="X70" s="3171"/>
      <c r="Y70" s="3171"/>
      <c r="Z70" s="3172"/>
      <c r="AA70" s="3173"/>
      <c r="AB70" s="3174"/>
      <c r="AC70" s="3171"/>
      <c r="AD70" s="3171"/>
      <c r="AE70" s="3172"/>
      <c r="AF70" s="3173"/>
      <c r="AG70" s="3174"/>
      <c r="AH70" s="3171"/>
      <c r="AI70" s="3171"/>
      <c r="AJ70" s="3146">
        <f>名簿入力!AK58</f>
        <v>0</v>
      </c>
      <c r="AK70" s="3147"/>
      <c r="AL70" s="3147"/>
      <c r="AM70" s="3147"/>
      <c r="AN70" s="3147"/>
      <c r="AO70" s="3148"/>
      <c r="AP70" s="3178"/>
      <c r="AQ70" s="3179"/>
      <c r="AR70" s="3179"/>
      <c r="AS70" s="3179"/>
      <c r="AT70" s="3180"/>
      <c r="AU70" s="113"/>
    </row>
    <row r="71" spans="2:47" ht="15" customHeight="1" x14ac:dyDescent="0.15">
      <c r="B71" s="3149">
        <v>23</v>
      </c>
      <c r="C71" s="3151">
        <f>名簿入力!D59</f>
        <v>0</v>
      </c>
      <c r="D71" s="3152"/>
      <c r="E71" s="3155">
        <f>名簿入力!E59</f>
        <v>0</v>
      </c>
      <c r="F71" s="3157">
        <f>名簿入力!G59</f>
        <v>0</v>
      </c>
      <c r="G71" s="3159">
        <f>名簿入力!H59</f>
        <v>0</v>
      </c>
      <c r="H71" s="3161">
        <f>名簿入力!I59</f>
        <v>0</v>
      </c>
      <c r="I71" s="3162"/>
      <c r="J71" s="3165">
        <f>名簿入力!K59</f>
        <v>0</v>
      </c>
      <c r="K71" s="3167">
        <f>名簿入力!L59</f>
        <v>0</v>
      </c>
      <c r="L71" s="3161">
        <f>名簿入力!M59</f>
        <v>0</v>
      </c>
      <c r="M71" s="3169"/>
      <c r="N71" s="3165">
        <f>名簿入力!O59</f>
        <v>0</v>
      </c>
      <c r="O71" s="3165">
        <f>名簿入力!P59</f>
        <v>0</v>
      </c>
      <c r="P71" s="3167">
        <f>名簿入力!Q59</f>
        <v>0</v>
      </c>
      <c r="Q71" s="3161">
        <f>名簿入力!R59</f>
        <v>0</v>
      </c>
      <c r="R71" s="3162"/>
      <c r="S71" s="3165">
        <f>名簿入力!T59</f>
        <v>0</v>
      </c>
      <c r="T71" s="3165">
        <f>名簿入力!U59</f>
        <v>0</v>
      </c>
      <c r="U71" s="3167">
        <f>名簿入力!V59</f>
        <v>0</v>
      </c>
      <c r="V71" s="3161">
        <f>名簿入力!W59</f>
        <v>0</v>
      </c>
      <c r="W71" s="3162"/>
      <c r="X71" s="3165">
        <f>名簿入力!Y59</f>
        <v>0</v>
      </c>
      <c r="Y71" s="3165">
        <f>名簿入力!Z59</f>
        <v>0</v>
      </c>
      <c r="Z71" s="3167">
        <f>名簿入力!AA59</f>
        <v>0</v>
      </c>
      <c r="AA71" s="3161">
        <f>名簿入力!AB59</f>
        <v>0</v>
      </c>
      <c r="AB71" s="3162"/>
      <c r="AC71" s="3165">
        <f>名簿入力!AD59</f>
        <v>0</v>
      </c>
      <c r="AD71" s="3165">
        <f>名簿入力!AE59</f>
        <v>0</v>
      </c>
      <c r="AE71" s="3167">
        <f>名簿入力!AF59</f>
        <v>0</v>
      </c>
      <c r="AF71" s="3161">
        <f>名簿入力!AG59</f>
        <v>0</v>
      </c>
      <c r="AG71" s="3162"/>
      <c r="AH71" s="3165">
        <f>名簿入力!AI59</f>
        <v>0</v>
      </c>
      <c r="AI71" s="3165">
        <f>名簿入力!AJ59</f>
        <v>0</v>
      </c>
      <c r="AJ71" s="3175">
        <f>名簿入力!AK59</f>
        <v>0</v>
      </c>
      <c r="AK71" s="3176"/>
      <c r="AL71" s="3176"/>
      <c r="AM71" s="3176"/>
      <c r="AN71" s="3176"/>
      <c r="AO71" s="3177"/>
      <c r="AP71" s="3137">
        <f>名簿入力!AO59</f>
        <v>0</v>
      </c>
      <c r="AQ71" s="3138"/>
      <c r="AR71" s="3138"/>
      <c r="AS71" s="3138"/>
      <c r="AT71" s="3139"/>
      <c r="AU71" s="113"/>
    </row>
    <row r="72" spans="2:47" ht="15" customHeight="1" x14ac:dyDescent="0.15">
      <c r="B72" s="3181"/>
      <c r="C72" s="3182"/>
      <c r="D72" s="3183"/>
      <c r="E72" s="3184"/>
      <c r="F72" s="3185"/>
      <c r="G72" s="3186"/>
      <c r="H72" s="3173"/>
      <c r="I72" s="3174"/>
      <c r="J72" s="3171"/>
      <c r="K72" s="3172"/>
      <c r="L72" s="3173"/>
      <c r="M72" s="3187"/>
      <c r="N72" s="3171"/>
      <c r="O72" s="3171"/>
      <c r="P72" s="3172"/>
      <c r="Q72" s="3173"/>
      <c r="R72" s="3174"/>
      <c r="S72" s="3171"/>
      <c r="T72" s="3171"/>
      <c r="U72" s="3172"/>
      <c r="V72" s="3173"/>
      <c r="W72" s="3174"/>
      <c r="X72" s="3171"/>
      <c r="Y72" s="3171"/>
      <c r="Z72" s="3172"/>
      <c r="AA72" s="3173"/>
      <c r="AB72" s="3174"/>
      <c r="AC72" s="3171"/>
      <c r="AD72" s="3171"/>
      <c r="AE72" s="3172"/>
      <c r="AF72" s="3173"/>
      <c r="AG72" s="3174"/>
      <c r="AH72" s="3171"/>
      <c r="AI72" s="3171"/>
      <c r="AJ72" s="3146">
        <f>名簿入力!AK60</f>
        <v>0</v>
      </c>
      <c r="AK72" s="3147"/>
      <c r="AL72" s="3147"/>
      <c r="AM72" s="3147"/>
      <c r="AN72" s="3147"/>
      <c r="AO72" s="3148"/>
      <c r="AP72" s="3178"/>
      <c r="AQ72" s="3179"/>
      <c r="AR72" s="3179"/>
      <c r="AS72" s="3179"/>
      <c r="AT72" s="3180"/>
      <c r="AU72" s="113"/>
    </row>
    <row r="73" spans="2:47" ht="15" customHeight="1" x14ac:dyDescent="0.15">
      <c r="B73" s="3149">
        <v>24</v>
      </c>
      <c r="C73" s="3151">
        <f>名簿入力!D61</f>
        <v>0</v>
      </c>
      <c r="D73" s="3152"/>
      <c r="E73" s="3155">
        <f>名簿入力!E61</f>
        <v>0</v>
      </c>
      <c r="F73" s="3157">
        <f>名簿入力!G61</f>
        <v>0</v>
      </c>
      <c r="G73" s="3159">
        <f>名簿入力!H61</f>
        <v>0</v>
      </c>
      <c r="H73" s="3161">
        <f>名簿入力!I61</f>
        <v>0</v>
      </c>
      <c r="I73" s="3162"/>
      <c r="J73" s="3165">
        <f>名簿入力!K61</f>
        <v>0</v>
      </c>
      <c r="K73" s="3167">
        <f>名簿入力!L61</f>
        <v>0</v>
      </c>
      <c r="L73" s="3161">
        <f>名簿入力!M61</f>
        <v>0</v>
      </c>
      <c r="M73" s="3169"/>
      <c r="N73" s="3165">
        <f>名簿入力!O61</f>
        <v>0</v>
      </c>
      <c r="O73" s="3165">
        <f>名簿入力!P61</f>
        <v>0</v>
      </c>
      <c r="P73" s="3167">
        <f>名簿入力!Q61</f>
        <v>0</v>
      </c>
      <c r="Q73" s="3161">
        <f>名簿入力!R61</f>
        <v>0</v>
      </c>
      <c r="R73" s="3162"/>
      <c r="S73" s="3165">
        <f>名簿入力!T61</f>
        <v>0</v>
      </c>
      <c r="T73" s="3165">
        <f>名簿入力!U61</f>
        <v>0</v>
      </c>
      <c r="U73" s="3167">
        <f>名簿入力!V61</f>
        <v>0</v>
      </c>
      <c r="V73" s="3161">
        <f>名簿入力!W61</f>
        <v>0</v>
      </c>
      <c r="W73" s="3162"/>
      <c r="X73" s="3165">
        <f>名簿入力!Y61</f>
        <v>0</v>
      </c>
      <c r="Y73" s="3165">
        <f>名簿入力!Z61</f>
        <v>0</v>
      </c>
      <c r="Z73" s="3167">
        <f>名簿入力!AA61</f>
        <v>0</v>
      </c>
      <c r="AA73" s="3161">
        <f>名簿入力!AB61</f>
        <v>0</v>
      </c>
      <c r="AB73" s="3162"/>
      <c r="AC73" s="3165">
        <f>名簿入力!AD61</f>
        <v>0</v>
      </c>
      <c r="AD73" s="3165">
        <f>名簿入力!AE61</f>
        <v>0</v>
      </c>
      <c r="AE73" s="3167">
        <f>名簿入力!AF61</f>
        <v>0</v>
      </c>
      <c r="AF73" s="3161">
        <f>名簿入力!AG61</f>
        <v>0</v>
      </c>
      <c r="AG73" s="3162"/>
      <c r="AH73" s="3165">
        <f>名簿入力!AI61</f>
        <v>0</v>
      </c>
      <c r="AI73" s="3165">
        <f>名簿入力!AJ61</f>
        <v>0</v>
      </c>
      <c r="AJ73" s="3175">
        <f>名簿入力!AK61</f>
        <v>0</v>
      </c>
      <c r="AK73" s="3176"/>
      <c r="AL73" s="3176"/>
      <c r="AM73" s="3176"/>
      <c r="AN73" s="3176"/>
      <c r="AO73" s="3177"/>
      <c r="AP73" s="3137">
        <f>名簿入力!AO61</f>
        <v>0</v>
      </c>
      <c r="AQ73" s="3138"/>
      <c r="AR73" s="3138"/>
      <c r="AS73" s="3138"/>
      <c r="AT73" s="3139"/>
      <c r="AU73" s="113"/>
    </row>
    <row r="74" spans="2:47" ht="15" customHeight="1" x14ac:dyDescent="0.15">
      <c r="B74" s="3181"/>
      <c r="C74" s="3182"/>
      <c r="D74" s="3183"/>
      <c r="E74" s="3184"/>
      <c r="F74" s="3185"/>
      <c r="G74" s="3186"/>
      <c r="H74" s="3173"/>
      <c r="I74" s="3174"/>
      <c r="J74" s="3171"/>
      <c r="K74" s="3172"/>
      <c r="L74" s="3173"/>
      <c r="M74" s="3187"/>
      <c r="N74" s="3171"/>
      <c r="O74" s="3171"/>
      <c r="P74" s="3172"/>
      <c r="Q74" s="3173"/>
      <c r="R74" s="3174"/>
      <c r="S74" s="3171"/>
      <c r="T74" s="3171"/>
      <c r="U74" s="3172"/>
      <c r="V74" s="3173"/>
      <c r="W74" s="3174"/>
      <c r="X74" s="3171"/>
      <c r="Y74" s="3171"/>
      <c r="Z74" s="3172"/>
      <c r="AA74" s="3173"/>
      <c r="AB74" s="3174"/>
      <c r="AC74" s="3171"/>
      <c r="AD74" s="3171"/>
      <c r="AE74" s="3172"/>
      <c r="AF74" s="3173"/>
      <c r="AG74" s="3174"/>
      <c r="AH74" s="3171"/>
      <c r="AI74" s="3171"/>
      <c r="AJ74" s="3146">
        <f>名簿入力!AK62</f>
        <v>0</v>
      </c>
      <c r="AK74" s="3147"/>
      <c r="AL74" s="3147"/>
      <c r="AM74" s="3147"/>
      <c r="AN74" s="3147"/>
      <c r="AO74" s="3148"/>
      <c r="AP74" s="3178"/>
      <c r="AQ74" s="3179"/>
      <c r="AR74" s="3179"/>
      <c r="AS74" s="3179"/>
      <c r="AT74" s="3180"/>
      <c r="AU74" s="113"/>
    </row>
    <row r="75" spans="2:47" ht="15" customHeight="1" x14ac:dyDescent="0.15">
      <c r="B75" s="3149">
        <v>25</v>
      </c>
      <c r="C75" s="3151">
        <f>名簿入力!D63</f>
        <v>0</v>
      </c>
      <c r="D75" s="3152"/>
      <c r="E75" s="3155">
        <f>名簿入力!E63</f>
        <v>0</v>
      </c>
      <c r="F75" s="3157">
        <f>名簿入力!G63</f>
        <v>0</v>
      </c>
      <c r="G75" s="3159">
        <f>名簿入力!H63</f>
        <v>0</v>
      </c>
      <c r="H75" s="3161">
        <f>名簿入力!I63</f>
        <v>0</v>
      </c>
      <c r="I75" s="3162"/>
      <c r="J75" s="3165">
        <f>名簿入力!K63</f>
        <v>0</v>
      </c>
      <c r="K75" s="3167">
        <f>名簿入力!L63</f>
        <v>0</v>
      </c>
      <c r="L75" s="3161">
        <f>名簿入力!M63</f>
        <v>0</v>
      </c>
      <c r="M75" s="3169"/>
      <c r="N75" s="3165">
        <f>名簿入力!O63</f>
        <v>0</v>
      </c>
      <c r="O75" s="3165">
        <f>名簿入力!P63</f>
        <v>0</v>
      </c>
      <c r="P75" s="3167">
        <f>名簿入力!Q63</f>
        <v>0</v>
      </c>
      <c r="Q75" s="3161">
        <f>名簿入力!R63</f>
        <v>0</v>
      </c>
      <c r="R75" s="3162"/>
      <c r="S75" s="3165">
        <f>名簿入力!T63</f>
        <v>0</v>
      </c>
      <c r="T75" s="3165">
        <f>名簿入力!U63</f>
        <v>0</v>
      </c>
      <c r="U75" s="3167">
        <f>名簿入力!V63</f>
        <v>0</v>
      </c>
      <c r="V75" s="3161">
        <f>名簿入力!W63</f>
        <v>0</v>
      </c>
      <c r="W75" s="3162"/>
      <c r="X75" s="3165">
        <f>名簿入力!Y63</f>
        <v>0</v>
      </c>
      <c r="Y75" s="3165">
        <f>名簿入力!Z63</f>
        <v>0</v>
      </c>
      <c r="Z75" s="3167">
        <f>名簿入力!AA63</f>
        <v>0</v>
      </c>
      <c r="AA75" s="3161">
        <f>名簿入力!AB63</f>
        <v>0</v>
      </c>
      <c r="AB75" s="3162"/>
      <c r="AC75" s="3165">
        <f>名簿入力!AD63</f>
        <v>0</v>
      </c>
      <c r="AD75" s="3165">
        <f>名簿入力!AE63</f>
        <v>0</v>
      </c>
      <c r="AE75" s="3167">
        <f>名簿入力!AF63</f>
        <v>0</v>
      </c>
      <c r="AF75" s="3161">
        <f>名簿入力!AG63</f>
        <v>0</v>
      </c>
      <c r="AG75" s="3162"/>
      <c r="AH75" s="3165">
        <f>名簿入力!AI63</f>
        <v>0</v>
      </c>
      <c r="AI75" s="3165">
        <f>名簿入力!AJ63</f>
        <v>0</v>
      </c>
      <c r="AJ75" s="3175">
        <f>名簿入力!AK63</f>
        <v>0</v>
      </c>
      <c r="AK75" s="3176"/>
      <c r="AL75" s="3176"/>
      <c r="AM75" s="3176"/>
      <c r="AN75" s="3176"/>
      <c r="AO75" s="3177"/>
      <c r="AP75" s="3137">
        <f>名簿入力!AO63</f>
        <v>0</v>
      </c>
      <c r="AQ75" s="3138"/>
      <c r="AR75" s="3138"/>
      <c r="AS75" s="3138"/>
      <c r="AT75" s="3139"/>
      <c r="AU75" s="113"/>
    </row>
    <row r="76" spans="2:47" ht="15" customHeight="1" x14ac:dyDescent="0.15">
      <c r="B76" s="3181"/>
      <c r="C76" s="3182"/>
      <c r="D76" s="3183"/>
      <c r="E76" s="3184"/>
      <c r="F76" s="3185"/>
      <c r="G76" s="3186"/>
      <c r="H76" s="3173"/>
      <c r="I76" s="3174"/>
      <c r="J76" s="3171"/>
      <c r="K76" s="3172"/>
      <c r="L76" s="3173"/>
      <c r="M76" s="3187"/>
      <c r="N76" s="3171"/>
      <c r="O76" s="3171"/>
      <c r="P76" s="3172"/>
      <c r="Q76" s="3173"/>
      <c r="R76" s="3174"/>
      <c r="S76" s="3171"/>
      <c r="T76" s="3171"/>
      <c r="U76" s="3172"/>
      <c r="V76" s="3173"/>
      <c r="W76" s="3174"/>
      <c r="X76" s="3171"/>
      <c r="Y76" s="3171"/>
      <c r="Z76" s="3172"/>
      <c r="AA76" s="3173"/>
      <c r="AB76" s="3174"/>
      <c r="AC76" s="3171"/>
      <c r="AD76" s="3171"/>
      <c r="AE76" s="3172"/>
      <c r="AF76" s="3173"/>
      <c r="AG76" s="3174"/>
      <c r="AH76" s="3171"/>
      <c r="AI76" s="3171"/>
      <c r="AJ76" s="3146">
        <f>名簿入力!AK64</f>
        <v>0</v>
      </c>
      <c r="AK76" s="3147"/>
      <c r="AL76" s="3147"/>
      <c r="AM76" s="3147"/>
      <c r="AN76" s="3147"/>
      <c r="AO76" s="3148"/>
      <c r="AP76" s="3178"/>
      <c r="AQ76" s="3179"/>
      <c r="AR76" s="3179"/>
      <c r="AS76" s="3179"/>
      <c r="AT76" s="3180"/>
      <c r="AU76" s="113"/>
    </row>
    <row r="77" spans="2:47" ht="15" customHeight="1" x14ac:dyDescent="0.15">
      <c r="B77" s="3149">
        <v>26</v>
      </c>
      <c r="C77" s="3151">
        <f>名簿入力!D65</f>
        <v>0</v>
      </c>
      <c r="D77" s="3152"/>
      <c r="E77" s="3155">
        <f>名簿入力!E65</f>
        <v>0</v>
      </c>
      <c r="F77" s="3157">
        <f>名簿入力!G65</f>
        <v>0</v>
      </c>
      <c r="G77" s="3159">
        <f>名簿入力!H65</f>
        <v>0</v>
      </c>
      <c r="H77" s="3161">
        <f>名簿入力!I65</f>
        <v>0</v>
      </c>
      <c r="I77" s="3162"/>
      <c r="J77" s="3165">
        <f>名簿入力!K65</f>
        <v>0</v>
      </c>
      <c r="K77" s="3167">
        <f>名簿入力!L65</f>
        <v>0</v>
      </c>
      <c r="L77" s="3161">
        <f>名簿入力!M65</f>
        <v>0</v>
      </c>
      <c r="M77" s="3169"/>
      <c r="N77" s="3165">
        <f>名簿入力!O65</f>
        <v>0</v>
      </c>
      <c r="O77" s="3165">
        <f>名簿入力!P65</f>
        <v>0</v>
      </c>
      <c r="P77" s="3167">
        <f>名簿入力!Q65</f>
        <v>0</v>
      </c>
      <c r="Q77" s="3161">
        <f>名簿入力!R65</f>
        <v>0</v>
      </c>
      <c r="R77" s="3162"/>
      <c r="S77" s="3165">
        <f>名簿入力!T65</f>
        <v>0</v>
      </c>
      <c r="T77" s="3165">
        <f>名簿入力!U65</f>
        <v>0</v>
      </c>
      <c r="U77" s="3167">
        <f>名簿入力!V65</f>
        <v>0</v>
      </c>
      <c r="V77" s="3161">
        <f>名簿入力!W65</f>
        <v>0</v>
      </c>
      <c r="W77" s="3162"/>
      <c r="X77" s="3165">
        <f>名簿入力!Y65</f>
        <v>0</v>
      </c>
      <c r="Y77" s="3165">
        <f>名簿入力!Z65</f>
        <v>0</v>
      </c>
      <c r="Z77" s="3167">
        <f>名簿入力!AA65</f>
        <v>0</v>
      </c>
      <c r="AA77" s="3161">
        <f>名簿入力!AB65</f>
        <v>0</v>
      </c>
      <c r="AB77" s="3162"/>
      <c r="AC77" s="3165">
        <f>名簿入力!AD65</f>
        <v>0</v>
      </c>
      <c r="AD77" s="3165">
        <f>名簿入力!AE65</f>
        <v>0</v>
      </c>
      <c r="AE77" s="3167">
        <f>名簿入力!AF65</f>
        <v>0</v>
      </c>
      <c r="AF77" s="3161">
        <f>名簿入力!AG65</f>
        <v>0</v>
      </c>
      <c r="AG77" s="3162"/>
      <c r="AH77" s="3165">
        <f>名簿入力!AI65</f>
        <v>0</v>
      </c>
      <c r="AI77" s="3165">
        <f>名簿入力!AJ65</f>
        <v>0</v>
      </c>
      <c r="AJ77" s="3175">
        <f>名簿入力!AK65</f>
        <v>0</v>
      </c>
      <c r="AK77" s="3176"/>
      <c r="AL77" s="3176"/>
      <c r="AM77" s="3176"/>
      <c r="AN77" s="3176"/>
      <c r="AO77" s="3177"/>
      <c r="AP77" s="3137">
        <f>名簿入力!AO65</f>
        <v>0</v>
      </c>
      <c r="AQ77" s="3138"/>
      <c r="AR77" s="3138"/>
      <c r="AS77" s="3138"/>
      <c r="AT77" s="3139"/>
      <c r="AU77" s="113"/>
    </row>
    <row r="78" spans="2:47" ht="15" customHeight="1" x14ac:dyDescent="0.15">
      <c r="B78" s="3181"/>
      <c r="C78" s="3182"/>
      <c r="D78" s="3183"/>
      <c r="E78" s="3184"/>
      <c r="F78" s="3185"/>
      <c r="G78" s="3186"/>
      <c r="H78" s="3173"/>
      <c r="I78" s="3174"/>
      <c r="J78" s="3171"/>
      <c r="K78" s="3172"/>
      <c r="L78" s="3173"/>
      <c r="M78" s="3187"/>
      <c r="N78" s="3171"/>
      <c r="O78" s="3171"/>
      <c r="P78" s="3172"/>
      <c r="Q78" s="3173"/>
      <c r="R78" s="3174"/>
      <c r="S78" s="3171"/>
      <c r="T78" s="3171"/>
      <c r="U78" s="3172"/>
      <c r="V78" s="3173"/>
      <c r="W78" s="3174"/>
      <c r="X78" s="3171"/>
      <c r="Y78" s="3171"/>
      <c r="Z78" s="3172"/>
      <c r="AA78" s="3173"/>
      <c r="AB78" s="3174"/>
      <c r="AC78" s="3171"/>
      <c r="AD78" s="3171"/>
      <c r="AE78" s="3172"/>
      <c r="AF78" s="3173"/>
      <c r="AG78" s="3174"/>
      <c r="AH78" s="3171"/>
      <c r="AI78" s="3171"/>
      <c r="AJ78" s="3146">
        <f>名簿入力!AK66</f>
        <v>0</v>
      </c>
      <c r="AK78" s="3147"/>
      <c r="AL78" s="3147"/>
      <c r="AM78" s="3147"/>
      <c r="AN78" s="3147"/>
      <c r="AO78" s="3148"/>
      <c r="AP78" s="3178"/>
      <c r="AQ78" s="3179"/>
      <c r="AR78" s="3179"/>
      <c r="AS78" s="3179"/>
      <c r="AT78" s="3180"/>
      <c r="AU78" s="113"/>
    </row>
    <row r="79" spans="2:47" ht="15" customHeight="1" x14ac:dyDescent="0.15">
      <c r="B79" s="3149">
        <v>27</v>
      </c>
      <c r="C79" s="3151">
        <f>名簿入力!D67</f>
        <v>0</v>
      </c>
      <c r="D79" s="3152"/>
      <c r="E79" s="3155">
        <f>名簿入力!E67</f>
        <v>0</v>
      </c>
      <c r="F79" s="3157">
        <f>名簿入力!G67</f>
        <v>0</v>
      </c>
      <c r="G79" s="3159">
        <f>名簿入力!H67</f>
        <v>0</v>
      </c>
      <c r="H79" s="3161">
        <f>名簿入力!I67</f>
        <v>0</v>
      </c>
      <c r="I79" s="3162"/>
      <c r="J79" s="3165">
        <f>名簿入力!K67</f>
        <v>0</v>
      </c>
      <c r="K79" s="3167">
        <f>名簿入力!L67</f>
        <v>0</v>
      </c>
      <c r="L79" s="3161">
        <f>名簿入力!M67</f>
        <v>0</v>
      </c>
      <c r="M79" s="3169"/>
      <c r="N79" s="3165">
        <f>名簿入力!O67</f>
        <v>0</v>
      </c>
      <c r="O79" s="3165">
        <f>名簿入力!P67</f>
        <v>0</v>
      </c>
      <c r="P79" s="3167">
        <f>名簿入力!Q67</f>
        <v>0</v>
      </c>
      <c r="Q79" s="3161">
        <f>名簿入力!R67</f>
        <v>0</v>
      </c>
      <c r="R79" s="3162"/>
      <c r="S79" s="3165">
        <f>名簿入力!T67</f>
        <v>0</v>
      </c>
      <c r="T79" s="3165">
        <f>名簿入力!U67</f>
        <v>0</v>
      </c>
      <c r="U79" s="3167">
        <f>名簿入力!V67</f>
        <v>0</v>
      </c>
      <c r="V79" s="3161">
        <f>名簿入力!W67</f>
        <v>0</v>
      </c>
      <c r="W79" s="3162"/>
      <c r="X79" s="3165">
        <f>名簿入力!Y67</f>
        <v>0</v>
      </c>
      <c r="Y79" s="3165">
        <f>名簿入力!Z67</f>
        <v>0</v>
      </c>
      <c r="Z79" s="3167">
        <f>名簿入力!AA67</f>
        <v>0</v>
      </c>
      <c r="AA79" s="3161">
        <f>名簿入力!AB67</f>
        <v>0</v>
      </c>
      <c r="AB79" s="3162"/>
      <c r="AC79" s="3165">
        <f>名簿入力!AD67</f>
        <v>0</v>
      </c>
      <c r="AD79" s="3165">
        <f>名簿入力!AE67</f>
        <v>0</v>
      </c>
      <c r="AE79" s="3167">
        <f>名簿入力!AF67</f>
        <v>0</v>
      </c>
      <c r="AF79" s="3161">
        <f>名簿入力!AG67</f>
        <v>0</v>
      </c>
      <c r="AG79" s="3162"/>
      <c r="AH79" s="3165">
        <f>名簿入力!AI67</f>
        <v>0</v>
      </c>
      <c r="AI79" s="3165">
        <f>名簿入力!AJ67</f>
        <v>0</v>
      </c>
      <c r="AJ79" s="3175">
        <f>名簿入力!AK67</f>
        <v>0</v>
      </c>
      <c r="AK79" s="3176"/>
      <c r="AL79" s="3176"/>
      <c r="AM79" s="3176"/>
      <c r="AN79" s="3176"/>
      <c r="AO79" s="3177"/>
      <c r="AP79" s="3137">
        <f>名簿入力!AO67</f>
        <v>0</v>
      </c>
      <c r="AQ79" s="3138"/>
      <c r="AR79" s="3138"/>
      <c r="AS79" s="3138"/>
      <c r="AT79" s="3139"/>
      <c r="AU79" s="113"/>
    </row>
    <row r="80" spans="2:47" ht="15" customHeight="1" x14ac:dyDescent="0.15">
      <c r="B80" s="3181"/>
      <c r="C80" s="3182"/>
      <c r="D80" s="3183"/>
      <c r="E80" s="3184"/>
      <c r="F80" s="3185"/>
      <c r="G80" s="3186"/>
      <c r="H80" s="3173"/>
      <c r="I80" s="3174"/>
      <c r="J80" s="3171"/>
      <c r="K80" s="3172"/>
      <c r="L80" s="3173"/>
      <c r="M80" s="3187"/>
      <c r="N80" s="3171"/>
      <c r="O80" s="3171"/>
      <c r="P80" s="3172"/>
      <c r="Q80" s="3173"/>
      <c r="R80" s="3174"/>
      <c r="S80" s="3171"/>
      <c r="T80" s="3171"/>
      <c r="U80" s="3172"/>
      <c r="V80" s="3173"/>
      <c r="W80" s="3174"/>
      <c r="X80" s="3171"/>
      <c r="Y80" s="3171"/>
      <c r="Z80" s="3172"/>
      <c r="AA80" s="3173"/>
      <c r="AB80" s="3174"/>
      <c r="AC80" s="3171"/>
      <c r="AD80" s="3171"/>
      <c r="AE80" s="3172"/>
      <c r="AF80" s="3173"/>
      <c r="AG80" s="3174"/>
      <c r="AH80" s="3171"/>
      <c r="AI80" s="3171"/>
      <c r="AJ80" s="3146">
        <f>名簿入力!AK68</f>
        <v>0</v>
      </c>
      <c r="AK80" s="3147"/>
      <c r="AL80" s="3147"/>
      <c r="AM80" s="3147"/>
      <c r="AN80" s="3147"/>
      <c r="AO80" s="3148"/>
      <c r="AP80" s="3178"/>
      <c r="AQ80" s="3179"/>
      <c r="AR80" s="3179"/>
      <c r="AS80" s="3179"/>
      <c r="AT80" s="3180"/>
      <c r="AU80" s="113"/>
    </row>
    <row r="81" spans="2:50" ht="15" customHeight="1" x14ac:dyDescent="0.15">
      <c r="B81" s="3149">
        <v>28</v>
      </c>
      <c r="C81" s="3151">
        <f>名簿入力!D69</f>
        <v>0</v>
      </c>
      <c r="D81" s="3152"/>
      <c r="E81" s="3155">
        <f>名簿入力!E69</f>
        <v>0</v>
      </c>
      <c r="F81" s="3157">
        <f>名簿入力!G69</f>
        <v>0</v>
      </c>
      <c r="G81" s="3159">
        <f>名簿入力!H69</f>
        <v>0</v>
      </c>
      <c r="H81" s="3161">
        <f>名簿入力!I69</f>
        <v>0</v>
      </c>
      <c r="I81" s="3162"/>
      <c r="J81" s="3165">
        <f>名簿入力!K69</f>
        <v>0</v>
      </c>
      <c r="K81" s="3167">
        <f>名簿入力!L69</f>
        <v>0</v>
      </c>
      <c r="L81" s="3161">
        <f>名簿入力!M69</f>
        <v>0</v>
      </c>
      <c r="M81" s="3169"/>
      <c r="N81" s="3165">
        <f>名簿入力!O69</f>
        <v>0</v>
      </c>
      <c r="O81" s="3165">
        <f>名簿入力!P69</f>
        <v>0</v>
      </c>
      <c r="P81" s="3167">
        <f>名簿入力!Q69</f>
        <v>0</v>
      </c>
      <c r="Q81" s="3161">
        <f>名簿入力!R69</f>
        <v>0</v>
      </c>
      <c r="R81" s="3162"/>
      <c r="S81" s="3165">
        <f>名簿入力!T69</f>
        <v>0</v>
      </c>
      <c r="T81" s="3165">
        <f>名簿入力!U69</f>
        <v>0</v>
      </c>
      <c r="U81" s="3167">
        <f>名簿入力!V69</f>
        <v>0</v>
      </c>
      <c r="V81" s="3161">
        <f>名簿入力!W69</f>
        <v>0</v>
      </c>
      <c r="W81" s="3162"/>
      <c r="X81" s="3165">
        <f>名簿入力!Y69</f>
        <v>0</v>
      </c>
      <c r="Y81" s="3165">
        <f>名簿入力!Z69</f>
        <v>0</v>
      </c>
      <c r="Z81" s="3167">
        <f>名簿入力!AA69</f>
        <v>0</v>
      </c>
      <c r="AA81" s="3161">
        <f>名簿入力!AB69</f>
        <v>0</v>
      </c>
      <c r="AB81" s="3162"/>
      <c r="AC81" s="3165">
        <f>名簿入力!AD69</f>
        <v>0</v>
      </c>
      <c r="AD81" s="3165">
        <f>名簿入力!AE69</f>
        <v>0</v>
      </c>
      <c r="AE81" s="3167">
        <f>名簿入力!AF69</f>
        <v>0</v>
      </c>
      <c r="AF81" s="3161">
        <f>名簿入力!AG69</f>
        <v>0</v>
      </c>
      <c r="AG81" s="3162"/>
      <c r="AH81" s="3165">
        <f>名簿入力!AI69</f>
        <v>0</v>
      </c>
      <c r="AI81" s="3165">
        <f>名簿入力!AJ69</f>
        <v>0</v>
      </c>
      <c r="AJ81" s="3175">
        <f>名簿入力!AK69</f>
        <v>0</v>
      </c>
      <c r="AK81" s="3176"/>
      <c r="AL81" s="3176"/>
      <c r="AM81" s="3176"/>
      <c r="AN81" s="3176"/>
      <c r="AO81" s="3177"/>
      <c r="AP81" s="3137">
        <f>名簿入力!AO69</f>
        <v>0</v>
      </c>
      <c r="AQ81" s="3138"/>
      <c r="AR81" s="3138"/>
      <c r="AS81" s="3138"/>
      <c r="AT81" s="3139"/>
      <c r="AU81" s="113"/>
    </row>
    <row r="82" spans="2:50" ht="15" customHeight="1" x14ac:dyDescent="0.15">
      <c r="B82" s="3181"/>
      <c r="C82" s="3182"/>
      <c r="D82" s="3183"/>
      <c r="E82" s="3184"/>
      <c r="F82" s="3185"/>
      <c r="G82" s="3186"/>
      <c r="H82" s="3173"/>
      <c r="I82" s="3174"/>
      <c r="J82" s="3171"/>
      <c r="K82" s="3172"/>
      <c r="L82" s="3173"/>
      <c r="M82" s="3187"/>
      <c r="N82" s="3171"/>
      <c r="O82" s="3171"/>
      <c r="P82" s="3172"/>
      <c r="Q82" s="3173"/>
      <c r="R82" s="3174"/>
      <c r="S82" s="3171"/>
      <c r="T82" s="3171"/>
      <c r="U82" s="3172"/>
      <c r="V82" s="3173"/>
      <c r="W82" s="3174"/>
      <c r="X82" s="3171"/>
      <c r="Y82" s="3171"/>
      <c r="Z82" s="3172"/>
      <c r="AA82" s="3173"/>
      <c r="AB82" s="3174"/>
      <c r="AC82" s="3171"/>
      <c r="AD82" s="3171"/>
      <c r="AE82" s="3172"/>
      <c r="AF82" s="3173"/>
      <c r="AG82" s="3174"/>
      <c r="AH82" s="3171"/>
      <c r="AI82" s="3171"/>
      <c r="AJ82" s="3146">
        <f>名簿入力!AK70</f>
        <v>0</v>
      </c>
      <c r="AK82" s="3147"/>
      <c r="AL82" s="3147"/>
      <c r="AM82" s="3147"/>
      <c r="AN82" s="3147"/>
      <c r="AO82" s="3148"/>
      <c r="AP82" s="3178"/>
      <c r="AQ82" s="3179"/>
      <c r="AR82" s="3179"/>
      <c r="AS82" s="3179"/>
      <c r="AT82" s="3180"/>
      <c r="AU82" s="113"/>
    </row>
    <row r="83" spans="2:50" ht="15" customHeight="1" x14ac:dyDescent="0.15">
      <c r="B83" s="3149">
        <v>29</v>
      </c>
      <c r="C83" s="3151">
        <f>名簿入力!D71</f>
        <v>0</v>
      </c>
      <c r="D83" s="3152"/>
      <c r="E83" s="3155">
        <f>名簿入力!E71</f>
        <v>0</v>
      </c>
      <c r="F83" s="3157">
        <f>名簿入力!G71</f>
        <v>0</v>
      </c>
      <c r="G83" s="3159">
        <f>名簿入力!H71</f>
        <v>0</v>
      </c>
      <c r="H83" s="3161">
        <f>名簿入力!I71</f>
        <v>0</v>
      </c>
      <c r="I83" s="3162"/>
      <c r="J83" s="3165">
        <f>名簿入力!K71</f>
        <v>0</v>
      </c>
      <c r="K83" s="3167">
        <f>名簿入力!L71</f>
        <v>0</v>
      </c>
      <c r="L83" s="3161">
        <f>名簿入力!M71</f>
        <v>0</v>
      </c>
      <c r="M83" s="3169"/>
      <c r="N83" s="3165">
        <f>名簿入力!O71</f>
        <v>0</v>
      </c>
      <c r="O83" s="3165">
        <f>名簿入力!P71</f>
        <v>0</v>
      </c>
      <c r="P83" s="3167">
        <f>名簿入力!Q71</f>
        <v>0</v>
      </c>
      <c r="Q83" s="3161">
        <f>名簿入力!R71</f>
        <v>0</v>
      </c>
      <c r="R83" s="3162"/>
      <c r="S83" s="3165">
        <f>名簿入力!T71</f>
        <v>0</v>
      </c>
      <c r="T83" s="3165">
        <f>名簿入力!U71</f>
        <v>0</v>
      </c>
      <c r="U83" s="3167">
        <f>名簿入力!V71</f>
        <v>0</v>
      </c>
      <c r="V83" s="3161">
        <f>名簿入力!W71</f>
        <v>0</v>
      </c>
      <c r="W83" s="3162"/>
      <c r="X83" s="3165">
        <f>名簿入力!Y71</f>
        <v>0</v>
      </c>
      <c r="Y83" s="3165">
        <f>名簿入力!Z71</f>
        <v>0</v>
      </c>
      <c r="Z83" s="3167">
        <f>名簿入力!AA71</f>
        <v>0</v>
      </c>
      <c r="AA83" s="3161">
        <f>名簿入力!AB71</f>
        <v>0</v>
      </c>
      <c r="AB83" s="3162"/>
      <c r="AC83" s="3165">
        <f>名簿入力!AD71</f>
        <v>0</v>
      </c>
      <c r="AD83" s="3165">
        <f>名簿入力!AE71</f>
        <v>0</v>
      </c>
      <c r="AE83" s="3167">
        <f>名簿入力!AF71</f>
        <v>0</v>
      </c>
      <c r="AF83" s="3161">
        <f>名簿入力!AG71</f>
        <v>0</v>
      </c>
      <c r="AG83" s="3162"/>
      <c r="AH83" s="3165">
        <f>名簿入力!AI71</f>
        <v>0</v>
      </c>
      <c r="AI83" s="3165">
        <f>名簿入力!AJ71</f>
        <v>0</v>
      </c>
      <c r="AJ83" s="3175">
        <f>名簿入力!AK71</f>
        <v>0</v>
      </c>
      <c r="AK83" s="3176"/>
      <c r="AL83" s="3176"/>
      <c r="AM83" s="3176"/>
      <c r="AN83" s="3176"/>
      <c r="AO83" s="3177"/>
      <c r="AP83" s="3137">
        <f>名簿入力!AO71</f>
        <v>0</v>
      </c>
      <c r="AQ83" s="3138"/>
      <c r="AR83" s="3138"/>
      <c r="AS83" s="3138"/>
      <c r="AT83" s="3139"/>
      <c r="AU83" s="113"/>
    </row>
    <row r="84" spans="2:50" ht="15" customHeight="1" x14ac:dyDescent="0.15">
      <c r="B84" s="3181"/>
      <c r="C84" s="3182"/>
      <c r="D84" s="3183"/>
      <c r="E84" s="3184"/>
      <c r="F84" s="3185"/>
      <c r="G84" s="3186"/>
      <c r="H84" s="3173"/>
      <c r="I84" s="3174"/>
      <c r="J84" s="3171"/>
      <c r="K84" s="3172"/>
      <c r="L84" s="3173"/>
      <c r="M84" s="3187"/>
      <c r="N84" s="3171"/>
      <c r="O84" s="3171"/>
      <c r="P84" s="3172"/>
      <c r="Q84" s="3173"/>
      <c r="R84" s="3174"/>
      <c r="S84" s="3171"/>
      <c r="T84" s="3171"/>
      <c r="U84" s="3172"/>
      <c r="V84" s="3173"/>
      <c r="W84" s="3174"/>
      <c r="X84" s="3171"/>
      <c r="Y84" s="3171"/>
      <c r="Z84" s="3172"/>
      <c r="AA84" s="3173"/>
      <c r="AB84" s="3174"/>
      <c r="AC84" s="3171"/>
      <c r="AD84" s="3171"/>
      <c r="AE84" s="3172"/>
      <c r="AF84" s="3173"/>
      <c r="AG84" s="3174"/>
      <c r="AH84" s="3171"/>
      <c r="AI84" s="3171"/>
      <c r="AJ84" s="3146">
        <f>名簿入力!AK72</f>
        <v>0</v>
      </c>
      <c r="AK84" s="3147"/>
      <c r="AL84" s="3147"/>
      <c r="AM84" s="3147"/>
      <c r="AN84" s="3147"/>
      <c r="AO84" s="3148"/>
      <c r="AP84" s="3178"/>
      <c r="AQ84" s="3179"/>
      <c r="AR84" s="3179"/>
      <c r="AS84" s="3179"/>
      <c r="AT84" s="3180"/>
      <c r="AU84" s="113"/>
    </row>
    <row r="85" spans="2:50" ht="15" customHeight="1" x14ac:dyDescent="0.15">
      <c r="B85" s="3149">
        <v>30</v>
      </c>
      <c r="C85" s="3151">
        <f>名簿入力!D73</f>
        <v>0</v>
      </c>
      <c r="D85" s="3152"/>
      <c r="E85" s="3155">
        <f>名簿入力!E73</f>
        <v>0</v>
      </c>
      <c r="F85" s="3157">
        <f>名簿入力!G73</f>
        <v>0</v>
      </c>
      <c r="G85" s="3159">
        <f>名簿入力!H73</f>
        <v>0</v>
      </c>
      <c r="H85" s="3161">
        <f>名簿入力!I73</f>
        <v>0</v>
      </c>
      <c r="I85" s="3162"/>
      <c r="J85" s="3165">
        <f>名簿入力!K73</f>
        <v>0</v>
      </c>
      <c r="K85" s="3167">
        <f>名簿入力!L73</f>
        <v>0</v>
      </c>
      <c r="L85" s="3161">
        <f>名簿入力!M73</f>
        <v>0</v>
      </c>
      <c r="M85" s="3169"/>
      <c r="N85" s="3165">
        <f>名簿入力!O73</f>
        <v>0</v>
      </c>
      <c r="O85" s="3165">
        <f>名簿入力!P73</f>
        <v>0</v>
      </c>
      <c r="P85" s="3167">
        <f>名簿入力!Q73</f>
        <v>0</v>
      </c>
      <c r="Q85" s="3161">
        <f>名簿入力!R73</f>
        <v>0</v>
      </c>
      <c r="R85" s="3162"/>
      <c r="S85" s="3165">
        <f>名簿入力!T73</f>
        <v>0</v>
      </c>
      <c r="T85" s="3165">
        <f>名簿入力!U73</f>
        <v>0</v>
      </c>
      <c r="U85" s="3167">
        <f>名簿入力!V73</f>
        <v>0</v>
      </c>
      <c r="V85" s="3161">
        <f>名簿入力!W73</f>
        <v>0</v>
      </c>
      <c r="W85" s="3162"/>
      <c r="X85" s="3165">
        <f>名簿入力!Y73</f>
        <v>0</v>
      </c>
      <c r="Y85" s="3165">
        <f>名簿入力!Z73</f>
        <v>0</v>
      </c>
      <c r="Z85" s="3167">
        <f>名簿入力!AA73</f>
        <v>0</v>
      </c>
      <c r="AA85" s="3161">
        <f>名簿入力!AB73</f>
        <v>0</v>
      </c>
      <c r="AB85" s="3162"/>
      <c r="AC85" s="3165">
        <f>名簿入力!AD73</f>
        <v>0</v>
      </c>
      <c r="AD85" s="3165">
        <f>名簿入力!AE73</f>
        <v>0</v>
      </c>
      <c r="AE85" s="3167">
        <f>名簿入力!AF73</f>
        <v>0</v>
      </c>
      <c r="AF85" s="3161">
        <f>名簿入力!AG73</f>
        <v>0</v>
      </c>
      <c r="AG85" s="3162"/>
      <c r="AH85" s="3165">
        <f>名簿入力!AI73</f>
        <v>0</v>
      </c>
      <c r="AI85" s="3165">
        <f>名簿入力!AJ73</f>
        <v>0</v>
      </c>
      <c r="AJ85" s="3175">
        <f>名簿入力!AK73</f>
        <v>0</v>
      </c>
      <c r="AK85" s="3176"/>
      <c r="AL85" s="3176"/>
      <c r="AM85" s="3176"/>
      <c r="AN85" s="3176"/>
      <c r="AO85" s="3177"/>
      <c r="AP85" s="3137">
        <f>名簿入力!AO73</f>
        <v>0</v>
      </c>
      <c r="AQ85" s="3138"/>
      <c r="AR85" s="3138"/>
      <c r="AS85" s="3138"/>
      <c r="AT85" s="3139"/>
      <c r="AU85" s="113"/>
    </row>
    <row r="86" spans="2:50" ht="15" customHeight="1" thickBot="1" x14ac:dyDescent="0.2">
      <c r="B86" s="3150"/>
      <c r="C86" s="3153"/>
      <c r="D86" s="3154"/>
      <c r="E86" s="3156"/>
      <c r="F86" s="3158"/>
      <c r="G86" s="3160"/>
      <c r="H86" s="3163"/>
      <c r="I86" s="3164"/>
      <c r="J86" s="3166"/>
      <c r="K86" s="3168"/>
      <c r="L86" s="3163"/>
      <c r="M86" s="3170"/>
      <c r="N86" s="3166"/>
      <c r="O86" s="3166"/>
      <c r="P86" s="3168"/>
      <c r="Q86" s="3163"/>
      <c r="R86" s="3164"/>
      <c r="S86" s="3166"/>
      <c r="T86" s="3166"/>
      <c r="U86" s="3168"/>
      <c r="V86" s="3163"/>
      <c r="W86" s="3164"/>
      <c r="X86" s="3166"/>
      <c r="Y86" s="3166"/>
      <c r="Z86" s="3168"/>
      <c r="AA86" s="3163"/>
      <c r="AB86" s="3164"/>
      <c r="AC86" s="3166"/>
      <c r="AD86" s="3166"/>
      <c r="AE86" s="3168"/>
      <c r="AF86" s="3163"/>
      <c r="AG86" s="3164"/>
      <c r="AH86" s="3166"/>
      <c r="AI86" s="3166"/>
      <c r="AJ86" s="3143">
        <f>名簿入力!AK74</f>
        <v>0</v>
      </c>
      <c r="AK86" s="3144"/>
      <c r="AL86" s="3144"/>
      <c r="AM86" s="3144"/>
      <c r="AN86" s="3144"/>
      <c r="AO86" s="3145"/>
      <c r="AP86" s="3140"/>
      <c r="AQ86" s="3141"/>
      <c r="AR86" s="3141"/>
      <c r="AS86" s="3141"/>
      <c r="AT86" s="3142"/>
      <c r="AU86" s="113"/>
    </row>
    <row r="87" spans="2:50" ht="46.5" customHeight="1" x14ac:dyDescent="0.15">
      <c r="B87" s="524"/>
      <c r="C87" s="525"/>
      <c r="D87" s="525"/>
      <c r="E87" s="526"/>
      <c r="F87" s="527"/>
      <c r="G87" s="527"/>
      <c r="H87" s="528"/>
      <c r="I87" s="528"/>
      <c r="J87" s="529"/>
      <c r="K87" s="529"/>
      <c r="L87" s="528"/>
      <c r="M87" s="528"/>
      <c r="N87" s="529"/>
      <c r="O87" s="529"/>
      <c r="P87" s="529"/>
      <c r="Q87" s="528"/>
      <c r="R87" s="528"/>
      <c r="S87" s="529"/>
      <c r="T87" s="529"/>
      <c r="U87" s="529"/>
      <c r="V87" s="528"/>
      <c r="W87" s="528"/>
      <c r="X87" s="529"/>
      <c r="Y87" s="529"/>
      <c r="Z87" s="529"/>
      <c r="AA87" s="528"/>
      <c r="AB87" s="528"/>
      <c r="AC87" s="529"/>
      <c r="AD87" s="529"/>
      <c r="AE87" s="529"/>
      <c r="AF87" s="528"/>
      <c r="AG87" s="1111"/>
      <c r="AH87" s="1112"/>
      <c r="AI87" s="1112"/>
      <c r="AJ87" s="1113"/>
      <c r="AK87" s="1113"/>
      <c r="AL87" s="1113"/>
      <c r="AM87" s="1113"/>
      <c r="AN87" s="1113"/>
      <c r="AO87" s="1113"/>
      <c r="AP87" s="1114"/>
      <c r="AQ87" s="1114"/>
      <c r="AR87" s="1114"/>
      <c r="AS87" s="1114"/>
      <c r="AT87" s="1114"/>
      <c r="AU87" s="113"/>
    </row>
    <row r="88" spans="2:50" ht="26.25" customHeight="1" x14ac:dyDescent="0.15">
      <c r="C88" s="3279" t="s">
        <v>282</v>
      </c>
      <c r="D88" s="3279"/>
      <c r="E88" s="3279"/>
      <c r="F88" s="3279"/>
      <c r="G88" s="3279"/>
      <c r="H88" s="3279"/>
      <c r="I88" s="3279"/>
      <c r="J88" s="3279"/>
      <c r="K88" s="3279"/>
      <c r="L88" s="3279"/>
      <c r="M88" s="3279"/>
      <c r="N88" s="3279"/>
      <c r="O88" s="3279"/>
      <c r="P88" s="3279"/>
      <c r="Q88" s="3279"/>
      <c r="R88" s="3279"/>
      <c r="S88" s="3279"/>
      <c r="T88" s="3279"/>
      <c r="U88" s="3279"/>
      <c r="V88" s="3279"/>
      <c r="W88" s="3279"/>
      <c r="X88" s="3279"/>
      <c r="Y88" s="3279"/>
      <c r="Z88" s="3279"/>
      <c r="AA88" s="1014"/>
      <c r="AB88" s="1014"/>
      <c r="AC88" s="1014"/>
      <c r="AD88" s="1014"/>
      <c r="AE88" s="1014"/>
      <c r="AF88" s="1014"/>
      <c r="AG88" s="1014"/>
      <c r="AH88" s="1014"/>
      <c r="AI88" s="1014"/>
      <c r="AJ88" s="1014"/>
      <c r="AK88" s="1014"/>
      <c r="AL88" s="1014"/>
      <c r="AM88" s="1014"/>
      <c r="AN88" s="1014"/>
      <c r="AP88" s="499"/>
      <c r="AQ88" s="3230" t="s">
        <v>175</v>
      </c>
      <c r="AR88" s="3230"/>
      <c r="AS88" s="3230">
        <v>3</v>
      </c>
      <c r="AT88" s="3230"/>
    </row>
    <row r="89" spans="2:50" ht="3.75" customHeight="1" thickBot="1" x14ac:dyDescent="0.2">
      <c r="B89" s="854"/>
      <c r="C89" s="854"/>
      <c r="D89" s="854"/>
      <c r="E89" s="854"/>
      <c r="F89" s="854"/>
      <c r="G89" s="854"/>
      <c r="H89" s="854"/>
      <c r="I89" s="854"/>
      <c r="J89" s="854"/>
      <c r="K89" s="854"/>
      <c r="L89" s="854"/>
      <c r="M89" s="854"/>
      <c r="N89" s="854"/>
      <c r="O89" s="854"/>
      <c r="P89" s="854"/>
      <c r="Q89" s="854"/>
      <c r="R89" s="854"/>
      <c r="S89" s="854"/>
      <c r="T89" s="854"/>
      <c r="U89" s="854"/>
      <c r="V89" s="854"/>
      <c r="W89" s="854"/>
      <c r="X89" s="854"/>
      <c r="Y89" s="854"/>
      <c r="Z89" s="854"/>
      <c r="AA89" s="854"/>
      <c r="AB89" s="854"/>
      <c r="AC89" s="854"/>
      <c r="AD89" s="854"/>
      <c r="AE89" s="854"/>
      <c r="AF89" s="854"/>
      <c r="AG89" s="854"/>
      <c r="AH89" s="854"/>
      <c r="AI89" s="854"/>
      <c r="AJ89" s="854"/>
      <c r="AK89" s="854"/>
      <c r="AL89" s="854"/>
      <c r="AM89" s="854"/>
      <c r="AN89" s="854"/>
      <c r="AP89" s="499"/>
      <c r="AQ89" s="855"/>
      <c r="AR89" s="855"/>
      <c r="AS89" s="855"/>
      <c r="AT89" s="855"/>
    </row>
    <row r="90" spans="2:50" ht="15" customHeight="1" x14ac:dyDescent="0.15">
      <c r="B90" s="3231" t="s">
        <v>174</v>
      </c>
      <c r="C90" s="3232"/>
      <c r="D90" s="3235" t="str">
        <f>$D$4</f>
        <v xml:space="preserve"> </v>
      </c>
      <c r="E90" s="3235"/>
      <c r="F90" s="3235"/>
      <c r="G90" s="3235"/>
      <c r="H90" s="3235"/>
      <c r="I90" s="3235"/>
      <c r="J90" s="3235"/>
      <c r="K90" s="3235"/>
      <c r="L90" s="3235"/>
      <c r="M90" s="3235"/>
      <c r="N90" s="3235"/>
      <c r="O90" s="3235"/>
      <c r="P90" s="3235"/>
      <c r="Q90" s="3235"/>
      <c r="R90" s="3235"/>
      <c r="S90" s="3235"/>
      <c r="T90" s="3235"/>
      <c r="U90" s="3235"/>
      <c r="V90" s="3235"/>
      <c r="W90" s="3235"/>
      <c r="X90" s="3235"/>
      <c r="Y90" s="3235"/>
      <c r="Z90" s="3236"/>
      <c r="AA90" s="502"/>
      <c r="AB90" s="503"/>
      <c r="AC90" s="497"/>
      <c r="AD90" s="497"/>
      <c r="AE90" s="497"/>
      <c r="AF90" s="48"/>
      <c r="AG90" s="48"/>
      <c r="AJ90" s="48"/>
      <c r="AK90" s="48"/>
    </row>
    <row r="91" spans="2:50" ht="22.5" customHeight="1" x14ac:dyDescent="0.15">
      <c r="B91" s="3233"/>
      <c r="C91" s="3234"/>
      <c r="D91" s="3237"/>
      <c r="E91" s="3237"/>
      <c r="F91" s="3237"/>
      <c r="G91" s="3237"/>
      <c r="H91" s="3237"/>
      <c r="I91" s="3237"/>
      <c r="J91" s="3237"/>
      <c r="K91" s="3237"/>
      <c r="L91" s="3237"/>
      <c r="M91" s="3237"/>
      <c r="N91" s="3237"/>
      <c r="O91" s="3237"/>
      <c r="P91" s="3237"/>
      <c r="Q91" s="3237"/>
      <c r="R91" s="3237"/>
      <c r="S91" s="3237"/>
      <c r="T91" s="3237"/>
      <c r="U91" s="3237"/>
      <c r="V91" s="3237"/>
      <c r="W91" s="3237"/>
      <c r="X91" s="3237"/>
      <c r="Y91" s="3237"/>
      <c r="Z91" s="3238"/>
      <c r="AA91" s="502"/>
      <c r="AB91" s="504"/>
      <c r="AC91" s="497"/>
      <c r="AD91" s="497"/>
      <c r="AE91" s="497"/>
      <c r="AF91" s="497"/>
      <c r="AG91" s="48"/>
      <c r="AJ91" s="48"/>
      <c r="AK91" s="48"/>
    </row>
    <row r="92" spans="2:50" ht="24.75" customHeight="1" thickBot="1" x14ac:dyDescent="0.2">
      <c r="B92" s="3239" t="s">
        <v>173</v>
      </c>
      <c r="C92" s="3240"/>
      <c r="D92" s="3241">
        <f>$D$6</f>
        <v>0</v>
      </c>
      <c r="E92" s="3241"/>
      <c r="F92" s="513" t="s">
        <v>60</v>
      </c>
      <c r="G92" s="3241">
        <f>$G$6</f>
        <v>0</v>
      </c>
      <c r="H92" s="3241"/>
      <c r="I92" s="514" t="s">
        <v>61</v>
      </c>
      <c r="J92" s="3241">
        <f>$J$6</f>
        <v>0</v>
      </c>
      <c r="K92" s="3241"/>
      <c r="L92" s="514" t="s">
        <v>62</v>
      </c>
      <c r="M92" s="515" t="s">
        <v>96</v>
      </c>
      <c r="N92" s="514" t="str">
        <f>$N$6</f>
        <v/>
      </c>
      <c r="O92" s="514" t="s">
        <v>104</v>
      </c>
      <c r="P92" s="3242" t="s">
        <v>110</v>
      </c>
      <c r="Q92" s="3242"/>
      <c r="R92" s="3243" t="str">
        <f>$R$6</f>
        <v/>
      </c>
      <c r="S92" s="3243"/>
      <c r="T92" s="514" t="s">
        <v>61</v>
      </c>
      <c r="U92" s="3244" t="str">
        <f>$U$6</f>
        <v/>
      </c>
      <c r="V92" s="3244"/>
      <c r="W92" s="514" t="s">
        <v>62</v>
      </c>
      <c r="X92" s="515" t="s">
        <v>96</v>
      </c>
      <c r="Y92" s="516" t="str">
        <f>$Y$6</f>
        <v/>
      </c>
      <c r="Z92" s="517" t="s">
        <v>104</v>
      </c>
      <c r="AA92" s="507"/>
      <c r="AB92" s="48"/>
      <c r="AF92" s="48"/>
      <c r="AG92" s="48"/>
      <c r="AJ92" s="48"/>
      <c r="AK92" s="48"/>
    </row>
    <row r="93" spans="2:50" ht="13.5" customHeight="1" thickBot="1" x14ac:dyDescent="0.2">
      <c r="B93" s="508"/>
      <c r="C93" s="508"/>
      <c r="D93" s="509"/>
      <c r="E93" s="509"/>
      <c r="F93" s="509"/>
      <c r="G93" s="509"/>
      <c r="H93" s="509"/>
      <c r="I93" s="509"/>
      <c r="J93" s="509"/>
      <c r="K93" s="509"/>
      <c r="L93" s="509"/>
      <c r="M93" s="509"/>
      <c r="N93" s="509"/>
      <c r="O93" s="509"/>
      <c r="P93" s="509"/>
      <c r="Q93" s="509"/>
      <c r="R93" s="509"/>
      <c r="S93" s="509"/>
      <c r="T93" s="509"/>
      <c r="U93" s="509"/>
      <c r="V93" s="509"/>
      <c r="W93" s="509"/>
      <c r="X93" s="510"/>
      <c r="Y93" s="510"/>
      <c r="Z93" s="510"/>
      <c r="AA93" s="511"/>
      <c r="AB93" s="48"/>
      <c r="AF93" s="48"/>
      <c r="AG93" s="48"/>
      <c r="AJ93" s="48"/>
      <c r="AK93" s="48"/>
    </row>
    <row r="94" spans="2:50" ht="15" customHeight="1" x14ac:dyDescent="0.15">
      <c r="B94" s="3200" t="s">
        <v>287</v>
      </c>
      <c r="C94" s="3203" t="s">
        <v>167</v>
      </c>
      <c r="D94" s="1959"/>
      <c r="E94" s="1962" t="s">
        <v>341</v>
      </c>
      <c r="F94" s="2097" t="s">
        <v>166</v>
      </c>
      <c r="G94" s="2098"/>
      <c r="H94" s="3245" t="s">
        <v>165</v>
      </c>
      <c r="I94" s="3246"/>
      <c r="J94" s="3246"/>
      <c r="K94" s="3247"/>
      <c r="L94" s="3245" t="s">
        <v>164</v>
      </c>
      <c r="M94" s="3246"/>
      <c r="N94" s="3246"/>
      <c r="O94" s="3246"/>
      <c r="P94" s="3247"/>
      <c r="Q94" s="3245" t="s">
        <v>163</v>
      </c>
      <c r="R94" s="3246"/>
      <c r="S94" s="3246"/>
      <c r="T94" s="3246"/>
      <c r="U94" s="3247"/>
      <c r="V94" s="3245" t="s">
        <v>249</v>
      </c>
      <c r="W94" s="3246"/>
      <c r="X94" s="3246"/>
      <c r="Y94" s="3246"/>
      <c r="Z94" s="3247"/>
      <c r="AA94" s="3245" t="s">
        <v>250</v>
      </c>
      <c r="AB94" s="3246"/>
      <c r="AC94" s="3246"/>
      <c r="AD94" s="3246"/>
      <c r="AE94" s="3247"/>
      <c r="AF94" s="3245" t="s">
        <v>251</v>
      </c>
      <c r="AG94" s="3246"/>
      <c r="AH94" s="3246"/>
      <c r="AI94" s="3246"/>
      <c r="AJ94" s="3248" t="s">
        <v>438</v>
      </c>
      <c r="AK94" s="3249"/>
      <c r="AL94" s="3249"/>
      <c r="AM94" s="3249"/>
      <c r="AN94" s="3249"/>
      <c r="AO94" s="3250"/>
      <c r="AP94" s="3248" t="s">
        <v>162</v>
      </c>
      <c r="AQ94" s="3249"/>
      <c r="AR94" s="3249"/>
      <c r="AS94" s="3249"/>
      <c r="AT94" s="3250"/>
      <c r="AU94" s="117"/>
      <c r="AW94" s="501"/>
      <c r="AX94" s="501"/>
    </row>
    <row r="95" spans="2:50" ht="26.25" customHeight="1" x14ac:dyDescent="0.15">
      <c r="B95" s="3201"/>
      <c r="C95" s="3204"/>
      <c r="D95" s="1960"/>
      <c r="E95" s="1963"/>
      <c r="F95" s="2099"/>
      <c r="G95" s="1972"/>
      <c r="H95" s="3251" t="str">
        <f>$H$9</f>
        <v/>
      </c>
      <c r="I95" s="3252"/>
      <c r="J95" s="3252"/>
      <c r="K95" s="3253"/>
      <c r="L95" s="3254" t="str">
        <f>$L$9</f>
        <v/>
      </c>
      <c r="M95" s="3255"/>
      <c r="N95" s="3255"/>
      <c r="O95" s="3255"/>
      <c r="P95" s="3256"/>
      <c r="Q95" s="3254" t="str">
        <f>$Q$9</f>
        <v/>
      </c>
      <c r="R95" s="3255"/>
      <c r="S95" s="3255"/>
      <c r="T95" s="3255"/>
      <c r="U95" s="3256"/>
      <c r="V95" s="3254" t="str">
        <f>$V$9</f>
        <v/>
      </c>
      <c r="W95" s="3255"/>
      <c r="X95" s="3255"/>
      <c r="Y95" s="3255"/>
      <c r="Z95" s="3256"/>
      <c r="AA95" s="3254" t="str">
        <f>$AA$9</f>
        <v/>
      </c>
      <c r="AB95" s="3255"/>
      <c r="AC95" s="3255"/>
      <c r="AD95" s="3255"/>
      <c r="AE95" s="3256"/>
      <c r="AF95" s="3254" t="str">
        <f>$AF$9</f>
        <v/>
      </c>
      <c r="AG95" s="3255"/>
      <c r="AH95" s="3255"/>
      <c r="AI95" s="3255"/>
      <c r="AJ95" s="3257" t="s">
        <v>441</v>
      </c>
      <c r="AK95" s="3258"/>
      <c r="AL95" s="3258"/>
      <c r="AM95" s="3258"/>
      <c r="AN95" s="3258"/>
      <c r="AO95" s="3259"/>
      <c r="AP95" s="3263" t="s">
        <v>442</v>
      </c>
      <c r="AQ95" s="3264"/>
      <c r="AR95" s="3264"/>
      <c r="AS95" s="3264"/>
      <c r="AT95" s="3265"/>
      <c r="AU95" s="116"/>
    </row>
    <row r="96" spans="2:50" ht="16.5" customHeight="1" x14ac:dyDescent="0.15">
      <c r="B96" s="3201"/>
      <c r="C96" s="3204"/>
      <c r="D96" s="1960"/>
      <c r="E96" s="1963"/>
      <c r="F96" s="3266" t="s">
        <v>78</v>
      </c>
      <c r="G96" s="3206" t="s">
        <v>79</v>
      </c>
      <c r="H96" s="1974" t="s">
        <v>176</v>
      </c>
      <c r="I96" s="3208"/>
      <c r="J96" s="3210" t="s">
        <v>161</v>
      </c>
      <c r="K96" s="3211"/>
      <c r="L96" s="1974" t="s">
        <v>176</v>
      </c>
      <c r="M96" s="3208"/>
      <c r="N96" s="3210" t="s">
        <v>160</v>
      </c>
      <c r="O96" s="3213"/>
      <c r="P96" s="3211"/>
      <c r="Q96" s="1974" t="s">
        <v>176</v>
      </c>
      <c r="R96" s="3208"/>
      <c r="S96" s="3210" t="s">
        <v>160</v>
      </c>
      <c r="T96" s="3213"/>
      <c r="U96" s="3211"/>
      <c r="V96" s="1974" t="s">
        <v>176</v>
      </c>
      <c r="W96" s="3208"/>
      <c r="X96" s="3210" t="s">
        <v>160</v>
      </c>
      <c r="Y96" s="3213"/>
      <c r="Z96" s="3211"/>
      <c r="AA96" s="1974" t="s">
        <v>176</v>
      </c>
      <c r="AB96" s="3208"/>
      <c r="AC96" s="3210" t="s">
        <v>160</v>
      </c>
      <c r="AD96" s="3213"/>
      <c r="AE96" s="3211"/>
      <c r="AF96" s="1974" t="s">
        <v>176</v>
      </c>
      <c r="AG96" s="3208"/>
      <c r="AH96" s="3210" t="s">
        <v>160</v>
      </c>
      <c r="AI96" s="3213"/>
      <c r="AJ96" s="3257"/>
      <c r="AK96" s="3258"/>
      <c r="AL96" s="3258"/>
      <c r="AM96" s="3258"/>
      <c r="AN96" s="3258"/>
      <c r="AO96" s="3259"/>
      <c r="AP96" s="3257"/>
      <c r="AQ96" s="3258"/>
      <c r="AR96" s="3258"/>
      <c r="AS96" s="3258"/>
      <c r="AT96" s="3259"/>
      <c r="AU96" s="115"/>
    </row>
    <row r="97" spans="2:47" ht="19.5" customHeight="1" thickBot="1" x14ac:dyDescent="0.2">
      <c r="B97" s="3202"/>
      <c r="C97" s="3205"/>
      <c r="D97" s="1961"/>
      <c r="E97" s="1964"/>
      <c r="F97" s="3267"/>
      <c r="G97" s="3207"/>
      <c r="H97" s="1978"/>
      <c r="I97" s="3209"/>
      <c r="J97" s="523" t="s">
        <v>153</v>
      </c>
      <c r="K97" s="522" t="s">
        <v>280</v>
      </c>
      <c r="L97" s="1978"/>
      <c r="M97" s="3212"/>
      <c r="N97" s="523" t="s">
        <v>154</v>
      </c>
      <c r="O97" s="523" t="s">
        <v>153</v>
      </c>
      <c r="P97" s="522" t="s">
        <v>280</v>
      </c>
      <c r="Q97" s="1978"/>
      <c r="R97" s="3209"/>
      <c r="S97" s="523" t="s">
        <v>154</v>
      </c>
      <c r="T97" s="523" t="s">
        <v>153</v>
      </c>
      <c r="U97" s="522" t="s">
        <v>280</v>
      </c>
      <c r="V97" s="1978"/>
      <c r="W97" s="3209"/>
      <c r="X97" s="523" t="s">
        <v>154</v>
      </c>
      <c r="Y97" s="523" t="s">
        <v>153</v>
      </c>
      <c r="Z97" s="522" t="s">
        <v>280</v>
      </c>
      <c r="AA97" s="1978"/>
      <c r="AB97" s="3209"/>
      <c r="AC97" s="523" t="s">
        <v>154</v>
      </c>
      <c r="AD97" s="523" t="s">
        <v>153</v>
      </c>
      <c r="AE97" s="522" t="s">
        <v>280</v>
      </c>
      <c r="AF97" s="1978"/>
      <c r="AG97" s="3209"/>
      <c r="AH97" s="523" t="s">
        <v>154</v>
      </c>
      <c r="AI97" s="523" t="s">
        <v>153</v>
      </c>
      <c r="AJ97" s="3260"/>
      <c r="AK97" s="3261"/>
      <c r="AL97" s="3261"/>
      <c r="AM97" s="3261"/>
      <c r="AN97" s="3261"/>
      <c r="AO97" s="3262"/>
      <c r="AP97" s="3260"/>
      <c r="AQ97" s="3261"/>
      <c r="AR97" s="3261"/>
      <c r="AS97" s="3261"/>
      <c r="AT97" s="3262"/>
      <c r="AU97" s="114"/>
    </row>
    <row r="98" spans="2:47" ht="15" customHeight="1" x14ac:dyDescent="0.15">
      <c r="B98" s="3214" t="s">
        <v>159</v>
      </c>
      <c r="C98" s="3216" t="s">
        <v>158</v>
      </c>
      <c r="D98" s="3217"/>
      <c r="E98" s="3220" t="s">
        <v>157</v>
      </c>
      <c r="F98" s="3222" t="s">
        <v>98</v>
      </c>
      <c r="G98" s="3224"/>
      <c r="H98" s="3190" t="s">
        <v>155</v>
      </c>
      <c r="I98" s="3191"/>
      <c r="J98" s="3194" t="s">
        <v>98</v>
      </c>
      <c r="K98" s="3188" t="s">
        <v>98</v>
      </c>
      <c r="L98" s="3190" t="s">
        <v>155</v>
      </c>
      <c r="M98" s="3226"/>
      <c r="N98" s="3194" t="s">
        <v>98</v>
      </c>
      <c r="O98" s="3194" t="s">
        <v>98</v>
      </c>
      <c r="P98" s="3188" t="s">
        <v>98</v>
      </c>
      <c r="Q98" s="2087" t="s">
        <v>414</v>
      </c>
      <c r="R98" s="3196"/>
      <c r="S98" s="3194" t="s">
        <v>98</v>
      </c>
      <c r="T98" s="3198"/>
      <c r="U98" s="3228"/>
      <c r="V98" s="3190"/>
      <c r="W98" s="3191"/>
      <c r="X98" s="3194"/>
      <c r="Y98" s="3194"/>
      <c r="Z98" s="3188"/>
      <c r="AA98" s="3190"/>
      <c r="AB98" s="3191"/>
      <c r="AC98" s="3194"/>
      <c r="AD98" s="3194"/>
      <c r="AE98" s="3188"/>
      <c r="AF98" s="2087"/>
      <c r="AG98" s="3196"/>
      <c r="AH98" s="3194"/>
      <c r="AI98" s="3198"/>
      <c r="AJ98" s="2032" t="s">
        <v>433</v>
      </c>
      <c r="AK98" s="2033"/>
      <c r="AL98" s="2033"/>
      <c r="AM98" s="2033"/>
      <c r="AN98" s="2033"/>
      <c r="AO98" s="2034"/>
      <c r="AP98" s="2026" t="s">
        <v>342</v>
      </c>
      <c r="AQ98" s="2027"/>
      <c r="AR98" s="2027"/>
      <c r="AS98" s="2027"/>
      <c r="AT98" s="2028"/>
      <c r="AU98" s="113"/>
    </row>
    <row r="99" spans="2:47" ht="15" customHeight="1" x14ac:dyDescent="0.15">
      <c r="B99" s="3215"/>
      <c r="C99" s="3218"/>
      <c r="D99" s="3219"/>
      <c r="E99" s="3221"/>
      <c r="F99" s="3223"/>
      <c r="G99" s="3225"/>
      <c r="H99" s="3192"/>
      <c r="I99" s="3193"/>
      <c r="J99" s="3195"/>
      <c r="K99" s="3189"/>
      <c r="L99" s="3192"/>
      <c r="M99" s="3227"/>
      <c r="N99" s="3195"/>
      <c r="O99" s="3195"/>
      <c r="P99" s="3189"/>
      <c r="Q99" s="2089"/>
      <c r="R99" s="3197"/>
      <c r="S99" s="3195"/>
      <c r="T99" s="3199"/>
      <c r="U99" s="3229"/>
      <c r="V99" s="3192"/>
      <c r="W99" s="3193"/>
      <c r="X99" s="3195"/>
      <c r="Y99" s="3195"/>
      <c r="Z99" s="3189"/>
      <c r="AA99" s="3192"/>
      <c r="AB99" s="3193"/>
      <c r="AC99" s="3195"/>
      <c r="AD99" s="3195"/>
      <c r="AE99" s="3189"/>
      <c r="AF99" s="2089"/>
      <c r="AG99" s="3197"/>
      <c r="AH99" s="3195"/>
      <c r="AI99" s="3199"/>
      <c r="AJ99" s="2035" t="s">
        <v>434</v>
      </c>
      <c r="AK99" s="2036"/>
      <c r="AL99" s="2036"/>
      <c r="AM99" s="2036"/>
      <c r="AN99" s="2036"/>
      <c r="AO99" s="2037"/>
      <c r="AP99" s="2029"/>
      <c r="AQ99" s="2030"/>
      <c r="AR99" s="2030"/>
      <c r="AS99" s="2030"/>
      <c r="AT99" s="2031"/>
      <c r="AU99" s="113"/>
    </row>
    <row r="100" spans="2:47" ht="15" customHeight="1" x14ac:dyDescent="0.15">
      <c r="B100" s="3149">
        <v>31</v>
      </c>
      <c r="C100" s="3151">
        <f>名簿入力!D75</f>
        <v>0</v>
      </c>
      <c r="D100" s="3152"/>
      <c r="E100" s="3155">
        <f>名簿入力!E75</f>
        <v>0</v>
      </c>
      <c r="F100" s="3157">
        <f>名簿入力!G75</f>
        <v>0</v>
      </c>
      <c r="G100" s="3159">
        <f>名簿入力!H75</f>
        <v>0</v>
      </c>
      <c r="H100" s="3161">
        <f>名簿入力!I75</f>
        <v>0</v>
      </c>
      <c r="I100" s="3162"/>
      <c r="J100" s="3165">
        <f>名簿入力!K75</f>
        <v>0</v>
      </c>
      <c r="K100" s="3167">
        <f>名簿入力!L75</f>
        <v>0</v>
      </c>
      <c r="L100" s="3161">
        <f>名簿入力!M75</f>
        <v>0</v>
      </c>
      <c r="M100" s="3169"/>
      <c r="N100" s="3165">
        <f>名簿入力!O75</f>
        <v>0</v>
      </c>
      <c r="O100" s="3165">
        <f>名簿入力!P75</f>
        <v>0</v>
      </c>
      <c r="P100" s="3167">
        <f>名簿入力!Q75</f>
        <v>0</v>
      </c>
      <c r="Q100" s="3161">
        <f>名簿入力!R75</f>
        <v>0</v>
      </c>
      <c r="R100" s="3162"/>
      <c r="S100" s="3165">
        <f>名簿入力!T75</f>
        <v>0</v>
      </c>
      <c r="T100" s="3165">
        <f>名簿入力!U75</f>
        <v>0</v>
      </c>
      <c r="U100" s="3167">
        <f>名簿入力!V75</f>
        <v>0</v>
      </c>
      <c r="V100" s="3161">
        <f>名簿入力!W75</f>
        <v>0</v>
      </c>
      <c r="W100" s="3162"/>
      <c r="X100" s="3165">
        <f>名簿入力!Y75</f>
        <v>0</v>
      </c>
      <c r="Y100" s="3165">
        <f>名簿入力!Z75</f>
        <v>0</v>
      </c>
      <c r="Z100" s="3167">
        <f>名簿入力!AA75</f>
        <v>0</v>
      </c>
      <c r="AA100" s="3161">
        <f>名簿入力!AB75</f>
        <v>0</v>
      </c>
      <c r="AB100" s="3162"/>
      <c r="AC100" s="3165">
        <f>名簿入力!AD75</f>
        <v>0</v>
      </c>
      <c r="AD100" s="3165">
        <f>名簿入力!AE75</f>
        <v>0</v>
      </c>
      <c r="AE100" s="3167">
        <f>名簿入力!AF75</f>
        <v>0</v>
      </c>
      <c r="AF100" s="3161">
        <f>名簿入力!AG75</f>
        <v>0</v>
      </c>
      <c r="AG100" s="3162"/>
      <c r="AH100" s="3165">
        <f>名簿入力!AI75</f>
        <v>0</v>
      </c>
      <c r="AI100" s="3165">
        <f>名簿入力!AJ75</f>
        <v>0</v>
      </c>
      <c r="AJ100" s="3175">
        <f>名簿入力!AK75</f>
        <v>0</v>
      </c>
      <c r="AK100" s="3176"/>
      <c r="AL100" s="3176"/>
      <c r="AM100" s="3176"/>
      <c r="AN100" s="3176"/>
      <c r="AO100" s="3177"/>
      <c r="AP100" s="3137">
        <f>名簿入力!AO75</f>
        <v>0</v>
      </c>
      <c r="AQ100" s="3138"/>
      <c r="AR100" s="3138"/>
      <c r="AS100" s="3138"/>
      <c r="AT100" s="3139"/>
      <c r="AU100" s="113"/>
    </row>
    <row r="101" spans="2:47" ht="15" customHeight="1" x14ac:dyDescent="0.15">
      <c r="B101" s="3181"/>
      <c r="C101" s="3182"/>
      <c r="D101" s="3183"/>
      <c r="E101" s="3184"/>
      <c r="F101" s="3185"/>
      <c r="G101" s="3186"/>
      <c r="H101" s="3173"/>
      <c r="I101" s="3174"/>
      <c r="J101" s="3171"/>
      <c r="K101" s="3172"/>
      <c r="L101" s="3173"/>
      <c r="M101" s="3187"/>
      <c r="N101" s="3171"/>
      <c r="O101" s="3171"/>
      <c r="P101" s="3172"/>
      <c r="Q101" s="3173"/>
      <c r="R101" s="3174"/>
      <c r="S101" s="3171"/>
      <c r="T101" s="3171"/>
      <c r="U101" s="3172"/>
      <c r="V101" s="3173"/>
      <c r="W101" s="3174"/>
      <c r="X101" s="3171"/>
      <c r="Y101" s="3171"/>
      <c r="Z101" s="3172"/>
      <c r="AA101" s="3173"/>
      <c r="AB101" s="3174"/>
      <c r="AC101" s="3171"/>
      <c r="AD101" s="3171"/>
      <c r="AE101" s="3172"/>
      <c r="AF101" s="3173"/>
      <c r="AG101" s="3174"/>
      <c r="AH101" s="3171"/>
      <c r="AI101" s="3171"/>
      <c r="AJ101" s="3146">
        <f>名簿入力!AK76</f>
        <v>0</v>
      </c>
      <c r="AK101" s="3147"/>
      <c r="AL101" s="3147"/>
      <c r="AM101" s="3147"/>
      <c r="AN101" s="3147"/>
      <c r="AO101" s="3148"/>
      <c r="AP101" s="3178"/>
      <c r="AQ101" s="3179"/>
      <c r="AR101" s="3179"/>
      <c r="AS101" s="3179"/>
      <c r="AT101" s="3180"/>
      <c r="AU101" s="113"/>
    </row>
    <row r="102" spans="2:47" ht="15" customHeight="1" x14ac:dyDescent="0.15">
      <c r="B102" s="3149">
        <v>32</v>
      </c>
      <c r="C102" s="3151">
        <f>名簿入力!D77</f>
        <v>0</v>
      </c>
      <c r="D102" s="3152"/>
      <c r="E102" s="3155">
        <f>名簿入力!E77</f>
        <v>0</v>
      </c>
      <c r="F102" s="3157">
        <f>名簿入力!G77</f>
        <v>0</v>
      </c>
      <c r="G102" s="3159">
        <f>名簿入力!H77</f>
        <v>0</v>
      </c>
      <c r="H102" s="3161">
        <f>名簿入力!I77</f>
        <v>0</v>
      </c>
      <c r="I102" s="3162"/>
      <c r="J102" s="3165">
        <f>名簿入力!K77</f>
        <v>0</v>
      </c>
      <c r="K102" s="3167">
        <f>名簿入力!L77</f>
        <v>0</v>
      </c>
      <c r="L102" s="3161">
        <f>名簿入力!M77</f>
        <v>0</v>
      </c>
      <c r="M102" s="3169"/>
      <c r="N102" s="3165">
        <f>名簿入力!O77</f>
        <v>0</v>
      </c>
      <c r="O102" s="3165">
        <f>名簿入力!P77</f>
        <v>0</v>
      </c>
      <c r="P102" s="3167">
        <f>名簿入力!Q77</f>
        <v>0</v>
      </c>
      <c r="Q102" s="3161">
        <f>名簿入力!R77</f>
        <v>0</v>
      </c>
      <c r="R102" s="3162"/>
      <c r="S102" s="3165">
        <f>名簿入力!T77</f>
        <v>0</v>
      </c>
      <c r="T102" s="3165">
        <f>名簿入力!U77</f>
        <v>0</v>
      </c>
      <c r="U102" s="3167">
        <f>名簿入力!V77</f>
        <v>0</v>
      </c>
      <c r="V102" s="3161">
        <f>名簿入力!W77</f>
        <v>0</v>
      </c>
      <c r="W102" s="3162"/>
      <c r="X102" s="3165">
        <f>名簿入力!Y77</f>
        <v>0</v>
      </c>
      <c r="Y102" s="3165">
        <f>名簿入力!Z77</f>
        <v>0</v>
      </c>
      <c r="Z102" s="3167">
        <f>名簿入力!AA77</f>
        <v>0</v>
      </c>
      <c r="AA102" s="3161">
        <f>名簿入力!AB77</f>
        <v>0</v>
      </c>
      <c r="AB102" s="3162"/>
      <c r="AC102" s="3165">
        <f>名簿入力!AD77</f>
        <v>0</v>
      </c>
      <c r="AD102" s="3165">
        <f>名簿入力!AE77</f>
        <v>0</v>
      </c>
      <c r="AE102" s="3167">
        <f>名簿入力!AF77</f>
        <v>0</v>
      </c>
      <c r="AF102" s="3161">
        <f>名簿入力!AG77</f>
        <v>0</v>
      </c>
      <c r="AG102" s="3162"/>
      <c r="AH102" s="3165">
        <f>名簿入力!AI77</f>
        <v>0</v>
      </c>
      <c r="AI102" s="3165">
        <f>名簿入力!AJ77</f>
        <v>0</v>
      </c>
      <c r="AJ102" s="3175">
        <f>名簿入力!AK77</f>
        <v>0</v>
      </c>
      <c r="AK102" s="3176"/>
      <c r="AL102" s="3176"/>
      <c r="AM102" s="3176"/>
      <c r="AN102" s="3176"/>
      <c r="AO102" s="3177"/>
      <c r="AP102" s="3137">
        <f>名簿入力!AO77</f>
        <v>0</v>
      </c>
      <c r="AQ102" s="3138"/>
      <c r="AR102" s="3138"/>
      <c r="AS102" s="3138"/>
      <c r="AT102" s="3139"/>
      <c r="AU102" s="113"/>
    </row>
    <row r="103" spans="2:47" ht="15" customHeight="1" x14ac:dyDescent="0.15">
      <c r="B103" s="3181"/>
      <c r="C103" s="3182"/>
      <c r="D103" s="3183"/>
      <c r="E103" s="3184"/>
      <c r="F103" s="3185"/>
      <c r="G103" s="3186"/>
      <c r="H103" s="3173"/>
      <c r="I103" s="3174"/>
      <c r="J103" s="3171"/>
      <c r="K103" s="3172"/>
      <c r="L103" s="3173"/>
      <c r="M103" s="3187"/>
      <c r="N103" s="3171"/>
      <c r="O103" s="3171"/>
      <c r="P103" s="3172"/>
      <c r="Q103" s="3173"/>
      <c r="R103" s="3174"/>
      <c r="S103" s="3171"/>
      <c r="T103" s="3171"/>
      <c r="U103" s="3172"/>
      <c r="V103" s="3173"/>
      <c r="W103" s="3174"/>
      <c r="X103" s="3171"/>
      <c r="Y103" s="3171"/>
      <c r="Z103" s="3172"/>
      <c r="AA103" s="3173"/>
      <c r="AB103" s="3174"/>
      <c r="AC103" s="3171"/>
      <c r="AD103" s="3171"/>
      <c r="AE103" s="3172"/>
      <c r="AF103" s="3173"/>
      <c r="AG103" s="3174"/>
      <c r="AH103" s="3171"/>
      <c r="AI103" s="3171"/>
      <c r="AJ103" s="3146">
        <f>名簿入力!AK78</f>
        <v>0</v>
      </c>
      <c r="AK103" s="3147"/>
      <c r="AL103" s="3147"/>
      <c r="AM103" s="3147"/>
      <c r="AN103" s="3147"/>
      <c r="AO103" s="3148"/>
      <c r="AP103" s="3178"/>
      <c r="AQ103" s="3179"/>
      <c r="AR103" s="3179"/>
      <c r="AS103" s="3179"/>
      <c r="AT103" s="3180"/>
      <c r="AU103" s="113"/>
    </row>
    <row r="104" spans="2:47" ht="15" customHeight="1" x14ac:dyDescent="0.15">
      <c r="B104" s="3149">
        <v>33</v>
      </c>
      <c r="C104" s="3151">
        <f>名簿入力!D79</f>
        <v>0</v>
      </c>
      <c r="D104" s="3152"/>
      <c r="E104" s="3155">
        <f>名簿入力!E79</f>
        <v>0</v>
      </c>
      <c r="F104" s="3157">
        <f>名簿入力!G79</f>
        <v>0</v>
      </c>
      <c r="G104" s="3159">
        <f>名簿入力!H79</f>
        <v>0</v>
      </c>
      <c r="H104" s="3161">
        <f>名簿入力!I79</f>
        <v>0</v>
      </c>
      <c r="I104" s="3162"/>
      <c r="J104" s="3165">
        <f>名簿入力!K79</f>
        <v>0</v>
      </c>
      <c r="K104" s="3167">
        <f>名簿入力!L79</f>
        <v>0</v>
      </c>
      <c r="L104" s="3161">
        <f>名簿入力!M79</f>
        <v>0</v>
      </c>
      <c r="M104" s="3169"/>
      <c r="N104" s="3165">
        <f>名簿入力!O79</f>
        <v>0</v>
      </c>
      <c r="O104" s="3165">
        <f>名簿入力!P79</f>
        <v>0</v>
      </c>
      <c r="P104" s="3167">
        <f>名簿入力!Q79</f>
        <v>0</v>
      </c>
      <c r="Q104" s="3161">
        <f>名簿入力!R79</f>
        <v>0</v>
      </c>
      <c r="R104" s="3162"/>
      <c r="S104" s="3165">
        <f>名簿入力!T79</f>
        <v>0</v>
      </c>
      <c r="T104" s="3165">
        <f>名簿入力!U79</f>
        <v>0</v>
      </c>
      <c r="U104" s="3167">
        <f>名簿入力!V79</f>
        <v>0</v>
      </c>
      <c r="V104" s="3161">
        <f>名簿入力!W79</f>
        <v>0</v>
      </c>
      <c r="W104" s="3162"/>
      <c r="X104" s="3165">
        <f>名簿入力!Y79</f>
        <v>0</v>
      </c>
      <c r="Y104" s="3165">
        <f>名簿入力!Z79</f>
        <v>0</v>
      </c>
      <c r="Z104" s="3167">
        <f>名簿入力!AA79</f>
        <v>0</v>
      </c>
      <c r="AA104" s="3161">
        <f>名簿入力!AB79</f>
        <v>0</v>
      </c>
      <c r="AB104" s="3162"/>
      <c r="AC104" s="3165">
        <f>名簿入力!AD79</f>
        <v>0</v>
      </c>
      <c r="AD104" s="3165">
        <f>名簿入力!AE79</f>
        <v>0</v>
      </c>
      <c r="AE104" s="3167">
        <f>名簿入力!AF79</f>
        <v>0</v>
      </c>
      <c r="AF104" s="3161">
        <f>名簿入力!AG79</f>
        <v>0</v>
      </c>
      <c r="AG104" s="3162"/>
      <c r="AH104" s="3165">
        <f>名簿入力!AI79</f>
        <v>0</v>
      </c>
      <c r="AI104" s="3165">
        <f>名簿入力!AJ79</f>
        <v>0</v>
      </c>
      <c r="AJ104" s="3175">
        <f>名簿入力!AK79</f>
        <v>0</v>
      </c>
      <c r="AK104" s="3176"/>
      <c r="AL104" s="3176"/>
      <c r="AM104" s="3176"/>
      <c r="AN104" s="3176"/>
      <c r="AO104" s="3177"/>
      <c r="AP104" s="3137">
        <f>名簿入力!AO79</f>
        <v>0</v>
      </c>
      <c r="AQ104" s="3138"/>
      <c r="AR104" s="3138"/>
      <c r="AS104" s="3138"/>
      <c r="AT104" s="3139"/>
      <c r="AU104" s="113"/>
    </row>
    <row r="105" spans="2:47" ht="15" customHeight="1" x14ac:dyDescent="0.15">
      <c r="B105" s="3181"/>
      <c r="C105" s="3182"/>
      <c r="D105" s="3183"/>
      <c r="E105" s="3184"/>
      <c r="F105" s="3185"/>
      <c r="G105" s="3186"/>
      <c r="H105" s="3173"/>
      <c r="I105" s="3174"/>
      <c r="J105" s="3171"/>
      <c r="K105" s="3172"/>
      <c r="L105" s="3173"/>
      <c r="M105" s="3187"/>
      <c r="N105" s="3171"/>
      <c r="O105" s="3171"/>
      <c r="P105" s="3172"/>
      <c r="Q105" s="3173"/>
      <c r="R105" s="3174"/>
      <c r="S105" s="3171"/>
      <c r="T105" s="3171"/>
      <c r="U105" s="3172"/>
      <c r="V105" s="3173"/>
      <c r="W105" s="3174"/>
      <c r="X105" s="3171"/>
      <c r="Y105" s="3171"/>
      <c r="Z105" s="3172"/>
      <c r="AA105" s="3173"/>
      <c r="AB105" s="3174"/>
      <c r="AC105" s="3171"/>
      <c r="AD105" s="3171"/>
      <c r="AE105" s="3172"/>
      <c r="AF105" s="3173"/>
      <c r="AG105" s="3174"/>
      <c r="AH105" s="3171"/>
      <c r="AI105" s="3171"/>
      <c r="AJ105" s="3146">
        <f>名簿入力!AK80</f>
        <v>0</v>
      </c>
      <c r="AK105" s="3147"/>
      <c r="AL105" s="3147"/>
      <c r="AM105" s="3147"/>
      <c r="AN105" s="3147"/>
      <c r="AO105" s="3148"/>
      <c r="AP105" s="3178"/>
      <c r="AQ105" s="3179"/>
      <c r="AR105" s="3179"/>
      <c r="AS105" s="3179"/>
      <c r="AT105" s="3180"/>
      <c r="AU105" s="113"/>
    </row>
    <row r="106" spans="2:47" ht="15" customHeight="1" x14ac:dyDescent="0.15">
      <c r="B106" s="3149">
        <v>34</v>
      </c>
      <c r="C106" s="3151">
        <f>名簿入力!D81</f>
        <v>0</v>
      </c>
      <c r="D106" s="3152"/>
      <c r="E106" s="3155">
        <f>名簿入力!E81</f>
        <v>0</v>
      </c>
      <c r="F106" s="3157">
        <f>名簿入力!G81</f>
        <v>0</v>
      </c>
      <c r="G106" s="3159">
        <f>名簿入力!H81</f>
        <v>0</v>
      </c>
      <c r="H106" s="3161">
        <f>名簿入力!I81</f>
        <v>0</v>
      </c>
      <c r="I106" s="3162"/>
      <c r="J106" s="3165">
        <f>名簿入力!K81</f>
        <v>0</v>
      </c>
      <c r="K106" s="3167">
        <f>名簿入力!L81</f>
        <v>0</v>
      </c>
      <c r="L106" s="3161">
        <f>名簿入力!M81</f>
        <v>0</v>
      </c>
      <c r="M106" s="3169"/>
      <c r="N106" s="3165">
        <f>名簿入力!O81</f>
        <v>0</v>
      </c>
      <c r="O106" s="3165">
        <f>名簿入力!P81</f>
        <v>0</v>
      </c>
      <c r="P106" s="3167">
        <f>名簿入力!Q81</f>
        <v>0</v>
      </c>
      <c r="Q106" s="3161">
        <f>名簿入力!R81</f>
        <v>0</v>
      </c>
      <c r="R106" s="3162"/>
      <c r="S106" s="3165">
        <f>名簿入力!T81</f>
        <v>0</v>
      </c>
      <c r="T106" s="3165">
        <f>名簿入力!U81</f>
        <v>0</v>
      </c>
      <c r="U106" s="3167">
        <f>名簿入力!V81</f>
        <v>0</v>
      </c>
      <c r="V106" s="3161">
        <f>名簿入力!W81</f>
        <v>0</v>
      </c>
      <c r="W106" s="3162"/>
      <c r="X106" s="3165">
        <f>名簿入力!Y81</f>
        <v>0</v>
      </c>
      <c r="Y106" s="3165">
        <f>名簿入力!Z81</f>
        <v>0</v>
      </c>
      <c r="Z106" s="3167">
        <f>名簿入力!AA81</f>
        <v>0</v>
      </c>
      <c r="AA106" s="3161">
        <f>名簿入力!AB81</f>
        <v>0</v>
      </c>
      <c r="AB106" s="3162"/>
      <c r="AC106" s="3165">
        <f>名簿入力!AD81</f>
        <v>0</v>
      </c>
      <c r="AD106" s="3165">
        <f>名簿入力!AE81</f>
        <v>0</v>
      </c>
      <c r="AE106" s="3167">
        <f>名簿入力!AF81</f>
        <v>0</v>
      </c>
      <c r="AF106" s="3161">
        <f>名簿入力!AG81</f>
        <v>0</v>
      </c>
      <c r="AG106" s="3162"/>
      <c r="AH106" s="3165">
        <f>名簿入力!AI81</f>
        <v>0</v>
      </c>
      <c r="AI106" s="3165">
        <f>名簿入力!AJ81</f>
        <v>0</v>
      </c>
      <c r="AJ106" s="3175">
        <f>名簿入力!AK81</f>
        <v>0</v>
      </c>
      <c r="AK106" s="3176"/>
      <c r="AL106" s="3176"/>
      <c r="AM106" s="3176"/>
      <c r="AN106" s="3176"/>
      <c r="AO106" s="3177"/>
      <c r="AP106" s="3137">
        <f>名簿入力!AO81</f>
        <v>0</v>
      </c>
      <c r="AQ106" s="3138"/>
      <c r="AR106" s="3138"/>
      <c r="AS106" s="3138"/>
      <c r="AT106" s="3139"/>
      <c r="AU106" s="113"/>
    </row>
    <row r="107" spans="2:47" ht="15" customHeight="1" x14ac:dyDescent="0.15">
      <c r="B107" s="3181"/>
      <c r="C107" s="3182"/>
      <c r="D107" s="3183"/>
      <c r="E107" s="3184"/>
      <c r="F107" s="3185"/>
      <c r="G107" s="3186"/>
      <c r="H107" s="3173"/>
      <c r="I107" s="3174"/>
      <c r="J107" s="3171"/>
      <c r="K107" s="3172"/>
      <c r="L107" s="3173"/>
      <c r="M107" s="3187"/>
      <c r="N107" s="3171"/>
      <c r="O107" s="3171"/>
      <c r="P107" s="3172"/>
      <c r="Q107" s="3173"/>
      <c r="R107" s="3174"/>
      <c r="S107" s="3171"/>
      <c r="T107" s="3171"/>
      <c r="U107" s="3172"/>
      <c r="V107" s="3173"/>
      <c r="W107" s="3174"/>
      <c r="X107" s="3171"/>
      <c r="Y107" s="3171"/>
      <c r="Z107" s="3172"/>
      <c r="AA107" s="3173"/>
      <c r="AB107" s="3174"/>
      <c r="AC107" s="3171"/>
      <c r="AD107" s="3171"/>
      <c r="AE107" s="3172"/>
      <c r="AF107" s="3173"/>
      <c r="AG107" s="3174"/>
      <c r="AH107" s="3171"/>
      <c r="AI107" s="3171"/>
      <c r="AJ107" s="3146">
        <f>名簿入力!AK82</f>
        <v>0</v>
      </c>
      <c r="AK107" s="3147"/>
      <c r="AL107" s="3147"/>
      <c r="AM107" s="3147"/>
      <c r="AN107" s="3147"/>
      <c r="AO107" s="3148"/>
      <c r="AP107" s="3178"/>
      <c r="AQ107" s="3179"/>
      <c r="AR107" s="3179"/>
      <c r="AS107" s="3179"/>
      <c r="AT107" s="3180"/>
      <c r="AU107" s="113"/>
    </row>
    <row r="108" spans="2:47" ht="15" customHeight="1" x14ac:dyDescent="0.15">
      <c r="B108" s="3149">
        <v>35</v>
      </c>
      <c r="C108" s="3151">
        <f>名簿入力!D83</f>
        <v>0</v>
      </c>
      <c r="D108" s="3152"/>
      <c r="E108" s="3155">
        <f>名簿入力!E83</f>
        <v>0</v>
      </c>
      <c r="F108" s="3157">
        <f>名簿入力!G83</f>
        <v>0</v>
      </c>
      <c r="G108" s="3159">
        <f>名簿入力!H83</f>
        <v>0</v>
      </c>
      <c r="H108" s="3161">
        <f>名簿入力!I83</f>
        <v>0</v>
      </c>
      <c r="I108" s="3162"/>
      <c r="J108" s="3165">
        <f>名簿入力!K83</f>
        <v>0</v>
      </c>
      <c r="K108" s="3167">
        <f>名簿入力!L83</f>
        <v>0</v>
      </c>
      <c r="L108" s="3161">
        <f>名簿入力!M83</f>
        <v>0</v>
      </c>
      <c r="M108" s="3169"/>
      <c r="N108" s="3165">
        <f>名簿入力!O83</f>
        <v>0</v>
      </c>
      <c r="O108" s="3165">
        <f>名簿入力!P83</f>
        <v>0</v>
      </c>
      <c r="P108" s="3167">
        <f>名簿入力!Q83</f>
        <v>0</v>
      </c>
      <c r="Q108" s="3161">
        <f>名簿入力!R83</f>
        <v>0</v>
      </c>
      <c r="R108" s="3162"/>
      <c r="S108" s="3165">
        <f>名簿入力!T83</f>
        <v>0</v>
      </c>
      <c r="T108" s="3165">
        <f>名簿入力!U83</f>
        <v>0</v>
      </c>
      <c r="U108" s="3167">
        <f>名簿入力!V83</f>
        <v>0</v>
      </c>
      <c r="V108" s="3161">
        <f>名簿入力!W83</f>
        <v>0</v>
      </c>
      <c r="W108" s="3162"/>
      <c r="X108" s="3165">
        <f>名簿入力!Y83</f>
        <v>0</v>
      </c>
      <c r="Y108" s="3165">
        <f>名簿入力!Z83</f>
        <v>0</v>
      </c>
      <c r="Z108" s="3167">
        <f>名簿入力!AA83</f>
        <v>0</v>
      </c>
      <c r="AA108" s="3161">
        <f>名簿入力!AB83</f>
        <v>0</v>
      </c>
      <c r="AB108" s="3162"/>
      <c r="AC108" s="3165">
        <f>名簿入力!AD83</f>
        <v>0</v>
      </c>
      <c r="AD108" s="3165">
        <f>名簿入力!AE83</f>
        <v>0</v>
      </c>
      <c r="AE108" s="3167">
        <f>名簿入力!AF83</f>
        <v>0</v>
      </c>
      <c r="AF108" s="3161">
        <f>名簿入力!AG83</f>
        <v>0</v>
      </c>
      <c r="AG108" s="3162"/>
      <c r="AH108" s="3165">
        <f>名簿入力!AI83</f>
        <v>0</v>
      </c>
      <c r="AI108" s="3165">
        <f>名簿入力!AJ83</f>
        <v>0</v>
      </c>
      <c r="AJ108" s="3175">
        <f>名簿入力!AK83</f>
        <v>0</v>
      </c>
      <c r="AK108" s="3176"/>
      <c r="AL108" s="3176"/>
      <c r="AM108" s="3176"/>
      <c r="AN108" s="3176"/>
      <c r="AO108" s="3177"/>
      <c r="AP108" s="3137">
        <f>名簿入力!AO83</f>
        <v>0</v>
      </c>
      <c r="AQ108" s="3138"/>
      <c r="AR108" s="3138"/>
      <c r="AS108" s="3138"/>
      <c r="AT108" s="3139"/>
      <c r="AU108" s="113"/>
    </row>
    <row r="109" spans="2:47" ht="15" customHeight="1" x14ac:dyDescent="0.15">
      <c r="B109" s="3181"/>
      <c r="C109" s="3182"/>
      <c r="D109" s="3183"/>
      <c r="E109" s="3184"/>
      <c r="F109" s="3185"/>
      <c r="G109" s="3186"/>
      <c r="H109" s="3173"/>
      <c r="I109" s="3174"/>
      <c r="J109" s="3171"/>
      <c r="K109" s="3172"/>
      <c r="L109" s="3173"/>
      <c r="M109" s="3187"/>
      <c r="N109" s="3171"/>
      <c r="O109" s="3171"/>
      <c r="P109" s="3172"/>
      <c r="Q109" s="3173"/>
      <c r="R109" s="3174"/>
      <c r="S109" s="3171"/>
      <c r="T109" s="3171"/>
      <c r="U109" s="3172"/>
      <c r="V109" s="3173"/>
      <c r="W109" s="3174"/>
      <c r="X109" s="3171"/>
      <c r="Y109" s="3171"/>
      <c r="Z109" s="3172"/>
      <c r="AA109" s="3173"/>
      <c r="AB109" s="3174"/>
      <c r="AC109" s="3171"/>
      <c r="AD109" s="3171"/>
      <c r="AE109" s="3172"/>
      <c r="AF109" s="3173"/>
      <c r="AG109" s="3174"/>
      <c r="AH109" s="3171"/>
      <c r="AI109" s="3171"/>
      <c r="AJ109" s="3146">
        <f>名簿入力!AK84</f>
        <v>0</v>
      </c>
      <c r="AK109" s="3147"/>
      <c r="AL109" s="3147"/>
      <c r="AM109" s="3147"/>
      <c r="AN109" s="3147"/>
      <c r="AO109" s="3148"/>
      <c r="AP109" s="3178"/>
      <c r="AQ109" s="3179"/>
      <c r="AR109" s="3179"/>
      <c r="AS109" s="3179"/>
      <c r="AT109" s="3180"/>
      <c r="AU109" s="113"/>
    </row>
    <row r="110" spans="2:47" ht="15" customHeight="1" x14ac:dyDescent="0.15">
      <c r="B110" s="3149">
        <v>36</v>
      </c>
      <c r="C110" s="3151">
        <f>名簿入力!D85</f>
        <v>0</v>
      </c>
      <c r="D110" s="3152"/>
      <c r="E110" s="3155">
        <f>名簿入力!E85</f>
        <v>0</v>
      </c>
      <c r="F110" s="3157">
        <f>名簿入力!G85</f>
        <v>0</v>
      </c>
      <c r="G110" s="3159">
        <f>名簿入力!H85</f>
        <v>0</v>
      </c>
      <c r="H110" s="3161">
        <f>名簿入力!I85</f>
        <v>0</v>
      </c>
      <c r="I110" s="3162"/>
      <c r="J110" s="3165">
        <f>名簿入力!K85</f>
        <v>0</v>
      </c>
      <c r="K110" s="3167">
        <f>名簿入力!L85</f>
        <v>0</v>
      </c>
      <c r="L110" s="3161">
        <f>名簿入力!M85</f>
        <v>0</v>
      </c>
      <c r="M110" s="3169"/>
      <c r="N110" s="3165">
        <f>名簿入力!O85</f>
        <v>0</v>
      </c>
      <c r="O110" s="3165">
        <f>名簿入力!P85</f>
        <v>0</v>
      </c>
      <c r="P110" s="3167">
        <f>名簿入力!Q85</f>
        <v>0</v>
      </c>
      <c r="Q110" s="3161">
        <f>名簿入力!R85</f>
        <v>0</v>
      </c>
      <c r="R110" s="3162"/>
      <c r="S110" s="3165">
        <f>名簿入力!T85</f>
        <v>0</v>
      </c>
      <c r="T110" s="3165">
        <f>名簿入力!U85</f>
        <v>0</v>
      </c>
      <c r="U110" s="3167">
        <f>名簿入力!V85</f>
        <v>0</v>
      </c>
      <c r="V110" s="3161">
        <f>名簿入力!W85</f>
        <v>0</v>
      </c>
      <c r="W110" s="3162"/>
      <c r="X110" s="3165">
        <f>名簿入力!Y85</f>
        <v>0</v>
      </c>
      <c r="Y110" s="3165">
        <f>名簿入力!Z85</f>
        <v>0</v>
      </c>
      <c r="Z110" s="3167">
        <f>名簿入力!AA85</f>
        <v>0</v>
      </c>
      <c r="AA110" s="3161">
        <f>名簿入力!AB85</f>
        <v>0</v>
      </c>
      <c r="AB110" s="3162"/>
      <c r="AC110" s="3165">
        <f>名簿入力!AD85</f>
        <v>0</v>
      </c>
      <c r="AD110" s="3165">
        <f>名簿入力!AE85</f>
        <v>0</v>
      </c>
      <c r="AE110" s="3167">
        <f>名簿入力!AF85</f>
        <v>0</v>
      </c>
      <c r="AF110" s="3161">
        <f>名簿入力!AG85</f>
        <v>0</v>
      </c>
      <c r="AG110" s="3162"/>
      <c r="AH110" s="3165">
        <f>名簿入力!AI85</f>
        <v>0</v>
      </c>
      <c r="AI110" s="3165">
        <f>名簿入力!AJ85</f>
        <v>0</v>
      </c>
      <c r="AJ110" s="3175">
        <f>名簿入力!AK85</f>
        <v>0</v>
      </c>
      <c r="AK110" s="3176"/>
      <c r="AL110" s="3176"/>
      <c r="AM110" s="3176"/>
      <c r="AN110" s="3176"/>
      <c r="AO110" s="3177"/>
      <c r="AP110" s="3137">
        <f>名簿入力!AO85</f>
        <v>0</v>
      </c>
      <c r="AQ110" s="3138"/>
      <c r="AR110" s="3138"/>
      <c r="AS110" s="3138"/>
      <c r="AT110" s="3139"/>
      <c r="AU110" s="113"/>
    </row>
    <row r="111" spans="2:47" ht="15" customHeight="1" x14ac:dyDescent="0.15">
      <c r="B111" s="3181"/>
      <c r="C111" s="3182"/>
      <c r="D111" s="3183"/>
      <c r="E111" s="3184"/>
      <c r="F111" s="3185"/>
      <c r="G111" s="3186"/>
      <c r="H111" s="3173"/>
      <c r="I111" s="3174"/>
      <c r="J111" s="3171"/>
      <c r="K111" s="3172"/>
      <c r="L111" s="3173"/>
      <c r="M111" s="3187"/>
      <c r="N111" s="3171"/>
      <c r="O111" s="3171"/>
      <c r="P111" s="3172"/>
      <c r="Q111" s="3173"/>
      <c r="R111" s="3174"/>
      <c r="S111" s="3171"/>
      <c r="T111" s="3171"/>
      <c r="U111" s="3172"/>
      <c r="V111" s="3173"/>
      <c r="W111" s="3174"/>
      <c r="X111" s="3171"/>
      <c r="Y111" s="3171"/>
      <c r="Z111" s="3172"/>
      <c r="AA111" s="3173"/>
      <c r="AB111" s="3174"/>
      <c r="AC111" s="3171"/>
      <c r="AD111" s="3171"/>
      <c r="AE111" s="3172"/>
      <c r="AF111" s="3173"/>
      <c r="AG111" s="3174"/>
      <c r="AH111" s="3171"/>
      <c r="AI111" s="3171"/>
      <c r="AJ111" s="3146">
        <f>名簿入力!AK86</f>
        <v>0</v>
      </c>
      <c r="AK111" s="3147"/>
      <c r="AL111" s="3147"/>
      <c r="AM111" s="3147"/>
      <c r="AN111" s="3147"/>
      <c r="AO111" s="3148"/>
      <c r="AP111" s="3178"/>
      <c r="AQ111" s="3179"/>
      <c r="AR111" s="3179"/>
      <c r="AS111" s="3179"/>
      <c r="AT111" s="3180"/>
      <c r="AU111" s="113"/>
    </row>
    <row r="112" spans="2:47" ht="15" customHeight="1" x14ac:dyDescent="0.15">
      <c r="B112" s="3149">
        <v>37</v>
      </c>
      <c r="C112" s="3151">
        <f>名簿入力!D87</f>
        <v>0</v>
      </c>
      <c r="D112" s="3152"/>
      <c r="E112" s="3155">
        <f>名簿入力!E87</f>
        <v>0</v>
      </c>
      <c r="F112" s="3157">
        <f>名簿入力!G87</f>
        <v>0</v>
      </c>
      <c r="G112" s="3159">
        <f>名簿入力!H87</f>
        <v>0</v>
      </c>
      <c r="H112" s="3161">
        <f>名簿入力!I87</f>
        <v>0</v>
      </c>
      <c r="I112" s="3162"/>
      <c r="J112" s="3165">
        <f>名簿入力!K87</f>
        <v>0</v>
      </c>
      <c r="K112" s="3167">
        <f>名簿入力!L87</f>
        <v>0</v>
      </c>
      <c r="L112" s="3161">
        <f>名簿入力!M87</f>
        <v>0</v>
      </c>
      <c r="M112" s="3169"/>
      <c r="N112" s="3165">
        <f>名簿入力!O87</f>
        <v>0</v>
      </c>
      <c r="O112" s="3165">
        <f>名簿入力!P87</f>
        <v>0</v>
      </c>
      <c r="P112" s="3167">
        <f>名簿入力!Q87</f>
        <v>0</v>
      </c>
      <c r="Q112" s="3161">
        <f>名簿入力!R87</f>
        <v>0</v>
      </c>
      <c r="R112" s="3162"/>
      <c r="S112" s="3165">
        <f>名簿入力!T87</f>
        <v>0</v>
      </c>
      <c r="T112" s="3165">
        <f>名簿入力!U87</f>
        <v>0</v>
      </c>
      <c r="U112" s="3167">
        <f>名簿入力!V87</f>
        <v>0</v>
      </c>
      <c r="V112" s="3161">
        <f>名簿入力!W87</f>
        <v>0</v>
      </c>
      <c r="W112" s="3162"/>
      <c r="X112" s="3165">
        <f>名簿入力!Y87</f>
        <v>0</v>
      </c>
      <c r="Y112" s="3165">
        <f>名簿入力!Z87</f>
        <v>0</v>
      </c>
      <c r="Z112" s="3167">
        <f>名簿入力!AA87</f>
        <v>0</v>
      </c>
      <c r="AA112" s="3161">
        <f>名簿入力!AB87</f>
        <v>0</v>
      </c>
      <c r="AB112" s="3162"/>
      <c r="AC112" s="3165">
        <f>名簿入力!AD87</f>
        <v>0</v>
      </c>
      <c r="AD112" s="3165">
        <f>名簿入力!AE87</f>
        <v>0</v>
      </c>
      <c r="AE112" s="3167">
        <f>名簿入力!AF87</f>
        <v>0</v>
      </c>
      <c r="AF112" s="3161">
        <f>名簿入力!AG87</f>
        <v>0</v>
      </c>
      <c r="AG112" s="3162"/>
      <c r="AH112" s="3165">
        <f>名簿入力!AI87</f>
        <v>0</v>
      </c>
      <c r="AI112" s="3165">
        <f>名簿入力!AJ87</f>
        <v>0</v>
      </c>
      <c r="AJ112" s="3175">
        <f>名簿入力!AK87</f>
        <v>0</v>
      </c>
      <c r="AK112" s="3176"/>
      <c r="AL112" s="3176"/>
      <c r="AM112" s="3176"/>
      <c r="AN112" s="3176"/>
      <c r="AO112" s="3177"/>
      <c r="AP112" s="3137">
        <f>名簿入力!AO87</f>
        <v>0</v>
      </c>
      <c r="AQ112" s="3138"/>
      <c r="AR112" s="3138"/>
      <c r="AS112" s="3138"/>
      <c r="AT112" s="3139"/>
      <c r="AU112" s="113"/>
    </row>
    <row r="113" spans="2:47" ht="15" customHeight="1" x14ac:dyDescent="0.15">
      <c r="B113" s="3181"/>
      <c r="C113" s="3182"/>
      <c r="D113" s="3183"/>
      <c r="E113" s="3184"/>
      <c r="F113" s="3185"/>
      <c r="G113" s="3186"/>
      <c r="H113" s="3173"/>
      <c r="I113" s="3174"/>
      <c r="J113" s="3171"/>
      <c r="K113" s="3172"/>
      <c r="L113" s="3173"/>
      <c r="M113" s="3187"/>
      <c r="N113" s="3171"/>
      <c r="O113" s="3171"/>
      <c r="P113" s="3172"/>
      <c r="Q113" s="3173"/>
      <c r="R113" s="3174"/>
      <c r="S113" s="3171"/>
      <c r="T113" s="3171"/>
      <c r="U113" s="3172"/>
      <c r="V113" s="3173"/>
      <c r="W113" s="3174"/>
      <c r="X113" s="3171"/>
      <c r="Y113" s="3171"/>
      <c r="Z113" s="3172"/>
      <c r="AA113" s="3173"/>
      <c r="AB113" s="3174"/>
      <c r="AC113" s="3171"/>
      <c r="AD113" s="3171"/>
      <c r="AE113" s="3172"/>
      <c r="AF113" s="3173"/>
      <c r="AG113" s="3174"/>
      <c r="AH113" s="3171"/>
      <c r="AI113" s="3171"/>
      <c r="AJ113" s="3146">
        <f>名簿入力!AK88</f>
        <v>0</v>
      </c>
      <c r="AK113" s="3147"/>
      <c r="AL113" s="3147"/>
      <c r="AM113" s="3147"/>
      <c r="AN113" s="3147"/>
      <c r="AO113" s="3148"/>
      <c r="AP113" s="3178"/>
      <c r="AQ113" s="3179"/>
      <c r="AR113" s="3179"/>
      <c r="AS113" s="3179"/>
      <c r="AT113" s="3180"/>
      <c r="AU113" s="113"/>
    </row>
    <row r="114" spans="2:47" ht="15" customHeight="1" x14ac:dyDescent="0.15">
      <c r="B114" s="3149">
        <v>38</v>
      </c>
      <c r="C114" s="3151">
        <f>名簿入力!D89</f>
        <v>0</v>
      </c>
      <c r="D114" s="3152"/>
      <c r="E114" s="3155">
        <f>名簿入力!E89</f>
        <v>0</v>
      </c>
      <c r="F114" s="3157">
        <f>名簿入力!G89</f>
        <v>0</v>
      </c>
      <c r="G114" s="3159">
        <f>名簿入力!H89</f>
        <v>0</v>
      </c>
      <c r="H114" s="3161">
        <f>名簿入力!I89</f>
        <v>0</v>
      </c>
      <c r="I114" s="3162"/>
      <c r="J114" s="3165">
        <f>名簿入力!K89</f>
        <v>0</v>
      </c>
      <c r="K114" s="3167">
        <f>名簿入力!L89</f>
        <v>0</v>
      </c>
      <c r="L114" s="3161">
        <f>名簿入力!M89</f>
        <v>0</v>
      </c>
      <c r="M114" s="3169"/>
      <c r="N114" s="3165">
        <f>名簿入力!O89</f>
        <v>0</v>
      </c>
      <c r="O114" s="3165">
        <f>名簿入力!P89</f>
        <v>0</v>
      </c>
      <c r="P114" s="3167">
        <f>名簿入力!Q89</f>
        <v>0</v>
      </c>
      <c r="Q114" s="3161">
        <f>名簿入力!R89</f>
        <v>0</v>
      </c>
      <c r="R114" s="3162"/>
      <c r="S114" s="3165">
        <f>名簿入力!T89</f>
        <v>0</v>
      </c>
      <c r="T114" s="3165">
        <f>名簿入力!U89</f>
        <v>0</v>
      </c>
      <c r="U114" s="3167">
        <f>名簿入力!V89</f>
        <v>0</v>
      </c>
      <c r="V114" s="3161">
        <f>名簿入力!W89</f>
        <v>0</v>
      </c>
      <c r="W114" s="3162"/>
      <c r="X114" s="3165">
        <f>名簿入力!Y89</f>
        <v>0</v>
      </c>
      <c r="Y114" s="3165">
        <f>名簿入力!Z89</f>
        <v>0</v>
      </c>
      <c r="Z114" s="3167">
        <f>名簿入力!AA89</f>
        <v>0</v>
      </c>
      <c r="AA114" s="3161">
        <f>名簿入力!AB89</f>
        <v>0</v>
      </c>
      <c r="AB114" s="3162"/>
      <c r="AC114" s="3165">
        <f>名簿入力!AD89</f>
        <v>0</v>
      </c>
      <c r="AD114" s="3165">
        <f>名簿入力!AE89</f>
        <v>0</v>
      </c>
      <c r="AE114" s="3167">
        <f>名簿入力!AF89</f>
        <v>0</v>
      </c>
      <c r="AF114" s="3161">
        <f>名簿入力!AG89</f>
        <v>0</v>
      </c>
      <c r="AG114" s="3162"/>
      <c r="AH114" s="3165">
        <f>名簿入力!AI89</f>
        <v>0</v>
      </c>
      <c r="AI114" s="3165">
        <f>名簿入力!AJ89</f>
        <v>0</v>
      </c>
      <c r="AJ114" s="3175">
        <f>名簿入力!AK89</f>
        <v>0</v>
      </c>
      <c r="AK114" s="3176"/>
      <c r="AL114" s="3176"/>
      <c r="AM114" s="3176"/>
      <c r="AN114" s="3176"/>
      <c r="AO114" s="3177"/>
      <c r="AP114" s="3137">
        <f>名簿入力!AO89</f>
        <v>0</v>
      </c>
      <c r="AQ114" s="3138"/>
      <c r="AR114" s="3138"/>
      <c r="AS114" s="3138"/>
      <c r="AT114" s="3139"/>
      <c r="AU114" s="113"/>
    </row>
    <row r="115" spans="2:47" ht="15" customHeight="1" x14ac:dyDescent="0.15">
      <c r="B115" s="3181"/>
      <c r="C115" s="3182"/>
      <c r="D115" s="3183"/>
      <c r="E115" s="3184"/>
      <c r="F115" s="3185"/>
      <c r="G115" s="3186"/>
      <c r="H115" s="3173"/>
      <c r="I115" s="3174"/>
      <c r="J115" s="3171"/>
      <c r="K115" s="3172"/>
      <c r="L115" s="3173"/>
      <c r="M115" s="3187"/>
      <c r="N115" s="3171"/>
      <c r="O115" s="3171"/>
      <c r="P115" s="3172"/>
      <c r="Q115" s="3173"/>
      <c r="R115" s="3174"/>
      <c r="S115" s="3171"/>
      <c r="T115" s="3171"/>
      <c r="U115" s="3172"/>
      <c r="V115" s="3173"/>
      <c r="W115" s="3174"/>
      <c r="X115" s="3171"/>
      <c r="Y115" s="3171"/>
      <c r="Z115" s="3172"/>
      <c r="AA115" s="3173"/>
      <c r="AB115" s="3174"/>
      <c r="AC115" s="3171"/>
      <c r="AD115" s="3171"/>
      <c r="AE115" s="3172"/>
      <c r="AF115" s="3173"/>
      <c r="AG115" s="3174"/>
      <c r="AH115" s="3171"/>
      <c r="AI115" s="3171"/>
      <c r="AJ115" s="3146">
        <f>名簿入力!AK90</f>
        <v>0</v>
      </c>
      <c r="AK115" s="3147"/>
      <c r="AL115" s="3147"/>
      <c r="AM115" s="3147"/>
      <c r="AN115" s="3147"/>
      <c r="AO115" s="3148"/>
      <c r="AP115" s="3178"/>
      <c r="AQ115" s="3179"/>
      <c r="AR115" s="3179"/>
      <c r="AS115" s="3179"/>
      <c r="AT115" s="3180"/>
      <c r="AU115" s="113"/>
    </row>
    <row r="116" spans="2:47" ht="15" customHeight="1" x14ac:dyDescent="0.15">
      <c r="B116" s="3149">
        <v>39</v>
      </c>
      <c r="C116" s="3151">
        <f>名簿入力!D91</f>
        <v>0</v>
      </c>
      <c r="D116" s="3152"/>
      <c r="E116" s="3155">
        <f>名簿入力!E91</f>
        <v>0</v>
      </c>
      <c r="F116" s="3157">
        <f>名簿入力!G91</f>
        <v>0</v>
      </c>
      <c r="G116" s="3159">
        <f>名簿入力!H91</f>
        <v>0</v>
      </c>
      <c r="H116" s="3161">
        <f>名簿入力!I91</f>
        <v>0</v>
      </c>
      <c r="I116" s="3162"/>
      <c r="J116" s="3165">
        <f>名簿入力!K91</f>
        <v>0</v>
      </c>
      <c r="K116" s="3167">
        <f>名簿入力!L91</f>
        <v>0</v>
      </c>
      <c r="L116" s="3161">
        <f>名簿入力!M91</f>
        <v>0</v>
      </c>
      <c r="M116" s="3169"/>
      <c r="N116" s="3165">
        <f>名簿入力!O91</f>
        <v>0</v>
      </c>
      <c r="O116" s="3165">
        <f>名簿入力!P91</f>
        <v>0</v>
      </c>
      <c r="P116" s="3167">
        <f>名簿入力!Q91</f>
        <v>0</v>
      </c>
      <c r="Q116" s="3161">
        <f>名簿入力!R91</f>
        <v>0</v>
      </c>
      <c r="R116" s="3162"/>
      <c r="S116" s="3165">
        <f>名簿入力!T91</f>
        <v>0</v>
      </c>
      <c r="T116" s="3165">
        <f>名簿入力!U91</f>
        <v>0</v>
      </c>
      <c r="U116" s="3167">
        <f>名簿入力!V91</f>
        <v>0</v>
      </c>
      <c r="V116" s="3161">
        <f>名簿入力!W91</f>
        <v>0</v>
      </c>
      <c r="W116" s="3162"/>
      <c r="X116" s="3165">
        <f>名簿入力!Y91</f>
        <v>0</v>
      </c>
      <c r="Y116" s="3165">
        <f>名簿入力!Z91</f>
        <v>0</v>
      </c>
      <c r="Z116" s="3167">
        <f>名簿入力!AA91</f>
        <v>0</v>
      </c>
      <c r="AA116" s="3161">
        <f>名簿入力!AB91</f>
        <v>0</v>
      </c>
      <c r="AB116" s="3162"/>
      <c r="AC116" s="3165">
        <f>名簿入力!AD91</f>
        <v>0</v>
      </c>
      <c r="AD116" s="3165">
        <f>名簿入力!AE91</f>
        <v>0</v>
      </c>
      <c r="AE116" s="3167">
        <f>名簿入力!AF91</f>
        <v>0</v>
      </c>
      <c r="AF116" s="3161">
        <f>名簿入力!AG91</f>
        <v>0</v>
      </c>
      <c r="AG116" s="3162"/>
      <c r="AH116" s="3165">
        <f>名簿入力!AI91</f>
        <v>0</v>
      </c>
      <c r="AI116" s="3165">
        <f>名簿入力!AJ91</f>
        <v>0</v>
      </c>
      <c r="AJ116" s="3175">
        <f>名簿入力!AK91</f>
        <v>0</v>
      </c>
      <c r="AK116" s="3176"/>
      <c r="AL116" s="3176"/>
      <c r="AM116" s="3176"/>
      <c r="AN116" s="3176"/>
      <c r="AO116" s="3177"/>
      <c r="AP116" s="3137">
        <f>名簿入力!AO91</f>
        <v>0</v>
      </c>
      <c r="AQ116" s="3138"/>
      <c r="AR116" s="3138"/>
      <c r="AS116" s="3138"/>
      <c r="AT116" s="3139"/>
      <c r="AU116" s="113"/>
    </row>
    <row r="117" spans="2:47" ht="15" customHeight="1" x14ac:dyDescent="0.15">
      <c r="B117" s="3181"/>
      <c r="C117" s="3182"/>
      <c r="D117" s="3183"/>
      <c r="E117" s="3184"/>
      <c r="F117" s="3185"/>
      <c r="G117" s="3186"/>
      <c r="H117" s="3173"/>
      <c r="I117" s="3174"/>
      <c r="J117" s="3171"/>
      <c r="K117" s="3172"/>
      <c r="L117" s="3173"/>
      <c r="M117" s="3187"/>
      <c r="N117" s="3171"/>
      <c r="O117" s="3171"/>
      <c r="P117" s="3172"/>
      <c r="Q117" s="3173"/>
      <c r="R117" s="3174"/>
      <c r="S117" s="3171"/>
      <c r="T117" s="3171"/>
      <c r="U117" s="3172"/>
      <c r="V117" s="3173"/>
      <c r="W117" s="3174"/>
      <c r="X117" s="3171"/>
      <c r="Y117" s="3171"/>
      <c r="Z117" s="3172"/>
      <c r="AA117" s="3173"/>
      <c r="AB117" s="3174"/>
      <c r="AC117" s="3171"/>
      <c r="AD117" s="3171"/>
      <c r="AE117" s="3172"/>
      <c r="AF117" s="3173"/>
      <c r="AG117" s="3174"/>
      <c r="AH117" s="3171"/>
      <c r="AI117" s="3171"/>
      <c r="AJ117" s="3146">
        <f>名簿入力!AK92</f>
        <v>0</v>
      </c>
      <c r="AK117" s="3147"/>
      <c r="AL117" s="3147"/>
      <c r="AM117" s="3147"/>
      <c r="AN117" s="3147"/>
      <c r="AO117" s="3148"/>
      <c r="AP117" s="3178"/>
      <c r="AQ117" s="3179"/>
      <c r="AR117" s="3179"/>
      <c r="AS117" s="3179"/>
      <c r="AT117" s="3180"/>
      <c r="AU117" s="113"/>
    </row>
    <row r="118" spans="2:47" ht="15" customHeight="1" x14ac:dyDescent="0.15">
      <c r="B118" s="3149">
        <v>40</v>
      </c>
      <c r="C118" s="3151">
        <f>名簿入力!D93</f>
        <v>0</v>
      </c>
      <c r="D118" s="3152"/>
      <c r="E118" s="3155">
        <f>名簿入力!E93</f>
        <v>0</v>
      </c>
      <c r="F118" s="3157">
        <f>名簿入力!G93</f>
        <v>0</v>
      </c>
      <c r="G118" s="3159">
        <f>名簿入力!H93</f>
        <v>0</v>
      </c>
      <c r="H118" s="3161">
        <f>名簿入力!I93</f>
        <v>0</v>
      </c>
      <c r="I118" s="3162"/>
      <c r="J118" s="3165">
        <f>名簿入力!K93</f>
        <v>0</v>
      </c>
      <c r="K118" s="3167">
        <f>名簿入力!L93</f>
        <v>0</v>
      </c>
      <c r="L118" s="3161">
        <f>名簿入力!M93</f>
        <v>0</v>
      </c>
      <c r="M118" s="3169"/>
      <c r="N118" s="3165">
        <f>名簿入力!O93</f>
        <v>0</v>
      </c>
      <c r="O118" s="3165">
        <f>名簿入力!P93</f>
        <v>0</v>
      </c>
      <c r="P118" s="3167">
        <f>名簿入力!Q93</f>
        <v>0</v>
      </c>
      <c r="Q118" s="3161">
        <f>名簿入力!R93</f>
        <v>0</v>
      </c>
      <c r="R118" s="3162"/>
      <c r="S118" s="3165">
        <f>名簿入力!T93</f>
        <v>0</v>
      </c>
      <c r="T118" s="3165">
        <f>名簿入力!U93</f>
        <v>0</v>
      </c>
      <c r="U118" s="3167">
        <f>名簿入力!V93</f>
        <v>0</v>
      </c>
      <c r="V118" s="3161">
        <f>名簿入力!W93</f>
        <v>0</v>
      </c>
      <c r="W118" s="3162"/>
      <c r="X118" s="3165">
        <f>名簿入力!Y93</f>
        <v>0</v>
      </c>
      <c r="Y118" s="3165">
        <f>名簿入力!Z93</f>
        <v>0</v>
      </c>
      <c r="Z118" s="3167">
        <f>名簿入力!AA93</f>
        <v>0</v>
      </c>
      <c r="AA118" s="3161">
        <f>名簿入力!AB93</f>
        <v>0</v>
      </c>
      <c r="AB118" s="3162"/>
      <c r="AC118" s="3165">
        <f>名簿入力!AD93</f>
        <v>0</v>
      </c>
      <c r="AD118" s="3165">
        <f>名簿入力!AE93</f>
        <v>0</v>
      </c>
      <c r="AE118" s="3167">
        <f>名簿入力!AF93</f>
        <v>0</v>
      </c>
      <c r="AF118" s="3161">
        <f>名簿入力!AG93</f>
        <v>0</v>
      </c>
      <c r="AG118" s="3162"/>
      <c r="AH118" s="3165">
        <f>名簿入力!AI93</f>
        <v>0</v>
      </c>
      <c r="AI118" s="3165">
        <f>名簿入力!AJ93</f>
        <v>0</v>
      </c>
      <c r="AJ118" s="3175">
        <f>名簿入力!AK93</f>
        <v>0</v>
      </c>
      <c r="AK118" s="3176"/>
      <c r="AL118" s="3176"/>
      <c r="AM118" s="3176"/>
      <c r="AN118" s="3176"/>
      <c r="AO118" s="3177"/>
      <c r="AP118" s="3137">
        <f>名簿入力!AO93</f>
        <v>0</v>
      </c>
      <c r="AQ118" s="3138"/>
      <c r="AR118" s="3138"/>
      <c r="AS118" s="3138"/>
      <c r="AT118" s="3139"/>
      <c r="AU118" s="113"/>
    </row>
    <row r="119" spans="2:47" ht="15" customHeight="1" x14ac:dyDescent="0.15">
      <c r="B119" s="3181"/>
      <c r="C119" s="3182"/>
      <c r="D119" s="3183"/>
      <c r="E119" s="3184"/>
      <c r="F119" s="3185"/>
      <c r="G119" s="3186"/>
      <c r="H119" s="3173"/>
      <c r="I119" s="3174"/>
      <c r="J119" s="3171"/>
      <c r="K119" s="3172"/>
      <c r="L119" s="3173"/>
      <c r="M119" s="3187"/>
      <c r="N119" s="3171"/>
      <c r="O119" s="3171"/>
      <c r="P119" s="3172"/>
      <c r="Q119" s="3173"/>
      <c r="R119" s="3174"/>
      <c r="S119" s="3171"/>
      <c r="T119" s="3171"/>
      <c r="U119" s="3172"/>
      <c r="V119" s="3173"/>
      <c r="W119" s="3174"/>
      <c r="X119" s="3171"/>
      <c r="Y119" s="3171"/>
      <c r="Z119" s="3172"/>
      <c r="AA119" s="3173"/>
      <c r="AB119" s="3174"/>
      <c r="AC119" s="3171"/>
      <c r="AD119" s="3171"/>
      <c r="AE119" s="3172"/>
      <c r="AF119" s="3173"/>
      <c r="AG119" s="3174"/>
      <c r="AH119" s="3171"/>
      <c r="AI119" s="3171"/>
      <c r="AJ119" s="3146">
        <f>名簿入力!AK94</f>
        <v>0</v>
      </c>
      <c r="AK119" s="3147"/>
      <c r="AL119" s="3147"/>
      <c r="AM119" s="3147"/>
      <c r="AN119" s="3147"/>
      <c r="AO119" s="3148"/>
      <c r="AP119" s="3178"/>
      <c r="AQ119" s="3179"/>
      <c r="AR119" s="3179"/>
      <c r="AS119" s="3179"/>
      <c r="AT119" s="3180"/>
      <c r="AU119" s="113"/>
    </row>
    <row r="120" spans="2:47" ht="15" customHeight="1" x14ac:dyDescent="0.15">
      <c r="B120" s="3149">
        <v>41</v>
      </c>
      <c r="C120" s="3151">
        <f>名簿入力!D95</f>
        <v>0</v>
      </c>
      <c r="D120" s="3152"/>
      <c r="E120" s="3155">
        <f>名簿入力!E95</f>
        <v>0</v>
      </c>
      <c r="F120" s="3157">
        <f>名簿入力!G95</f>
        <v>0</v>
      </c>
      <c r="G120" s="3159">
        <f>名簿入力!H95</f>
        <v>0</v>
      </c>
      <c r="H120" s="3161">
        <f>名簿入力!I95</f>
        <v>0</v>
      </c>
      <c r="I120" s="3162"/>
      <c r="J120" s="3165">
        <f>名簿入力!K95</f>
        <v>0</v>
      </c>
      <c r="K120" s="3167">
        <f>名簿入力!L95</f>
        <v>0</v>
      </c>
      <c r="L120" s="3161">
        <f>名簿入力!M95</f>
        <v>0</v>
      </c>
      <c r="M120" s="3169"/>
      <c r="N120" s="3165">
        <f>名簿入力!O95</f>
        <v>0</v>
      </c>
      <c r="O120" s="3165">
        <f>名簿入力!P95</f>
        <v>0</v>
      </c>
      <c r="P120" s="3167">
        <f>名簿入力!Q95</f>
        <v>0</v>
      </c>
      <c r="Q120" s="3161">
        <f>名簿入力!R95</f>
        <v>0</v>
      </c>
      <c r="R120" s="3162"/>
      <c r="S120" s="3165">
        <f>名簿入力!T95</f>
        <v>0</v>
      </c>
      <c r="T120" s="3165">
        <f>名簿入力!U95</f>
        <v>0</v>
      </c>
      <c r="U120" s="3167">
        <f>名簿入力!V95</f>
        <v>0</v>
      </c>
      <c r="V120" s="3161">
        <f>名簿入力!W95</f>
        <v>0</v>
      </c>
      <c r="W120" s="3162"/>
      <c r="X120" s="3165">
        <f>名簿入力!Y95</f>
        <v>0</v>
      </c>
      <c r="Y120" s="3165">
        <f>名簿入力!Z95</f>
        <v>0</v>
      </c>
      <c r="Z120" s="3167">
        <f>名簿入力!AA95</f>
        <v>0</v>
      </c>
      <c r="AA120" s="3161">
        <f>名簿入力!AB95</f>
        <v>0</v>
      </c>
      <c r="AB120" s="3162"/>
      <c r="AC120" s="3165">
        <f>名簿入力!AD95</f>
        <v>0</v>
      </c>
      <c r="AD120" s="3165">
        <f>名簿入力!AE95</f>
        <v>0</v>
      </c>
      <c r="AE120" s="3167">
        <f>名簿入力!AF95</f>
        <v>0</v>
      </c>
      <c r="AF120" s="3161">
        <f>名簿入力!AG95</f>
        <v>0</v>
      </c>
      <c r="AG120" s="3162"/>
      <c r="AH120" s="3165">
        <f>名簿入力!AI95</f>
        <v>0</v>
      </c>
      <c r="AI120" s="3165">
        <f>名簿入力!AJ95</f>
        <v>0</v>
      </c>
      <c r="AJ120" s="3175">
        <f>名簿入力!AK95</f>
        <v>0</v>
      </c>
      <c r="AK120" s="3176"/>
      <c r="AL120" s="3176"/>
      <c r="AM120" s="3176"/>
      <c r="AN120" s="3176"/>
      <c r="AO120" s="3177"/>
      <c r="AP120" s="3137">
        <f>名簿入力!AO95</f>
        <v>0</v>
      </c>
      <c r="AQ120" s="3138"/>
      <c r="AR120" s="3138"/>
      <c r="AS120" s="3138"/>
      <c r="AT120" s="3139"/>
      <c r="AU120" s="113"/>
    </row>
    <row r="121" spans="2:47" ht="15" customHeight="1" x14ac:dyDescent="0.15">
      <c r="B121" s="3181"/>
      <c r="C121" s="3182"/>
      <c r="D121" s="3183"/>
      <c r="E121" s="3184"/>
      <c r="F121" s="3185"/>
      <c r="G121" s="3186"/>
      <c r="H121" s="3173"/>
      <c r="I121" s="3174"/>
      <c r="J121" s="3171"/>
      <c r="K121" s="3172"/>
      <c r="L121" s="3173"/>
      <c r="M121" s="3187"/>
      <c r="N121" s="3171"/>
      <c r="O121" s="3171"/>
      <c r="P121" s="3172"/>
      <c r="Q121" s="3173"/>
      <c r="R121" s="3174"/>
      <c r="S121" s="3171"/>
      <c r="T121" s="3171"/>
      <c r="U121" s="3172"/>
      <c r="V121" s="3173"/>
      <c r="W121" s="3174"/>
      <c r="X121" s="3171"/>
      <c r="Y121" s="3171"/>
      <c r="Z121" s="3172"/>
      <c r="AA121" s="3173"/>
      <c r="AB121" s="3174"/>
      <c r="AC121" s="3171"/>
      <c r="AD121" s="3171"/>
      <c r="AE121" s="3172"/>
      <c r="AF121" s="3173"/>
      <c r="AG121" s="3174"/>
      <c r="AH121" s="3171"/>
      <c r="AI121" s="3171"/>
      <c r="AJ121" s="3146">
        <f>名簿入力!AK96</f>
        <v>0</v>
      </c>
      <c r="AK121" s="3147"/>
      <c r="AL121" s="3147"/>
      <c r="AM121" s="3147"/>
      <c r="AN121" s="3147"/>
      <c r="AO121" s="3148"/>
      <c r="AP121" s="3178"/>
      <c r="AQ121" s="3179"/>
      <c r="AR121" s="3179"/>
      <c r="AS121" s="3179"/>
      <c r="AT121" s="3180"/>
      <c r="AU121" s="113"/>
    </row>
    <row r="122" spans="2:47" ht="15" customHeight="1" x14ac:dyDescent="0.15">
      <c r="B122" s="3149">
        <v>42</v>
      </c>
      <c r="C122" s="3151">
        <f>名簿入力!D97</f>
        <v>0</v>
      </c>
      <c r="D122" s="3152"/>
      <c r="E122" s="3155">
        <f>名簿入力!E97</f>
        <v>0</v>
      </c>
      <c r="F122" s="3157">
        <f>名簿入力!G97</f>
        <v>0</v>
      </c>
      <c r="G122" s="3159">
        <f>名簿入力!H97</f>
        <v>0</v>
      </c>
      <c r="H122" s="3161">
        <f>名簿入力!I97</f>
        <v>0</v>
      </c>
      <c r="I122" s="3162"/>
      <c r="J122" s="3165">
        <f>名簿入力!K97</f>
        <v>0</v>
      </c>
      <c r="K122" s="3167">
        <f>名簿入力!L97</f>
        <v>0</v>
      </c>
      <c r="L122" s="3161">
        <f>名簿入力!M97</f>
        <v>0</v>
      </c>
      <c r="M122" s="3169"/>
      <c r="N122" s="3165">
        <f>名簿入力!O97</f>
        <v>0</v>
      </c>
      <c r="O122" s="3165">
        <f>名簿入力!P97</f>
        <v>0</v>
      </c>
      <c r="P122" s="3167">
        <f>名簿入力!Q97</f>
        <v>0</v>
      </c>
      <c r="Q122" s="3161">
        <f>名簿入力!R97</f>
        <v>0</v>
      </c>
      <c r="R122" s="3162"/>
      <c r="S122" s="3165">
        <f>名簿入力!T97</f>
        <v>0</v>
      </c>
      <c r="T122" s="3165">
        <f>名簿入力!U97</f>
        <v>0</v>
      </c>
      <c r="U122" s="3167">
        <f>名簿入力!V97</f>
        <v>0</v>
      </c>
      <c r="V122" s="3161">
        <f>名簿入力!W97</f>
        <v>0</v>
      </c>
      <c r="W122" s="3162"/>
      <c r="X122" s="3165">
        <f>名簿入力!Y97</f>
        <v>0</v>
      </c>
      <c r="Y122" s="3165">
        <f>名簿入力!Z97</f>
        <v>0</v>
      </c>
      <c r="Z122" s="3167">
        <f>名簿入力!AA97</f>
        <v>0</v>
      </c>
      <c r="AA122" s="3161">
        <f>名簿入力!AB97</f>
        <v>0</v>
      </c>
      <c r="AB122" s="3162"/>
      <c r="AC122" s="3165">
        <f>名簿入力!AD97</f>
        <v>0</v>
      </c>
      <c r="AD122" s="3165">
        <f>名簿入力!AE97</f>
        <v>0</v>
      </c>
      <c r="AE122" s="3167">
        <f>名簿入力!AF97</f>
        <v>0</v>
      </c>
      <c r="AF122" s="3161">
        <f>名簿入力!AG97</f>
        <v>0</v>
      </c>
      <c r="AG122" s="3162"/>
      <c r="AH122" s="3165">
        <f>名簿入力!AI97</f>
        <v>0</v>
      </c>
      <c r="AI122" s="3165">
        <f>名簿入力!AJ97</f>
        <v>0</v>
      </c>
      <c r="AJ122" s="3175">
        <f>名簿入力!AK97</f>
        <v>0</v>
      </c>
      <c r="AK122" s="3176"/>
      <c r="AL122" s="3176"/>
      <c r="AM122" s="3176"/>
      <c r="AN122" s="3176"/>
      <c r="AO122" s="3177"/>
      <c r="AP122" s="3137">
        <f>名簿入力!AO97</f>
        <v>0</v>
      </c>
      <c r="AQ122" s="3138"/>
      <c r="AR122" s="3138"/>
      <c r="AS122" s="3138"/>
      <c r="AT122" s="3139"/>
      <c r="AU122" s="113"/>
    </row>
    <row r="123" spans="2:47" ht="15" customHeight="1" x14ac:dyDescent="0.15">
      <c r="B123" s="3181"/>
      <c r="C123" s="3182"/>
      <c r="D123" s="3183"/>
      <c r="E123" s="3184"/>
      <c r="F123" s="3185"/>
      <c r="G123" s="3186"/>
      <c r="H123" s="3173"/>
      <c r="I123" s="3174"/>
      <c r="J123" s="3171"/>
      <c r="K123" s="3172"/>
      <c r="L123" s="3173"/>
      <c r="M123" s="3187"/>
      <c r="N123" s="3171"/>
      <c r="O123" s="3171"/>
      <c r="P123" s="3172"/>
      <c r="Q123" s="3173"/>
      <c r="R123" s="3174"/>
      <c r="S123" s="3171"/>
      <c r="T123" s="3171"/>
      <c r="U123" s="3172"/>
      <c r="V123" s="3173"/>
      <c r="W123" s="3174"/>
      <c r="X123" s="3171"/>
      <c r="Y123" s="3171"/>
      <c r="Z123" s="3172"/>
      <c r="AA123" s="3173"/>
      <c r="AB123" s="3174"/>
      <c r="AC123" s="3171"/>
      <c r="AD123" s="3171"/>
      <c r="AE123" s="3172"/>
      <c r="AF123" s="3173"/>
      <c r="AG123" s="3174"/>
      <c r="AH123" s="3171"/>
      <c r="AI123" s="3171"/>
      <c r="AJ123" s="3146">
        <f>名簿入力!AK98</f>
        <v>0</v>
      </c>
      <c r="AK123" s="3147"/>
      <c r="AL123" s="3147"/>
      <c r="AM123" s="3147"/>
      <c r="AN123" s="3147"/>
      <c r="AO123" s="3148"/>
      <c r="AP123" s="3178"/>
      <c r="AQ123" s="3179"/>
      <c r="AR123" s="3179"/>
      <c r="AS123" s="3179"/>
      <c r="AT123" s="3180"/>
      <c r="AU123" s="113"/>
    </row>
    <row r="124" spans="2:47" ht="15" customHeight="1" x14ac:dyDescent="0.15">
      <c r="B124" s="3149">
        <v>43</v>
      </c>
      <c r="C124" s="3151">
        <f>名簿入力!D99</f>
        <v>0</v>
      </c>
      <c r="D124" s="3152"/>
      <c r="E124" s="3155">
        <f>名簿入力!E99</f>
        <v>0</v>
      </c>
      <c r="F124" s="3157">
        <f>名簿入力!G99</f>
        <v>0</v>
      </c>
      <c r="G124" s="3159">
        <f>名簿入力!H99</f>
        <v>0</v>
      </c>
      <c r="H124" s="3161">
        <f>名簿入力!I99</f>
        <v>0</v>
      </c>
      <c r="I124" s="3162"/>
      <c r="J124" s="3165">
        <f>名簿入力!K99</f>
        <v>0</v>
      </c>
      <c r="K124" s="3167">
        <f>名簿入力!L99</f>
        <v>0</v>
      </c>
      <c r="L124" s="3161">
        <f>名簿入力!M99</f>
        <v>0</v>
      </c>
      <c r="M124" s="3169"/>
      <c r="N124" s="3165">
        <f>名簿入力!O99</f>
        <v>0</v>
      </c>
      <c r="O124" s="3165">
        <f>名簿入力!P99</f>
        <v>0</v>
      </c>
      <c r="P124" s="3167">
        <f>名簿入力!Q99</f>
        <v>0</v>
      </c>
      <c r="Q124" s="3161">
        <f>名簿入力!R99</f>
        <v>0</v>
      </c>
      <c r="R124" s="3162"/>
      <c r="S124" s="3165">
        <f>名簿入力!T99</f>
        <v>0</v>
      </c>
      <c r="T124" s="3165">
        <f>名簿入力!U99</f>
        <v>0</v>
      </c>
      <c r="U124" s="3167">
        <f>名簿入力!V99</f>
        <v>0</v>
      </c>
      <c r="V124" s="3161">
        <f>名簿入力!W99</f>
        <v>0</v>
      </c>
      <c r="W124" s="3162"/>
      <c r="X124" s="3165">
        <f>名簿入力!Y99</f>
        <v>0</v>
      </c>
      <c r="Y124" s="3165">
        <f>名簿入力!Z99</f>
        <v>0</v>
      </c>
      <c r="Z124" s="3167">
        <f>名簿入力!AA99</f>
        <v>0</v>
      </c>
      <c r="AA124" s="3161">
        <f>名簿入力!AB99</f>
        <v>0</v>
      </c>
      <c r="AB124" s="3162"/>
      <c r="AC124" s="3165">
        <f>名簿入力!AD99</f>
        <v>0</v>
      </c>
      <c r="AD124" s="3165">
        <f>名簿入力!AE99</f>
        <v>0</v>
      </c>
      <c r="AE124" s="3167">
        <f>名簿入力!AF99</f>
        <v>0</v>
      </c>
      <c r="AF124" s="3161">
        <f>名簿入力!AG99</f>
        <v>0</v>
      </c>
      <c r="AG124" s="3162"/>
      <c r="AH124" s="3165">
        <f>名簿入力!AI99</f>
        <v>0</v>
      </c>
      <c r="AI124" s="3165">
        <f>名簿入力!AJ99</f>
        <v>0</v>
      </c>
      <c r="AJ124" s="3175">
        <f>名簿入力!AK99</f>
        <v>0</v>
      </c>
      <c r="AK124" s="3176"/>
      <c r="AL124" s="3176"/>
      <c r="AM124" s="3176"/>
      <c r="AN124" s="3176"/>
      <c r="AO124" s="3177"/>
      <c r="AP124" s="3137">
        <f>名簿入力!AO99</f>
        <v>0</v>
      </c>
      <c r="AQ124" s="3138"/>
      <c r="AR124" s="3138"/>
      <c r="AS124" s="3138"/>
      <c r="AT124" s="3139"/>
      <c r="AU124" s="113"/>
    </row>
    <row r="125" spans="2:47" ht="15" customHeight="1" x14ac:dyDescent="0.15">
      <c r="B125" s="3181"/>
      <c r="C125" s="3182"/>
      <c r="D125" s="3183"/>
      <c r="E125" s="3184"/>
      <c r="F125" s="3185"/>
      <c r="G125" s="3186"/>
      <c r="H125" s="3173"/>
      <c r="I125" s="3174"/>
      <c r="J125" s="3171"/>
      <c r="K125" s="3172"/>
      <c r="L125" s="3173"/>
      <c r="M125" s="3187"/>
      <c r="N125" s="3171"/>
      <c r="O125" s="3171"/>
      <c r="P125" s="3172"/>
      <c r="Q125" s="3173"/>
      <c r="R125" s="3174"/>
      <c r="S125" s="3171"/>
      <c r="T125" s="3171"/>
      <c r="U125" s="3172"/>
      <c r="V125" s="3173"/>
      <c r="W125" s="3174"/>
      <c r="X125" s="3171"/>
      <c r="Y125" s="3171"/>
      <c r="Z125" s="3172"/>
      <c r="AA125" s="3173"/>
      <c r="AB125" s="3174"/>
      <c r="AC125" s="3171"/>
      <c r="AD125" s="3171"/>
      <c r="AE125" s="3172"/>
      <c r="AF125" s="3173"/>
      <c r="AG125" s="3174"/>
      <c r="AH125" s="3171"/>
      <c r="AI125" s="3171"/>
      <c r="AJ125" s="3146">
        <f>名簿入力!AK100</f>
        <v>0</v>
      </c>
      <c r="AK125" s="3147"/>
      <c r="AL125" s="3147"/>
      <c r="AM125" s="3147"/>
      <c r="AN125" s="3147"/>
      <c r="AO125" s="3148"/>
      <c r="AP125" s="3178"/>
      <c r="AQ125" s="3179"/>
      <c r="AR125" s="3179"/>
      <c r="AS125" s="3179"/>
      <c r="AT125" s="3180"/>
      <c r="AU125" s="113"/>
    </row>
    <row r="126" spans="2:47" ht="15" customHeight="1" x14ac:dyDescent="0.15">
      <c r="B126" s="3149">
        <v>44</v>
      </c>
      <c r="C126" s="3151">
        <f>名簿入力!D101</f>
        <v>0</v>
      </c>
      <c r="D126" s="3152"/>
      <c r="E126" s="3155">
        <f>名簿入力!E101</f>
        <v>0</v>
      </c>
      <c r="F126" s="3157">
        <f>名簿入力!G101</f>
        <v>0</v>
      </c>
      <c r="G126" s="3159">
        <f>名簿入力!H101</f>
        <v>0</v>
      </c>
      <c r="H126" s="3161">
        <f>名簿入力!I101</f>
        <v>0</v>
      </c>
      <c r="I126" s="3162"/>
      <c r="J126" s="3165">
        <f>名簿入力!K101</f>
        <v>0</v>
      </c>
      <c r="K126" s="3167">
        <f>名簿入力!L101</f>
        <v>0</v>
      </c>
      <c r="L126" s="3161">
        <f>名簿入力!M101</f>
        <v>0</v>
      </c>
      <c r="M126" s="3169"/>
      <c r="N126" s="3165">
        <f>名簿入力!O101</f>
        <v>0</v>
      </c>
      <c r="O126" s="3165">
        <f>名簿入力!P101</f>
        <v>0</v>
      </c>
      <c r="P126" s="3167">
        <f>名簿入力!Q101</f>
        <v>0</v>
      </c>
      <c r="Q126" s="3161">
        <f>名簿入力!R101</f>
        <v>0</v>
      </c>
      <c r="R126" s="3162"/>
      <c r="S126" s="3165">
        <f>名簿入力!T101</f>
        <v>0</v>
      </c>
      <c r="T126" s="3165">
        <f>名簿入力!U101</f>
        <v>0</v>
      </c>
      <c r="U126" s="3167">
        <f>名簿入力!V101</f>
        <v>0</v>
      </c>
      <c r="V126" s="3161">
        <f>名簿入力!W101</f>
        <v>0</v>
      </c>
      <c r="W126" s="3162"/>
      <c r="X126" s="3165">
        <f>名簿入力!Y101</f>
        <v>0</v>
      </c>
      <c r="Y126" s="3165">
        <f>名簿入力!Z101</f>
        <v>0</v>
      </c>
      <c r="Z126" s="3167">
        <f>名簿入力!AA101</f>
        <v>0</v>
      </c>
      <c r="AA126" s="3161">
        <f>名簿入力!AB101</f>
        <v>0</v>
      </c>
      <c r="AB126" s="3162"/>
      <c r="AC126" s="3165">
        <f>名簿入力!AD101</f>
        <v>0</v>
      </c>
      <c r="AD126" s="3165">
        <f>名簿入力!AE101</f>
        <v>0</v>
      </c>
      <c r="AE126" s="3167">
        <f>名簿入力!AF101</f>
        <v>0</v>
      </c>
      <c r="AF126" s="3161">
        <f>名簿入力!AG101</f>
        <v>0</v>
      </c>
      <c r="AG126" s="3162"/>
      <c r="AH126" s="3165">
        <f>名簿入力!AI101</f>
        <v>0</v>
      </c>
      <c r="AI126" s="3165">
        <f>名簿入力!AJ101</f>
        <v>0</v>
      </c>
      <c r="AJ126" s="3175">
        <f>名簿入力!AK101</f>
        <v>0</v>
      </c>
      <c r="AK126" s="3176"/>
      <c r="AL126" s="3176"/>
      <c r="AM126" s="3176"/>
      <c r="AN126" s="3176"/>
      <c r="AO126" s="3177"/>
      <c r="AP126" s="3137">
        <f>名簿入力!AO101</f>
        <v>0</v>
      </c>
      <c r="AQ126" s="3138"/>
      <c r="AR126" s="3138"/>
      <c r="AS126" s="3138"/>
      <c r="AT126" s="3139"/>
      <c r="AU126" s="113"/>
    </row>
    <row r="127" spans="2:47" ht="15" customHeight="1" x14ac:dyDescent="0.15">
      <c r="B127" s="3181"/>
      <c r="C127" s="3182"/>
      <c r="D127" s="3183"/>
      <c r="E127" s="3184"/>
      <c r="F127" s="3185"/>
      <c r="G127" s="3186"/>
      <c r="H127" s="3173"/>
      <c r="I127" s="3174"/>
      <c r="J127" s="3171"/>
      <c r="K127" s="3172"/>
      <c r="L127" s="3173"/>
      <c r="M127" s="3187"/>
      <c r="N127" s="3171"/>
      <c r="O127" s="3171"/>
      <c r="P127" s="3172"/>
      <c r="Q127" s="3173"/>
      <c r="R127" s="3174"/>
      <c r="S127" s="3171"/>
      <c r="T127" s="3171"/>
      <c r="U127" s="3172"/>
      <c r="V127" s="3173"/>
      <c r="W127" s="3174"/>
      <c r="X127" s="3171"/>
      <c r="Y127" s="3171"/>
      <c r="Z127" s="3172"/>
      <c r="AA127" s="3173"/>
      <c r="AB127" s="3174"/>
      <c r="AC127" s="3171"/>
      <c r="AD127" s="3171"/>
      <c r="AE127" s="3172"/>
      <c r="AF127" s="3173"/>
      <c r="AG127" s="3174"/>
      <c r="AH127" s="3171"/>
      <c r="AI127" s="3171"/>
      <c r="AJ127" s="3146">
        <f>名簿入力!AK102</f>
        <v>0</v>
      </c>
      <c r="AK127" s="3147"/>
      <c r="AL127" s="3147"/>
      <c r="AM127" s="3147"/>
      <c r="AN127" s="3147"/>
      <c r="AO127" s="3148"/>
      <c r="AP127" s="3178"/>
      <c r="AQ127" s="3179"/>
      <c r="AR127" s="3179"/>
      <c r="AS127" s="3179"/>
      <c r="AT127" s="3180"/>
      <c r="AU127" s="113"/>
    </row>
    <row r="128" spans="2:47" ht="15" customHeight="1" x14ac:dyDescent="0.15">
      <c r="B128" s="3149">
        <v>45</v>
      </c>
      <c r="C128" s="3151">
        <f>名簿入力!D103</f>
        <v>0</v>
      </c>
      <c r="D128" s="3152"/>
      <c r="E128" s="3155">
        <f>名簿入力!E103</f>
        <v>0</v>
      </c>
      <c r="F128" s="3157">
        <f>名簿入力!G103</f>
        <v>0</v>
      </c>
      <c r="G128" s="3159">
        <f>名簿入力!H103</f>
        <v>0</v>
      </c>
      <c r="H128" s="3161">
        <f>名簿入力!I103</f>
        <v>0</v>
      </c>
      <c r="I128" s="3162"/>
      <c r="J128" s="3165">
        <f>名簿入力!K103</f>
        <v>0</v>
      </c>
      <c r="K128" s="3167">
        <f>名簿入力!L103</f>
        <v>0</v>
      </c>
      <c r="L128" s="3161">
        <f>名簿入力!M103</f>
        <v>0</v>
      </c>
      <c r="M128" s="3169"/>
      <c r="N128" s="3165">
        <f>名簿入力!O103</f>
        <v>0</v>
      </c>
      <c r="O128" s="3165">
        <f>名簿入力!P103</f>
        <v>0</v>
      </c>
      <c r="P128" s="3167">
        <f>名簿入力!Q103</f>
        <v>0</v>
      </c>
      <c r="Q128" s="3161">
        <f>名簿入力!R103</f>
        <v>0</v>
      </c>
      <c r="R128" s="3162"/>
      <c r="S128" s="3165">
        <f>名簿入力!T103</f>
        <v>0</v>
      </c>
      <c r="T128" s="3165">
        <f>名簿入力!U103</f>
        <v>0</v>
      </c>
      <c r="U128" s="3167">
        <f>名簿入力!V103</f>
        <v>0</v>
      </c>
      <c r="V128" s="3161">
        <f>名簿入力!W103</f>
        <v>0</v>
      </c>
      <c r="W128" s="3162"/>
      <c r="X128" s="3165">
        <f>名簿入力!Y103</f>
        <v>0</v>
      </c>
      <c r="Y128" s="3165">
        <f>名簿入力!Z103</f>
        <v>0</v>
      </c>
      <c r="Z128" s="3167">
        <f>名簿入力!AA103</f>
        <v>0</v>
      </c>
      <c r="AA128" s="3161">
        <f>名簿入力!AB103</f>
        <v>0</v>
      </c>
      <c r="AB128" s="3162"/>
      <c r="AC128" s="3165">
        <f>名簿入力!AD103</f>
        <v>0</v>
      </c>
      <c r="AD128" s="3165">
        <f>名簿入力!AE103</f>
        <v>0</v>
      </c>
      <c r="AE128" s="3167">
        <f>名簿入力!AF103</f>
        <v>0</v>
      </c>
      <c r="AF128" s="3161">
        <f>名簿入力!AG103</f>
        <v>0</v>
      </c>
      <c r="AG128" s="3162"/>
      <c r="AH128" s="3165">
        <f>名簿入力!AI103</f>
        <v>0</v>
      </c>
      <c r="AI128" s="3165">
        <f>名簿入力!AJ103</f>
        <v>0</v>
      </c>
      <c r="AJ128" s="3175">
        <f>名簿入力!AK103</f>
        <v>0</v>
      </c>
      <c r="AK128" s="3176"/>
      <c r="AL128" s="3176"/>
      <c r="AM128" s="3176"/>
      <c r="AN128" s="3176"/>
      <c r="AO128" s="3177"/>
      <c r="AP128" s="3137">
        <f>名簿入力!AO103</f>
        <v>0</v>
      </c>
      <c r="AQ128" s="3138"/>
      <c r="AR128" s="3138"/>
      <c r="AS128" s="3138"/>
      <c r="AT128" s="3139"/>
      <c r="AU128" s="113"/>
    </row>
    <row r="129" spans="2:50" ht="15" customHeight="1" thickBot="1" x14ac:dyDescent="0.2">
      <c r="B129" s="3150"/>
      <c r="C129" s="3153"/>
      <c r="D129" s="3154"/>
      <c r="E129" s="3156"/>
      <c r="F129" s="3158"/>
      <c r="G129" s="3160"/>
      <c r="H129" s="3163"/>
      <c r="I129" s="3164"/>
      <c r="J129" s="3166"/>
      <c r="K129" s="3168"/>
      <c r="L129" s="3163"/>
      <c r="M129" s="3170"/>
      <c r="N129" s="3166"/>
      <c r="O129" s="3166"/>
      <c r="P129" s="3168"/>
      <c r="Q129" s="3163"/>
      <c r="R129" s="3164"/>
      <c r="S129" s="3166"/>
      <c r="T129" s="3166"/>
      <c r="U129" s="3168"/>
      <c r="V129" s="3163"/>
      <c r="W129" s="3164"/>
      <c r="X129" s="3166"/>
      <c r="Y129" s="3166"/>
      <c r="Z129" s="3168"/>
      <c r="AA129" s="3163"/>
      <c r="AB129" s="3164"/>
      <c r="AC129" s="3166"/>
      <c r="AD129" s="3166"/>
      <c r="AE129" s="3168"/>
      <c r="AF129" s="3163"/>
      <c r="AG129" s="3164"/>
      <c r="AH129" s="3166"/>
      <c r="AI129" s="3166"/>
      <c r="AJ129" s="3143">
        <f>名簿入力!AK104</f>
        <v>0</v>
      </c>
      <c r="AK129" s="3144"/>
      <c r="AL129" s="3144"/>
      <c r="AM129" s="3144"/>
      <c r="AN129" s="3144"/>
      <c r="AO129" s="3145"/>
      <c r="AP129" s="3140"/>
      <c r="AQ129" s="3141"/>
      <c r="AR129" s="3141"/>
      <c r="AS129" s="3141"/>
      <c r="AT129" s="3142"/>
      <c r="AU129" s="113"/>
    </row>
    <row r="130" spans="2:50" ht="46.5" customHeight="1" x14ac:dyDescent="0.15">
      <c r="B130" s="524"/>
      <c r="C130" s="525"/>
      <c r="D130" s="525"/>
      <c r="E130" s="526"/>
      <c r="F130" s="527"/>
      <c r="G130" s="527"/>
      <c r="H130" s="528"/>
      <c r="I130" s="528"/>
      <c r="J130" s="529"/>
      <c r="K130" s="529"/>
      <c r="L130" s="528"/>
      <c r="M130" s="528"/>
      <c r="N130" s="529"/>
      <c r="O130" s="529"/>
      <c r="P130" s="529"/>
      <c r="Q130" s="528"/>
      <c r="R130" s="528"/>
      <c r="S130" s="529"/>
      <c r="T130" s="529"/>
      <c r="U130" s="529"/>
      <c r="V130" s="528"/>
      <c r="W130" s="528"/>
      <c r="X130" s="529"/>
      <c r="Y130" s="529"/>
      <c r="Z130" s="529"/>
      <c r="AA130" s="528"/>
      <c r="AB130" s="528"/>
      <c r="AC130" s="529"/>
      <c r="AD130" s="529"/>
      <c r="AE130" s="529"/>
      <c r="AF130" s="528"/>
      <c r="AG130" s="1111"/>
      <c r="AH130" s="1112"/>
      <c r="AI130" s="1112"/>
      <c r="AJ130" s="1113"/>
      <c r="AK130" s="1113"/>
      <c r="AL130" s="1113"/>
      <c r="AM130" s="1113"/>
      <c r="AN130" s="1113"/>
      <c r="AO130" s="1113"/>
      <c r="AP130" s="1114"/>
      <c r="AQ130" s="1114"/>
      <c r="AR130" s="1114"/>
      <c r="AS130" s="1114"/>
      <c r="AT130" s="1114"/>
      <c r="AU130" s="113"/>
    </row>
    <row r="131" spans="2:50" ht="26.25" customHeight="1" x14ac:dyDescent="0.15">
      <c r="C131" s="3279" t="s">
        <v>282</v>
      </c>
      <c r="D131" s="3279"/>
      <c r="E131" s="3279"/>
      <c r="F131" s="3279"/>
      <c r="G131" s="3279"/>
      <c r="H131" s="3279"/>
      <c r="I131" s="3279"/>
      <c r="J131" s="3279"/>
      <c r="K131" s="3279"/>
      <c r="L131" s="3279"/>
      <c r="M131" s="3279"/>
      <c r="N131" s="3279"/>
      <c r="O131" s="3279"/>
      <c r="P131" s="3279"/>
      <c r="Q131" s="3279"/>
      <c r="R131" s="3279"/>
      <c r="S131" s="3279"/>
      <c r="T131" s="3279"/>
      <c r="U131" s="3279"/>
      <c r="V131" s="3279"/>
      <c r="W131" s="3279"/>
      <c r="X131" s="3279"/>
      <c r="Y131" s="3279"/>
      <c r="Z131" s="3279"/>
      <c r="AA131" s="1014"/>
      <c r="AB131" s="1014"/>
      <c r="AC131" s="1014"/>
      <c r="AD131" s="1014"/>
      <c r="AE131" s="1014"/>
      <c r="AF131" s="1014"/>
      <c r="AG131" s="1014"/>
      <c r="AH131" s="1014"/>
      <c r="AI131" s="1014"/>
      <c r="AJ131" s="1014"/>
      <c r="AK131" s="1014"/>
      <c r="AL131" s="1014"/>
      <c r="AM131" s="1014"/>
      <c r="AN131" s="1014"/>
      <c r="AP131" s="499"/>
      <c r="AQ131" s="3230" t="s">
        <v>175</v>
      </c>
      <c r="AR131" s="3230"/>
      <c r="AS131" s="3230">
        <v>4</v>
      </c>
      <c r="AT131" s="3230"/>
    </row>
    <row r="132" spans="2:50" ht="3.75" customHeight="1" thickBot="1" x14ac:dyDescent="0.2">
      <c r="B132" s="854"/>
      <c r="C132" s="854"/>
      <c r="D132" s="854"/>
      <c r="E132" s="854"/>
      <c r="F132" s="854"/>
      <c r="G132" s="854"/>
      <c r="H132" s="854"/>
      <c r="I132" s="854"/>
      <c r="J132" s="854"/>
      <c r="K132" s="854"/>
      <c r="L132" s="854"/>
      <c r="M132" s="854"/>
      <c r="N132" s="854"/>
      <c r="O132" s="854"/>
      <c r="P132" s="854"/>
      <c r="Q132" s="854"/>
      <c r="R132" s="854"/>
      <c r="S132" s="854"/>
      <c r="T132" s="854"/>
      <c r="U132" s="854"/>
      <c r="V132" s="854"/>
      <c r="W132" s="854"/>
      <c r="X132" s="854"/>
      <c r="Y132" s="854"/>
      <c r="Z132" s="854"/>
      <c r="AA132" s="854"/>
      <c r="AB132" s="854"/>
      <c r="AC132" s="854"/>
      <c r="AD132" s="854"/>
      <c r="AE132" s="854"/>
      <c r="AF132" s="854"/>
      <c r="AG132" s="854"/>
      <c r="AH132" s="854"/>
      <c r="AI132" s="854"/>
      <c r="AJ132" s="854"/>
      <c r="AK132" s="854"/>
      <c r="AL132" s="854"/>
      <c r="AM132" s="854"/>
      <c r="AN132" s="854"/>
      <c r="AP132" s="499"/>
      <c r="AQ132" s="855"/>
      <c r="AR132" s="855"/>
      <c r="AS132" s="855"/>
      <c r="AT132" s="855"/>
    </row>
    <row r="133" spans="2:50" ht="15" customHeight="1" x14ac:dyDescent="0.15">
      <c r="B133" s="3231" t="s">
        <v>174</v>
      </c>
      <c r="C133" s="3232"/>
      <c r="D133" s="3235" t="str">
        <f>$D$4</f>
        <v xml:space="preserve"> </v>
      </c>
      <c r="E133" s="3235"/>
      <c r="F133" s="3235"/>
      <c r="G133" s="3235"/>
      <c r="H133" s="3235"/>
      <c r="I133" s="3235"/>
      <c r="J133" s="3235"/>
      <c r="K133" s="3235"/>
      <c r="L133" s="3235"/>
      <c r="M133" s="3235"/>
      <c r="N133" s="3235"/>
      <c r="O133" s="3235"/>
      <c r="P133" s="3235"/>
      <c r="Q133" s="3235"/>
      <c r="R133" s="3235"/>
      <c r="S133" s="3235"/>
      <c r="T133" s="3235"/>
      <c r="U133" s="3235"/>
      <c r="V133" s="3235"/>
      <c r="W133" s="3235"/>
      <c r="X133" s="3235"/>
      <c r="Y133" s="3235"/>
      <c r="Z133" s="3236"/>
      <c r="AA133" s="502"/>
      <c r="AB133" s="503"/>
      <c r="AC133" s="497"/>
      <c r="AD133" s="497"/>
      <c r="AE133" s="497"/>
      <c r="AF133" s="48"/>
      <c r="AG133" s="48"/>
      <c r="AJ133" s="48"/>
      <c r="AK133" s="48"/>
    </row>
    <row r="134" spans="2:50" ht="22.5" customHeight="1" x14ac:dyDescent="0.15">
      <c r="B134" s="3233"/>
      <c r="C134" s="3234"/>
      <c r="D134" s="3237"/>
      <c r="E134" s="3237"/>
      <c r="F134" s="3237"/>
      <c r="G134" s="3237"/>
      <c r="H134" s="3237"/>
      <c r="I134" s="3237"/>
      <c r="J134" s="3237"/>
      <c r="K134" s="3237"/>
      <c r="L134" s="3237"/>
      <c r="M134" s="3237"/>
      <c r="N134" s="3237"/>
      <c r="O134" s="3237"/>
      <c r="P134" s="3237"/>
      <c r="Q134" s="3237"/>
      <c r="R134" s="3237"/>
      <c r="S134" s="3237"/>
      <c r="T134" s="3237"/>
      <c r="U134" s="3237"/>
      <c r="V134" s="3237"/>
      <c r="W134" s="3237"/>
      <c r="X134" s="3237"/>
      <c r="Y134" s="3237"/>
      <c r="Z134" s="3238"/>
      <c r="AA134" s="502"/>
      <c r="AB134" s="504"/>
      <c r="AC134" s="497"/>
      <c r="AD134" s="497"/>
      <c r="AE134" s="497"/>
      <c r="AF134" s="497"/>
      <c r="AG134" s="48"/>
      <c r="AJ134" s="48"/>
      <c r="AK134" s="48"/>
    </row>
    <row r="135" spans="2:50" ht="24.75" customHeight="1" thickBot="1" x14ac:dyDescent="0.2">
      <c r="B135" s="3239" t="s">
        <v>173</v>
      </c>
      <c r="C135" s="3240"/>
      <c r="D135" s="3241">
        <f>$D$6</f>
        <v>0</v>
      </c>
      <c r="E135" s="3241"/>
      <c r="F135" s="513" t="s">
        <v>60</v>
      </c>
      <c r="G135" s="3241">
        <f>$G$6</f>
        <v>0</v>
      </c>
      <c r="H135" s="3241"/>
      <c r="I135" s="514" t="s">
        <v>61</v>
      </c>
      <c r="J135" s="3241">
        <f>$J$6</f>
        <v>0</v>
      </c>
      <c r="K135" s="3241"/>
      <c r="L135" s="514" t="s">
        <v>62</v>
      </c>
      <c r="M135" s="515" t="s">
        <v>96</v>
      </c>
      <c r="N135" s="514" t="str">
        <f>$N$6</f>
        <v/>
      </c>
      <c r="O135" s="514" t="s">
        <v>104</v>
      </c>
      <c r="P135" s="3242" t="s">
        <v>110</v>
      </c>
      <c r="Q135" s="3242"/>
      <c r="R135" s="3243" t="str">
        <f>$R$6</f>
        <v/>
      </c>
      <c r="S135" s="3243"/>
      <c r="T135" s="514" t="s">
        <v>61</v>
      </c>
      <c r="U135" s="3244" t="str">
        <f>$U$6</f>
        <v/>
      </c>
      <c r="V135" s="3244"/>
      <c r="W135" s="514" t="s">
        <v>62</v>
      </c>
      <c r="X135" s="515" t="s">
        <v>96</v>
      </c>
      <c r="Y135" s="516" t="str">
        <f>$Y$6</f>
        <v/>
      </c>
      <c r="Z135" s="517" t="s">
        <v>104</v>
      </c>
      <c r="AA135" s="507"/>
      <c r="AB135" s="48"/>
      <c r="AF135" s="48"/>
      <c r="AG135" s="48"/>
      <c r="AJ135" s="48"/>
      <c r="AK135" s="48"/>
    </row>
    <row r="136" spans="2:50" ht="13.5" customHeight="1" thickBot="1" x14ac:dyDescent="0.2">
      <c r="B136" s="508"/>
      <c r="C136" s="508"/>
      <c r="D136" s="509"/>
      <c r="E136" s="509"/>
      <c r="F136" s="509"/>
      <c r="G136" s="509"/>
      <c r="H136" s="509"/>
      <c r="I136" s="509"/>
      <c r="J136" s="509"/>
      <c r="K136" s="509"/>
      <c r="L136" s="509"/>
      <c r="M136" s="509"/>
      <c r="N136" s="509"/>
      <c r="O136" s="509"/>
      <c r="P136" s="509"/>
      <c r="Q136" s="509"/>
      <c r="R136" s="509"/>
      <c r="S136" s="509"/>
      <c r="T136" s="509"/>
      <c r="U136" s="509"/>
      <c r="V136" s="509"/>
      <c r="W136" s="509"/>
      <c r="X136" s="510"/>
      <c r="Y136" s="510"/>
      <c r="Z136" s="510"/>
      <c r="AA136" s="511"/>
      <c r="AB136" s="48"/>
      <c r="AF136" s="48"/>
      <c r="AG136" s="48"/>
      <c r="AJ136" s="48"/>
      <c r="AK136" s="48"/>
    </row>
    <row r="137" spans="2:50" ht="15" customHeight="1" x14ac:dyDescent="0.15">
      <c r="B137" s="3200" t="s">
        <v>287</v>
      </c>
      <c r="C137" s="3203" t="s">
        <v>167</v>
      </c>
      <c r="D137" s="1959"/>
      <c r="E137" s="1962" t="s">
        <v>341</v>
      </c>
      <c r="F137" s="2097" t="s">
        <v>166</v>
      </c>
      <c r="G137" s="2098"/>
      <c r="H137" s="3245" t="s">
        <v>165</v>
      </c>
      <c r="I137" s="3246"/>
      <c r="J137" s="3246"/>
      <c r="K137" s="3247"/>
      <c r="L137" s="3245" t="s">
        <v>164</v>
      </c>
      <c r="M137" s="3246"/>
      <c r="N137" s="3246"/>
      <c r="O137" s="3246"/>
      <c r="P137" s="3247"/>
      <c r="Q137" s="3245" t="s">
        <v>163</v>
      </c>
      <c r="R137" s="3246"/>
      <c r="S137" s="3246"/>
      <c r="T137" s="3246"/>
      <c r="U137" s="3247"/>
      <c r="V137" s="3245" t="s">
        <v>249</v>
      </c>
      <c r="W137" s="3246"/>
      <c r="X137" s="3246"/>
      <c r="Y137" s="3246"/>
      <c r="Z137" s="3247"/>
      <c r="AA137" s="3245" t="s">
        <v>250</v>
      </c>
      <c r="AB137" s="3246"/>
      <c r="AC137" s="3246"/>
      <c r="AD137" s="3246"/>
      <c r="AE137" s="3247"/>
      <c r="AF137" s="3245" t="s">
        <v>251</v>
      </c>
      <c r="AG137" s="3246"/>
      <c r="AH137" s="3246"/>
      <c r="AI137" s="3246"/>
      <c r="AJ137" s="3248" t="s">
        <v>438</v>
      </c>
      <c r="AK137" s="3249"/>
      <c r="AL137" s="3249"/>
      <c r="AM137" s="3249"/>
      <c r="AN137" s="3249"/>
      <c r="AO137" s="3250"/>
      <c r="AP137" s="3248" t="s">
        <v>162</v>
      </c>
      <c r="AQ137" s="3249"/>
      <c r="AR137" s="3249"/>
      <c r="AS137" s="3249"/>
      <c r="AT137" s="3250"/>
      <c r="AU137" s="117"/>
      <c r="AW137" s="501"/>
      <c r="AX137" s="501"/>
    </row>
    <row r="138" spans="2:50" ht="26.25" customHeight="1" x14ac:dyDescent="0.15">
      <c r="B138" s="3201"/>
      <c r="C138" s="3204"/>
      <c r="D138" s="1960"/>
      <c r="E138" s="1963"/>
      <c r="F138" s="2099"/>
      <c r="G138" s="1972"/>
      <c r="H138" s="3251" t="str">
        <f>$H$9</f>
        <v/>
      </c>
      <c r="I138" s="3252"/>
      <c r="J138" s="3252"/>
      <c r="K138" s="3253"/>
      <c r="L138" s="3254" t="str">
        <f>$L$9</f>
        <v/>
      </c>
      <c r="M138" s="3255"/>
      <c r="N138" s="3255"/>
      <c r="O138" s="3255"/>
      <c r="P138" s="3256"/>
      <c r="Q138" s="3254" t="str">
        <f>$Q$9</f>
        <v/>
      </c>
      <c r="R138" s="3255"/>
      <c r="S138" s="3255"/>
      <c r="T138" s="3255"/>
      <c r="U138" s="3256"/>
      <c r="V138" s="3254" t="str">
        <f>$V$9</f>
        <v/>
      </c>
      <c r="W138" s="3255"/>
      <c r="X138" s="3255"/>
      <c r="Y138" s="3255"/>
      <c r="Z138" s="3256"/>
      <c r="AA138" s="3254" t="str">
        <f>$AA$9</f>
        <v/>
      </c>
      <c r="AB138" s="3255"/>
      <c r="AC138" s="3255"/>
      <c r="AD138" s="3255"/>
      <c r="AE138" s="3256"/>
      <c r="AF138" s="3254" t="str">
        <f>$AF$9</f>
        <v/>
      </c>
      <c r="AG138" s="3255"/>
      <c r="AH138" s="3255"/>
      <c r="AI138" s="3255"/>
      <c r="AJ138" s="3257" t="s">
        <v>441</v>
      </c>
      <c r="AK138" s="3258"/>
      <c r="AL138" s="3258"/>
      <c r="AM138" s="3258"/>
      <c r="AN138" s="3258"/>
      <c r="AO138" s="3259"/>
      <c r="AP138" s="3263" t="s">
        <v>442</v>
      </c>
      <c r="AQ138" s="3264"/>
      <c r="AR138" s="3264"/>
      <c r="AS138" s="3264"/>
      <c r="AT138" s="3265"/>
      <c r="AU138" s="116"/>
    </row>
    <row r="139" spans="2:50" ht="16.5" customHeight="1" x14ac:dyDescent="0.15">
      <c r="B139" s="3201"/>
      <c r="C139" s="3204"/>
      <c r="D139" s="1960"/>
      <c r="E139" s="1963"/>
      <c r="F139" s="3266" t="s">
        <v>78</v>
      </c>
      <c r="G139" s="3206" t="s">
        <v>79</v>
      </c>
      <c r="H139" s="1974" t="s">
        <v>176</v>
      </c>
      <c r="I139" s="3208"/>
      <c r="J139" s="3210" t="s">
        <v>161</v>
      </c>
      <c r="K139" s="3211"/>
      <c r="L139" s="1974" t="s">
        <v>176</v>
      </c>
      <c r="M139" s="3208"/>
      <c r="N139" s="3210" t="s">
        <v>160</v>
      </c>
      <c r="O139" s="3213"/>
      <c r="P139" s="3211"/>
      <c r="Q139" s="1974" t="s">
        <v>176</v>
      </c>
      <c r="R139" s="3208"/>
      <c r="S139" s="3210" t="s">
        <v>160</v>
      </c>
      <c r="T139" s="3213"/>
      <c r="U139" s="3211"/>
      <c r="V139" s="1974" t="s">
        <v>176</v>
      </c>
      <c r="W139" s="3208"/>
      <c r="X139" s="3210" t="s">
        <v>160</v>
      </c>
      <c r="Y139" s="3213"/>
      <c r="Z139" s="3211"/>
      <c r="AA139" s="1974" t="s">
        <v>176</v>
      </c>
      <c r="AB139" s="3208"/>
      <c r="AC139" s="3210" t="s">
        <v>160</v>
      </c>
      <c r="AD139" s="3213"/>
      <c r="AE139" s="3211"/>
      <c r="AF139" s="1974" t="s">
        <v>176</v>
      </c>
      <c r="AG139" s="3208"/>
      <c r="AH139" s="3210" t="s">
        <v>160</v>
      </c>
      <c r="AI139" s="3213"/>
      <c r="AJ139" s="3257"/>
      <c r="AK139" s="3258"/>
      <c r="AL139" s="3258"/>
      <c r="AM139" s="3258"/>
      <c r="AN139" s="3258"/>
      <c r="AO139" s="3259"/>
      <c r="AP139" s="3257"/>
      <c r="AQ139" s="3258"/>
      <c r="AR139" s="3258"/>
      <c r="AS139" s="3258"/>
      <c r="AT139" s="3259"/>
      <c r="AU139" s="115"/>
    </row>
    <row r="140" spans="2:50" ht="19.5" customHeight="1" thickBot="1" x14ac:dyDescent="0.2">
      <c r="B140" s="3202"/>
      <c r="C140" s="3205"/>
      <c r="D140" s="1961"/>
      <c r="E140" s="1964"/>
      <c r="F140" s="3267"/>
      <c r="G140" s="3207"/>
      <c r="H140" s="1978"/>
      <c r="I140" s="3209"/>
      <c r="J140" s="523" t="s">
        <v>153</v>
      </c>
      <c r="K140" s="522" t="s">
        <v>280</v>
      </c>
      <c r="L140" s="1978"/>
      <c r="M140" s="3212"/>
      <c r="N140" s="523" t="s">
        <v>154</v>
      </c>
      <c r="O140" s="523" t="s">
        <v>153</v>
      </c>
      <c r="P140" s="522" t="s">
        <v>280</v>
      </c>
      <c r="Q140" s="1978"/>
      <c r="R140" s="3209"/>
      <c r="S140" s="523" t="s">
        <v>154</v>
      </c>
      <c r="T140" s="523" t="s">
        <v>153</v>
      </c>
      <c r="U140" s="522" t="s">
        <v>280</v>
      </c>
      <c r="V140" s="1978"/>
      <c r="W140" s="3209"/>
      <c r="X140" s="523" t="s">
        <v>154</v>
      </c>
      <c r="Y140" s="523" t="s">
        <v>153</v>
      </c>
      <c r="Z140" s="522" t="s">
        <v>280</v>
      </c>
      <c r="AA140" s="1978"/>
      <c r="AB140" s="3209"/>
      <c r="AC140" s="523" t="s">
        <v>154</v>
      </c>
      <c r="AD140" s="523" t="s">
        <v>153</v>
      </c>
      <c r="AE140" s="522" t="s">
        <v>280</v>
      </c>
      <c r="AF140" s="1978"/>
      <c r="AG140" s="3209"/>
      <c r="AH140" s="523" t="s">
        <v>154</v>
      </c>
      <c r="AI140" s="523" t="s">
        <v>153</v>
      </c>
      <c r="AJ140" s="3260"/>
      <c r="AK140" s="3261"/>
      <c r="AL140" s="3261"/>
      <c r="AM140" s="3261"/>
      <c r="AN140" s="3261"/>
      <c r="AO140" s="3262"/>
      <c r="AP140" s="3260"/>
      <c r="AQ140" s="3261"/>
      <c r="AR140" s="3261"/>
      <c r="AS140" s="3261"/>
      <c r="AT140" s="3262"/>
      <c r="AU140" s="114"/>
    </row>
    <row r="141" spans="2:50" ht="15" customHeight="1" x14ac:dyDescent="0.15">
      <c r="B141" s="3214" t="s">
        <v>159</v>
      </c>
      <c r="C141" s="3216" t="s">
        <v>158</v>
      </c>
      <c r="D141" s="3217"/>
      <c r="E141" s="3220" t="s">
        <v>157</v>
      </c>
      <c r="F141" s="3222" t="s">
        <v>98</v>
      </c>
      <c r="G141" s="3224"/>
      <c r="H141" s="3190" t="s">
        <v>155</v>
      </c>
      <c r="I141" s="3191"/>
      <c r="J141" s="3194" t="s">
        <v>98</v>
      </c>
      <c r="K141" s="3188" t="s">
        <v>98</v>
      </c>
      <c r="L141" s="3190" t="s">
        <v>155</v>
      </c>
      <c r="M141" s="3226"/>
      <c r="N141" s="3194" t="s">
        <v>98</v>
      </c>
      <c r="O141" s="3194" t="s">
        <v>98</v>
      </c>
      <c r="P141" s="3188" t="s">
        <v>98</v>
      </c>
      <c r="Q141" s="2087" t="s">
        <v>414</v>
      </c>
      <c r="R141" s="3196"/>
      <c r="S141" s="3194" t="s">
        <v>98</v>
      </c>
      <c r="T141" s="3198"/>
      <c r="U141" s="3228"/>
      <c r="V141" s="3190"/>
      <c r="W141" s="3191"/>
      <c r="X141" s="3194"/>
      <c r="Y141" s="3194"/>
      <c r="Z141" s="3188"/>
      <c r="AA141" s="3190"/>
      <c r="AB141" s="3191"/>
      <c r="AC141" s="3194"/>
      <c r="AD141" s="3194"/>
      <c r="AE141" s="3188"/>
      <c r="AF141" s="2087"/>
      <c r="AG141" s="3196"/>
      <c r="AH141" s="3194"/>
      <c r="AI141" s="3198"/>
      <c r="AJ141" s="2032" t="s">
        <v>433</v>
      </c>
      <c r="AK141" s="2033"/>
      <c r="AL141" s="2033"/>
      <c r="AM141" s="2033"/>
      <c r="AN141" s="2033"/>
      <c r="AO141" s="2034"/>
      <c r="AP141" s="2026" t="s">
        <v>342</v>
      </c>
      <c r="AQ141" s="2027"/>
      <c r="AR141" s="2027"/>
      <c r="AS141" s="2027"/>
      <c r="AT141" s="2028"/>
      <c r="AU141" s="113"/>
    </row>
    <row r="142" spans="2:50" ht="15" customHeight="1" x14ac:dyDescent="0.15">
      <c r="B142" s="3215"/>
      <c r="C142" s="3218"/>
      <c r="D142" s="3219"/>
      <c r="E142" s="3221"/>
      <c r="F142" s="3223"/>
      <c r="G142" s="3225"/>
      <c r="H142" s="3192"/>
      <c r="I142" s="3193"/>
      <c r="J142" s="3195"/>
      <c r="K142" s="3189"/>
      <c r="L142" s="3192"/>
      <c r="M142" s="3227"/>
      <c r="N142" s="3195"/>
      <c r="O142" s="3195"/>
      <c r="P142" s="3189"/>
      <c r="Q142" s="2089"/>
      <c r="R142" s="3197"/>
      <c r="S142" s="3195"/>
      <c r="T142" s="3199"/>
      <c r="U142" s="3229"/>
      <c r="V142" s="3192"/>
      <c r="W142" s="3193"/>
      <c r="X142" s="3195"/>
      <c r="Y142" s="3195"/>
      <c r="Z142" s="3189"/>
      <c r="AA142" s="3192"/>
      <c r="AB142" s="3193"/>
      <c r="AC142" s="3195"/>
      <c r="AD142" s="3195"/>
      <c r="AE142" s="3189"/>
      <c r="AF142" s="2089"/>
      <c r="AG142" s="3197"/>
      <c r="AH142" s="3195"/>
      <c r="AI142" s="3199"/>
      <c r="AJ142" s="2035" t="s">
        <v>434</v>
      </c>
      <c r="AK142" s="2036"/>
      <c r="AL142" s="2036"/>
      <c r="AM142" s="2036"/>
      <c r="AN142" s="2036"/>
      <c r="AO142" s="2037"/>
      <c r="AP142" s="2029"/>
      <c r="AQ142" s="2030"/>
      <c r="AR142" s="2030"/>
      <c r="AS142" s="2030"/>
      <c r="AT142" s="2031"/>
      <c r="AU142" s="113"/>
    </row>
    <row r="143" spans="2:50" ht="15" customHeight="1" x14ac:dyDescent="0.15">
      <c r="B143" s="3149">
        <v>46</v>
      </c>
      <c r="C143" s="3151">
        <f>名簿入力!D105</f>
        <v>0</v>
      </c>
      <c r="D143" s="3152"/>
      <c r="E143" s="3155">
        <f>名簿入力!E105</f>
        <v>0</v>
      </c>
      <c r="F143" s="3157">
        <f>名簿入力!G105</f>
        <v>0</v>
      </c>
      <c r="G143" s="3159">
        <f>名簿入力!H105</f>
        <v>0</v>
      </c>
      <c r="H143" s="3161">
        <f>名簿入力!I105</f>
        <v>0</v>
      </c>
      <c r="I143" s="3162"/>
      <c r="J143" s="3165">
        <f>名簿入力!K105</f>
        <v>0</v>
      </c>
      <c r="K143" s="3167">
        <f>名簿入力!L105</f>
        <v>0</v>
      </c>
      <c r="L143" s="3161">
        <f>名簿入力!M105</f>
        <v>0</v>
      </c>
      <c r="M143" s="3169"/>
      <c r="N143" s="3165">
        <f>名簿入力!O105</f>
        <v>0</v>
      </c>
      <c r="O143" s="3165">
        <f>名簿入力!P105</f>
        <v>0</v>
      </c>
      <c r="P143" s="3167">
        <f>名簿入力!Q105</f>
        <v>0</v>
      </c>
      <c r="Q143" s="3161">
        <f>名簿入力!R105</f>
        <v>0</v>
      </c>
      <c r="R143" s="3162"/>
      <c r="S143" s="3165">
        <f>名簿入力!T105</f>
        <v>0</v>
      </c>
      <c r="T143" s="3165">
        <f>名簿入力!U105</f>
        <v>0</v>
      </c>
      <c r="U143" s="3167">
        <f>名簿入力!V105</f>
        <v>0</v>
      </c>
      <c r="V143" s="3161">
        <f>名簿入力!W105</f>
        <v>0</v>
      </c>
      <c r="W143" s="3162"/>
      <c r="X143" s="3165">
        <f>名簿入力!Y105</f>
        <v>0</v>
      </c>
      <c r="Y143" s="3165">
        <f>名簿入力!Z105</f>
        <v>0</v>
      </c>
      <c r="Z143" s="3167">
        <f>名簿入力!AA105</f>
        <v>0</v>
      </c>
      <c r="AA143" s="3161">
        <f>名簿入力!AB105</f>
        <v>0</v>
      </c>
      <c r="AB143" s="3162"/>
      <c r="AC143" s="3165">
        <f>名簿入力!AD105</f>
        <v>0</v>
      </c>
      <c r="AD143" s="3165">
        <f>名簿入力!AE105</f>
        <v>0</v>
      </c>
      <c r="AE143" s="3167">
        <f>名簿入力!AF105</f>
        <v>0</v>
      </c>
      <c r="AF143" s="3161">
        <f>名簿入力!AG105</f>
        <v>0</v>
      </c>
      <c r="AG143" s="3162"/>
      <c r="AH143" s="3165">
        <f>名簿入力!AI105</f>
        <v>0</v>
      </c>
      <c r="AI143" s="3165">
        <f>名簿入力!AJ105</f>
        <v>0</v>
      </c>
      <c r="AJ143" s="3175">
        <f>名簿入力!AK105</f>
        <v>0</v>
      </c>
      <c r="AK143" s="3176"/>
      <c r="AL143" s="3176"/>
      <c r="AM143" s="3176"/>
      <c r="AN143" s="3176"/>
      <c r="AO143" s="3177"/>
      <c r="AP143" s="3137">
        <f>名簿入力!AO105</f>
        <v>0</v>
      </c>
      <c r="AQ143" s="3138"/>
      <c r="AR143" s="3138"/>
      <c r="AS143" s="3138"/>
      <c r="AT143" s="3139"/>
      <c r="AU143" s="113"/>
    </row>
    <row r="144" spans="2:50" ht="15" customHeight="1" x14ac:dyDescent="0.15">
      <c r="B144" s="3181"/>
      <c r="C144" s="3182"/>
      <c r="D144" s="3183"/>
      <c r="E144" s="3184"/>
      <c r="F144" s="3185"/>
      <c r="G144" s="3186"/>
      <c r="H144" s="3173"/>
      <c r="I144" s="3174"/>
      <c r="J144" s="3171"/>
      <c r="K144" s="3172"/>
      <c r="L144" s="3173"/>
      <c r="M144" s="3187"/>
      <c r="N144" s="3171"/>
      <c r="O144" s="3171"/>
      <c r="P144" s="3172"/>
      <c r="Q144" s="3173"/>
      <c r="R144" s="3174"/>
      <c r="S144" s="3171"/>
      <c r="T144" s="3171"/>
      <c r="U144" s="3172"/>
      <c r="V144" s="3173"/>
      <c r="W144" s="3174"/>
      <c r="X144" s="3171"/>
      <c r="Y144" s="3171"/>
      <c r="Z144" s="3172"/>
      <c r="AA144" s="3173"/>
      <c r="AB144" s="3174"/>
      <c r="AC144" s="3171"/>
      <c r="AD144" s="3171"/>
      <c r="AE144" s="3172"/>
      <c r="AF144" s="3173"/>
      <c r="AG144" s="3174"/>
      <c r="AH144" s="3171"/>
      <c r="AI144" s="3171"/>
      <c r="AJ144" s="3146">
        <f>名簿入力!AK106</f>
        <v>0</v>
      </c>
      <c r="AK144" s="3147"/>
      <c r="AL144" s="3147"/>
      <c r="AM144" s="3147"/>
      <c r="AN144" s="3147"/>
      <c r="AO144" s="3148"/>
      <c r="AP144" s="3178"/>
      <c r="AQ144" s="3179"/>
      <c r="AR144" s="3179"/>
      <c r="AS144" s="3179"/>
      <c r="AT144" s="3180"/>
      <c r="AU144" s="113"/>
    </row>
    <row r="145" spans="2:47" ht="15" customHeight="1" x14ac:dyDescent="0.15">
      <c r="B145" s="3149">
        <v>47</v>
      </c>
      <c r="C145" s="3151">
        <f>名簿入力!D107</f>
        <v>0</v>
      </c>
      <c r="D145" s="3152"/>
      <c r="E145" s="3155">
        <f>名簿入力!E107</f>
        <v>0</v>
      </c>
      <c r="F145" s="3157">
        <f>名簿入力!G107</f>
        <v>0</v>
      </c>
      <c r="G145" s="3159">
        <f>名簿入力!H107</f>
        <v>0</v>
      </c>
      <c r="H145" s="3161">
        <f>名簿入力!I107</f>
        <v>0</v>
      </c>
      <c r="I145" s="3162"/>
      <c r="J145" s="3165">
        <f>名簿入力!K107</f>
        <v>0</v>
      </c>
      <c r="K145" s="3167">
        <f>名簿入力!L107</f>
        <v>0</v>
      </c>
      <c r="L145" s="3161">
        <f>名簿入力!M107</f>
        <v>0</v>
      </c>
      <c r="M145" s="3169"/>
      <c r="N145" s="3165">
        <f>名簿入力!O107</f>
        <v>0</v>
      </c>
      <c r="O145" s="3165">
        <f>名簿入力!P107</f>
        <v>0</v>
      </c>
      <c r="P145" s="3167">
        <f>名簿入力!Q107</f>
        <v>0</v>
      </c>
      <c r="Q145" s="3161">
        <f>名簿入力!R107</f>
        <v>0</v>
      </c>
      <c r="R145" s="3162"/>
      <c r="S145" s="3165">
        <f>名簿入力!T107</f>
        <v>0</v>
      </c>
      <c r="T145" s="3165">
        <f>名簿入力!U107</f>
        <v>0</v>
      </c>
      <c r="U145" s="3167">
        <f>名簿入力!V107</f>
        <v>0</v>
      </c>
      <c r="V145" s="3161">
        <f>名簿入力!W107</f>
        <v>0</v>
      </c>
      <c r="W145" s="3162"/>
      <c r="X145" s="3165">
        <f>名簿入力!Y107</f>
        <v>0</v>
      </c>
      <c r="Y145" s="3165">
        <f>名簿入力!Z107</f>
        <v>0</v>
      </c>
      <c r="Z145" s="3167">
        <f>名簿入力!AA107</f>
        <v>0</v>
      </c>
      <c r="AA145" s="3161">
        <f>名簿入力!AB107</f>
        <v>0</v>
      </c>
      <c r="AB145" s="3162"/>
      <c r="AC145" s="3165">
        <f>名簿入力!AD107</f>
        <v>0</v>
      </c>
      <c r="AD145" s="3165">
        <f>名簿入力!AE107</f>
        <v>0</v>
      </c>
      <c r="AE145" s="3167">
        <f>名簿入力!AF107</f>
        <v>0</v>
      </c>
      <c r="AF145" s="3161">
        <f>名簿入力!AG107</f>
        <v>0</v>
      </c>
      <c r="AG145" s="3162"/>
      <c r="AH145" s="3165">
        <f>名簿入力!AI107</f>
        <v>0</v>
      </c>
      <c r="AI145" s="3165">
        <f>名簿入力!AJ107</f>
        <v>0</v>
      </c>
      <c r="AJ145" s="3175">
        <f>名簿入力!AK107</f>
        <v>0</v>
      </c>
      <c r="AK145" s="3176"/>
      <c r="AL145" s="3176"/>
      <c r="AM145" s="3176"/>
      <c r="AN145" s="3176"/>
      <c r="AO145" s="3177"/>
      <c r="AP145" s="3137">
        <f>名簿入力!AO107</f>
        <v>0</v>
      </c>
      <c r="AQ145" s="3138"/>
      <c r="AR145" s="3138"/>
      <c r="AS145" s="3138"/>
      <c r="AT145" s="3139"/>
      <c r="AU145" s="113"/>
    </row>
    <row r="146" spans="2:47" ht="15" customHeight="1" x14ac:dyDescent="0.15">
      <c r="B146" s="3181"/>
      <c r="C146" s="3182"/>
      <c r="D146" s="3183"/>
      <c r="E146" s="3184"/>
      <c r="F146" s="3185"/>
      <c r="G146" s="3186"/>
      <c r="H146" s="3173"/>
      <c r="I146" s="3174"/>
      <c r="J146" s="3171"/>
      <c r="K146" s="3172"/>
      <c r="L146" s="3173"/>
      <c r="M146" s="3187"/>
      <c r="N146" s="3171"/>
      <c r="O146" s="3171"/>
      <c r="P146" s="3172"/>
      <c r="Q146" s="3173"/>
      <c r="R146" s="3174"/>
      <c r="S146" s="3171"/>
      <c r="T146" s="3171"/>
      <c r="U146" s="3172"/>
      <c r="V146" s="3173"/>
      <c r="W146" s="3174"/>
      <c r="X146" s="3171"/>
      <c r="Y146" s="3171"/>
      <c r="Z146" s="3172"/>
      <c r="AA146" s="3173"/>
      <c r="AB146" s="3174"/>
      <c r="AC146" s="3171"/>
      <c r="AD146" s="3171"/>
      <c r="AE146" s="3172"/>
      <c r="AF146" s="3173"/>
      <c r="AG146" s="3174"/>
      <c r="AH146" s="3171"/>
      <c r="AI146" s="3171"/>
      <c r="AJ146" s="3146">
        <f>名簿入力!AK108</f>
        <v>0</v>
      </c>
      <c r="AK146" s="3147"/>
      <c r="AL146" s="3147"/>
      <c r="AM146" s="3147"/>
      <c r="AN146" s="3147"/>
      <c r="AO146" s="3148"/>
      <c r="AP146" s="3178"/>
      <c r="AQ146" s="3179"/>
      <c r="AR146" s="3179"/>
      <c r="AS146" s="3179"/>
      <c r="AT146" s="3180"/>
      <c r="AU146" s="113"/>
    </row>
    <row r="147" spans="2:47" ht="15" customHeight="1" x14ac:dyDescent="0.15">
      <c r="B147" s="3149">
        <v>48</v>
      </c>
      <c r="C147" s="3151">
        <f>名簿入力!D109</f>
        <v>0</v>
      </c>
      <c r="D147" s="3152"/>
      <c r="E147" s="3155">
        <f>名簿入力!E109</f>
        <v>0</v>
      </c>
      <c r="F147" s="3157">
        <f>名簿入力!G109</f>
        <v>0</v>
      </c>
      <c r="G147" s="3159">
        <f>名簿入力!H109</f>
        <v>0</v>
      </c>
      <c r="H147" s="3161">
        <f>名簿入力!I109</f>
        <v>0</v>
      </c>
      <c r="I147" s="3162"/>
      <c r="J147" s="3165">
        <f>名簿入力!K109</f>
        <v>0</v>
      </c>
      <c r="K147" s="3167">
        <f>名簿入力!L109</f>
        <v>0</v>
      </c>
      <c r="L147" s="3161">
        <f>名簿入力!M109</f>
        <v>0</v>
      </c>
      <c r="M147" s="3169"/>
      <c r="N147" s="3165">
        <f>名簿入力!O109</f>
        <v>0</v>
      </c>
      <c r="O147" s="3165">
        <f>名簿入力!P109</f>
        <v>0</v>
      </c>
      <c r="P147" s="3167">
        <f>名簿入力!Q109</f>
        <v>0</v>
      </c>
      <c r="Q147" s="3161">
        <f>名簿入力!R109</f>
        <v>0</v>
      </c>
      <c r="R147" s="3162"/>
      <c r="S147" s="3165">
        <f>名簿入力!T109</f>
        <v>0</v>
      </c>
      <c r="T147" s="3165">
        <f>名簿入力!U109</f>
        <v>0</v>
      </c>
      <c r="U147" s="3167">
        <f>名簿入力!V109</f>
        <v>0</v>
      </c>
      <c r="V147" s="3161">
        <f>名簿入力!W109</f>
        <v>0</v>
      </c>
      <c r="W147" s="3162"/>
      <c r="X147" s="3165">
        <f>名簿入力!Y109</f>
        <v>0</v>
      </c>
      <c r="Y147" s="3165">
        <f>名簿入力!Z109</f>
        <v>0</v>
      </c>
      <c r="Z147" s="3167">
        <f>名簿入力!AA109</f>
        <v>0</v>
      </c>
      <c r="AA147" s="3161">
        <f>名簿入力!AB109</f>
        <v>0</v>
      </c>
      <c r="AB147" s="3162"/>
      <c r="AC147" s="3165">
        <f>名簿入力!AD109</f>
        <v>0</v>
      </c>
      <c r="AD147" s="3165">
        <f>名簿入力!AE109</f>
        <v>0</v>
      </c>
      <c r="AE147" s="3167">
        <f>名簿入力!AF109</f>
        <v>0</v>
      </c>
      <c r="AF147" s="3161">
        <f>名簿入力!AG109</f>
        <v>0</v>
      </c>
      <c r="AG147" s="3162"/>
      <c r="AH147" s="3165">
        <f>名簿入力!AI109</f>
        <v>0</v>
      </c>
      <c r="AI147" s="3165">
        <f>名簿入力!AJ109</f>
        <v>0</v>
      </c>
      <c r="AJ147" s="3175">
        <f>名簿入力!AK109</f>
        <v>0</v>
      </c>
      <c r="AK147" s="3176"/>
      <c r="AL147" s="3176"/>
      <c r="AM147" s="3176"/>
      <c r="AN147" s="3176"/>
      <c r="AO147" s="3177"/>
      <c r="AP147" s="3137">
        <f>名簿入力!AO109</f>
        <v>0</v>
      </c>
      <c r="AQ147" s="3138"/>
      <c r="AR147" s="3138"/>
      <c r="AS147" s="3138"/>
      <c r="AT147" s="3139"/>
      <c r="AU147" s="113"/>
    </row>
    <row r="148" spans="2:47" ht="15" customHeight="1" x14ac:dyDescent="0.15">
      <c r="B148" s="3181"/>
      <c r="C148" s="3182"/>
      <c r="D148" s="3183"/>
      <c r="E148" s="3184"/>
      <c r="F148" s="3185"/>
      <c r="G148" s="3186"/>
      <c r="H148" s="3173"/>
      <c r="I148" s="3174"/>
      <c r="J148" s="3171"/>
      <c r="K148" s="3172"/>
      <c r="L148" s="3173"/>
      <c r="M148" s="3187"/>
      <c r="N148" s="3171"/>
      <c r="O148" s="3171"/>
      <c r="P148" s="3172"/>
      <c r="Q148" s="3173"/>
      <c r="R148" s="3174"/>
      <c r="S148" s="3171"/>
      <c r="T148" s="3171"/>
      <c r="U148" s="3172"/>
      <c r="V148" s="3173"/>
      <c r="W148" s="3174"/>
      <c r="X148" s="3171"/>
      <c r="Y148" s="3171"/>
      <c r="Z148" s="3172"/>
      <c r="AA148" s="3173"/>
      <c r="AB148" s="3174"/>
      <c r="AC148" s="3171"/>
      <c r="AD148" s="3171"/>
      <c r="AE148" s="3172"/>
      <c r="AF148" s="3173"/>
      <c r="AG148" s="3174"/>
      <c r="AH148" s="3171"/>
      <c r="AI148" s="3171"/>
      <c r="AJ148" s="3146">
        <f>名簿入力!AK110</f>
        <v>0</v>
      </c>
      <c r="AK148" s="3147"/>
      <c r="AL148" s="3147"/>
      <c r="AM148" s="3147"/>
      <c r="AN148" s="3147"/>
      <c r="AO148" s="3148"/>
      <c r="AP148" s="3178"/>
      <c r="AQ148" s="3179"/>
      <c r="AR148" s="3179"/>
      <c r="AS148" s="3179"/>
      <c r="AT148" s="3180"/>
      <c r="AU148" s="113"/>
    </row>
    <row r="149" spans="2:47" ht="15" customHeight="1" x14ac:dyDescent="0.15">
      <c r="B149" s="3149">
        <v>49</v>
      </c>
      <c r="C149" s="3151">
        <f>名簿入力!D111</f>
        <v>0</v>
      </c>
      <c r="D149" s="3152"/>
      <c r="E149" s="3155">
        <f>名簿入力!E111</f>
        <v>0</v>
      </c>
      <c r="F149" s="3157">
        <f>名簿入力!G111</f>
        <v>0</v>
      </c>
      <c r="G149" s="3159">
        <f>名簿入力!H111</f>
        <v>0</v>
      </c>
      <c r="H149" s="3161">
        <f>名簿入力!I111</f>
        <v>0</v>
      </c>
      <c r="I149" s="3162"/>
      <c r="J149" s="3165">
        <f>名簿入力!K111</f>
        <v>0</v>
      </c>
      <c r="K149" s="3167">
        <f>名簿入力!L111</f>
        <v>0</v>
      </c>
      <c r="L149" s="3161">
        <f>名簿入力!M111</f>
        <v>0</v>
      </c>
      <c r="M149" s="3169"/>
      <c r="N149" s="3165">
        <f>名簿入力!O111</f>
        <v>0</v>
      </c>
      <c r="O149" s="3165">
        <f>名簿入力!P111</f>
        <v>0</v>
      </c>
      <c r="P149" s="3167">
        <f>名簿入力!Q111</f>
        <v>0</v>
      </c>
      <c r="Q149" s="3161">
        <f>名簿入力!R111</f>
        <v>0</v>
      </c>
      <c r="R149" s="3162"/>
      <c r="S149" s="3165">
        <f>名簿入力!T111</f>
        <v>0</v>
      </c>
      <c r="T149" s="3165">
        <f>名簿入力!U111</f>
        <v>0</v>
      </c>
      <c r="U149" s="3167">
        <f>名簿入力!V111</f>
        <v>0</v>
      </c>
      <c r="V149" s="3161">
        <f>名簿入力!W111</f>
        <v>0</v>
      </c>
      <c r="W149" s="3162"/>
      <c r="X149" s="3165">
        <f>名簿入力!Y111</f>
        <v>0</v>
      </c>
      <c r="Y149" s="3165">
        <f>名簿入力!Z111</f>
        <v>0</v>
      </c>
      <c r="Z149" s="3167">
        <f>名簿入力!AA111</f>
        <v>0</v>
      </c>
      <c r="AA149" s="3161">
        <f>名簿入力!AB111</f>
        <v>0</v>
      </c>
      <c r="AB149" s="3162"/>
      <c r="AC149" s="3165">
        <f>名簿入力!AD111</f>
        <v>0</v>
      </c>
      <c r="AD149" s="3165">
        <f>名簿入力!AE111</f>
        <v>0</v>
      </c>
      <c r="AE149" s="3167">
        <f>名簿入力!AF111</f>
        <v>0</v>
      </c>
      <c r="AF149" s="3161">
        <f>名簿入力!AG111</f>
        <v>0</v>
      </c>
      <c r="AG149" s="3162"/>
      <c r="AH149" s="3165">
        <f>名簿入力!AI111</f>
        <v>0</v>
      </c>
      <c r="AI149" s="3165">
        <f>名簿入力!AJ111</f>
        <v>0</v>
      </c>
      <c r="AJ149" s="3175">
        <f>名簿入力!AK111</f>
        <v>0</v>
      </c>
      <c r="AK149" s="3176"/>
      <c r="AL149" s="3176"/>
      <c r="AM149" s="3176"/>
      <c r="AN149" s="3176"/>
      <c r="AO149" s="3177"/>
      <c r="AP149" s="3137">
        <f>名簿入力!AO111</f>
        <v>0</v>
      </c>
      <c r="AQ149" s="3138"/>
      <c r="AR149" s="3138"/>
      <c r="AS149" s="3138"/>
      <c r="AT149" s="3139"/>
      <c r="AU149" s="113"/>
    </row>
    <row r="150" spans="2:47" ht="15" customHeight="1" x14ac:dyDescent="0.15">
      <c r="B150" s="3181"/>
      <c r="C150" s="3182"/>
      <c r="D150" s="3183"/>
      <c r="E150" s="3184"/>
      <c r="F150" s="3185"/>
      <c r="G150" s="3186"/>
      <c r="H150" s="3173"/>
      <c r="I150" s="3174"/>
      <c r="J150" s="3171"/>
      <c r="K150" s="3172"/>
      <c r="L150" s="3173"/>
      <c r="M150" s="3187"/>
      <c r="N150" s="3171"/>
      <c r="O150" s="3171"/>
      <c r="P150" s="3172"/>
      <c r="Q150" s="3173"/>
      <c r="R150" s="3174"/>
      <c r="S150" s="3171"/>
      <c r="T150" s="3171"/>
      <c r="U150" s="3172"/>
      <c r="V150" s="3173"/>
      <c r="W150" s="3174"/>
      <c r="X150" s="3171"/>
      <c r="Y150" s="3171"/>
      <c r="Z150" s="3172"/>
      <c r="AA150" s="3173"/>
      <c r="AB150" s="3174"/>
      <c r="AC150" s="3171"/>
      <c r="AD150" s="3171"/>
      <c r="AE150" s="3172"/>
      <c r="AF150" s="3173"/>
      <c r="AG150" s="3174"/>
      <c r="AH150" s="3171"/>
      <c r="AI150" s="3171"/>
      <c r="AJ150" s="3146">
        <f>名簿入力!AK112</f>
        <v>0</v>
      </c>
      <c r="AK150" s="3147"/>
      <c r="AL150" s="3147"/>
      <c r="AM150" s="3147"/>
      <c r="AN150" s="3147"/>
      <c r="AO150" s="3148"/>
      <c r="AP150" s="3178"/>
      <c r="AQ150" s="3179"/>
      <c r="AR150" s="3179"/>
      <c r="AS150" s="3179"/>
      <c r="AT150" s="3180"/>
      <c r="AU150" s="113"/>
    </row>
    <row r="151" spans="2:47" ht="15" customHeight="1" x14ac:dyDescent="0.15">
      <c r="B151" s="3149">
        <v>50</v>
      </c>
      <c r="C151" s="3151">
        <f>名簿入力!D113</f>
        <v>0</v>
      </c>
      <c r="D151" s="3152"/>
      <c r="E151" s="3155">
        <f>名簿入力!E113</f>
        <v>0</v>
      </c>
      <c r="F151" s="3157">
        <f>名簿入力!G113</f>
        <v>0</v>
      </c>
      <c r="G151" s="3159">
        <f>名簿入力!H113</f>
        <v>0</v>
      </c>
      <c r="H151" s="3161">
        <f>名簿入力!I113</f>
        <v>0</v>
      </c>
      <c r="I151" s="3162"/>
      <c r="J151" s="3165">
        <f>名簿入力!K113</f>
        <v>0</v>
      </c>
      <c r="K151" s="3167">
        <f>名簿入力!L113</f>
        <v>0</v>
      </c>
      <c r="L151" s="3161">
        <f>名簿入力!M113</f>
        <v>0</v>
      </c>
      <c r="M151" s="3169"/>
      <c r="N151" s="3165">
        <f>名簿入力!O113</f>
        <v>0</v>
      </c>
      <c r="O151" s="3165">
        <f>名簿入力!P113</f>
        <v>0</v>
      </c>
      <c r="P151" s="3167">
        <f>名簿入力!Q113</f>
        <v>0</v>
      </c>
      <c r="Q151" s="3161">
        <f>名簿入力!R113</f>
        <v>0</v>
      </c>
      <c r="R151" s="3162"/>
      <c r="S151" s="3165">
        <f>名簿入力!T113</f>
        <v>0</v>
      </c>
      <c r="T151" s="3165">
        <f>名簿入力!U113</f>
        <v>0</v>
      </c>
      <c r="U151" s="3167">
        <f>名簿入力!V113</f>
        <v>0</v>
      </c>
      <c r="V151" s="3161">
        <f>名簿入力!W113</f>
        <v>0</v>
      </c>
      <c r="W151" s="3162"/>
      <c r="X151" s="3165">
        <f>名簿入力!Y113</f>
        <v>0</v>
      </c>
      <c r="Y151" s="3165">
        <f>名簿入力!Z113</f>
        <v>0</v>
      </c>
      <c r="Z151" s="3167">
        <f>名簿入力!AA113</f>
        <v>0</v>
      </c>
      <c r="AA151" s="3161">
        <f>名簿入力!AB113</f>
        <v>0</v>
      </c>
      <c r="AB151" s="3162"/>
      <c r="AC151" s="3165">
        <f>名簿入力!AD113</f>
        <v>0</v>
      </c>
      <c r="AD151" s="3165">
        <f>名簿入力!AE113</f>
        <v>0</v>
      </c>
      <c r="AE151" s="3167">
        <f>名簿入力!AF113</f>
        <v>0</v>
      </c>
      <c r="AF151" s="3161">
        <f>名簿入力!AG113</f>
        <v>0</v>
      </c>
      <c r="AG151" s="3162"/>
      <c r="AH151" s="3165">
        <f>名簿入力!AI113</f>
        <v>0</v>
      </c>
      <c r="AI151" s="3165">
        <f>名簿入力!AJ113</f>
        <v>0</v>
      </c>
      <c r="AJ151" s="3175">
        <f>名簿入力!AK113</f>
        <v>0</v>
      </c>
      <c r="AK151" s="3176"/>
      <c r="AL151" s="3176"/>
      <c r="AM151" s="3176"/>
      <c r="AN151" s="3176"/>
      <c r="AO151" s="3177"/>
      <c r="AP151" s="3137">
        <f>名簿入力!AO113</f>
        <v>0</v>
      </c>
      <c r="AQ151" s="3138"/>
      <c r="AR151" s="3138"/>
      <c r="AS151" s="3138"/>
      <c r="AT151" s="3139"/>
      <c r="AU151" s="113"/>
    </row>
    <row r="152" spans="2:47" ht="15" customHeight="1" x14ac:dyDescent="0.15">
      <c r="B152" s="3181"/>
      <c r="C152" s="3182"/>
      <c r="D152" s="3183"/>
      <c r="E152" s="3184"/>
      <c r="F152" s="3185"/>
      <c r="G152" s="3186"/>
      <c r="H152" s="3173"/>
      <c r="I152" s="3174"/>
      <c r="J152" s="3171"/>
      <c r="K152" s="3172"/>
      <c r="L152" s="3173"/>
      <c r="M152" s="3187"/>
      <c r="N152" s="3171"/>
      <c r="O152" s="3171"/>
      <c r="P152" s="3172"/>
      <c r="Q152" s="3173"/>
      <c r="R152" s="3174"/>
      <c r="S152" s="3171"/>
      <c r="T152" s="3171"/>
      <c r="U152" s="3172"/>
      <c r="V152" s="3173"/>
      <c r="W152" s="3174"/>
      <c r="X152" s="3171"/>
      <c r="Y152" s="3171"/>
      <c r="Z152" s="3172"/>
      <c r="AA152" s="3173"/>
      <c r="AB152" s="3174"/>
      <c r="AC152" s="3171"/>
      <c r="AD152" s="3171"/>
      <c r="AE152" s="3172"/>
      <c r="AF152" s="3173"/>
      <c r="AG152" s="3174"/>
      <c r="AH152" s="3171"/>
      <c r="AI152" s="3171"/>
      <c r="AJ152" s="3146">
        <f>名簿入力!AK114</f>
        <v>0</v>
      </c>
      <c r="AK152" s="3147"/>
      <c r="AL152" s="3147"/>
      <c r="AM152" s="3147"/>
      <c r="AN152" s="3147"/>
      <c r="AO152" s="3148"/>
      <c r="AP152" s="3178"/>
      <c r="AQ152" s="3179"/>
      <c r="AR152" s="3179"/>
      <c r="AS152" s="3179"/>
      <c r="AT152" s="3180"/>
      <c r="AU152" s="113"/>
    </row>
    <row r="153" spans="2:47" ht="15" customHeight="1" x14ac:dyDescent="0.15">
      <c r="B153" s="3149">
        <v>51</v>
      </c>
      <c r="C153" s="3151">
        <f>名簿入力!D115</f>
        <v>0</v>
      </c>
      <c r="D153" s="3152"/>
      <c r="E153" s="3155">
        <f>名簿入力!E115</f>
        <v>0</v>
      </c>
      <c r="F153" s="3157">
        <f>名簿入力!G115</f>
        <v>0</v>
      </c>
      <c r="G153" s="3159">
        <f>名簿入力!H115</f>
        <v>0</v>
      </c>
      <c r="H153" s="3161">
        <f>名簿入力!I115</f>
        <v>0</v>
      </c>
      <c r="I153" s="3162"/>
      <c r="J153" s="3165">
        <f>名簿入力!K115</f>
        <v>0</v>
      </c>
      <c r="K153" s="3167">
        <f>名簿入力!L115</f>
        <v>0</v>
      </c>
      <c r="L153" s="3161">
        <f>名簿入力!M115</f>
        <v>0</v>
      </c>
      <c r="M153" s="3169"/>
      <c r="N153" s="3165">
        <f>名簿入力!O115</f>
        <v>0</v>
      </c>
      <c r="O153" s="3165">
        <f>名簿入力!P115</f>
        <v>0</v>
      </c>
      <c r="P153" s="3167">
        <f>名簿入力!Q115</f>
        <v>0</v>
      </c>
      <c r="Q153" s="3161">
        <f>名簿入力!R115</f>
        <v>0</v>
      </c>
      <c r="R153" s="3162"/>
      <c r="S153" s="3165">
        <f>名簿入力!T115</f>
        <v>0</v>
      </c>
      <c r="T153" s="3165">
        <f>名簿入力!U115</f>
        <v>0</v>
      </c>
      <c r="U153" s="3167">
        <f>名簿入力!V115</f>
        <v>0</v>
      </c>
      <c r="V153" s="3161">
        <f>名簿入力!W115</f>
        <v>0</v>
      </c>
      <c r="W153" s="3162"/>
      <c r="X153" s="3165">
        <f>名簿入力!Y115</f>
        <v>0</v>
      </c>
      <c r="Y153" s="3165">
        <f>名簿入力!Z115</f>
        <v>0</v>
      </c>
      <c r="Z153" s="3167">
        <f>名簿入力!AA115</f>
        <v>0</v>
      </c>
      <c r="AA153" s="3161">
        <f>名簿入力!AB115</f>
        <v>0</v>
      </c>
      <c r="AB153" s="3162"/>
      <c r="AC153" s="3165">
        <f>名簿入力!AD115</f>
        <v>0</v>
      </c>
      <c r="AD153" s="3165">
        <f>名簿入力!AE115</f>
        <v>0</v>
      </c>
      <c r="AE153" s="3167">
        <f>名簿入力!AF115</f>
        <v>0</v>
      </c>
      <c r="AF153" s="3161">
        <f>名簿入力!AG115</f>
        <v>0</v>
      </c>
      <c r="AG153" s="3162"/>
      <c r="AH153" s="3165">
        <f>名簿入力!AI115</f>
        <v>0</v>
      </c>
      <c r="AI153" s="3165">
        <f>名簿入力!AJ115</f>
        <v>0</v>
      </c>
      <c r="AJ153" s="3175">
        <f>名簿入力!AK115</f>
        <v>0</v>
      </c>
      <c r="AK153" s="3176"/>
      <c r="AL153" s="3176"/>
      <c r="AM153" s="3176"/>
      <c r="AN153" s="3176"/>
      <c r="AO153" s="3177"/>
      <c r="AP153" s="3137">
        <f>名簿入力!AO115</f>
        <v>0</v>
      </c>
      <c r="AQ153" s="3138"/>
      <c r="AR153" s="3138"/>
      <c r="AS153" s="3138"/>
      <c r="AT153" s="3139"/>
      <c r="AU153" s="113"/>
    </row>
    <row r="154" spans="2:47" ht="15" customHeight="1" x14ac:dyDescent="0.15">
      <c r="B154" s="3181"/>
      <c r="C154" s="3182"/>
      <c r="D154" s="3183"/>
      <c r="E154" s="3184"/>
      <c r="F154" s="3185"/>
      <c r="G154" s="3186"/>
      <c r="H154" s="3173"/>
      <c r="I154" s="3174"/>
      <c r="J154" s="3171"/>
      <c r="K154" s="3172"/>
      <c r="L154" s="3173"/>
      <c r="M154" s="3187"/>
      <c r="N154" s="3171"/>
      <c r="O154" s="3171"/>
      <c r="P154" s="3172"/>
      <c r="Q154" s="3173"/>
      <c r="R154" s="3174"/>
      <c r="S154" s="3171"/>
      <c r="T154" s="3171"/>
      <c r="U154" s="3172"/>
      <c r="V154" s="3173"/>
      <c r="W154" s="3174"/>
      <c r="X154" s="3171"/>
      <c r="Y154" s="3171"/>
      <c r="Z154" s="3172"/>
      <c r="AA154" s="3173"/>
      <c r="AB154" s="3174"/>
      <c r="AC154" s="3171"/>
      <c r="AD154" s="3171"/>
      <c r="AE154" s="3172"/>
      <c r="AF154" s="3173"/>
      <c r="AG154" s="3174"/>
      <c r="AH154" s="3171"/>
      <c r="AI154" s="3171"/>
      <c r="AJ154" s="3146">
        <f>名簿入力!AK116</f>
        <v>0</v>
      </c>
      <c r="AK154" s="3147"/>
      <c r="AL154" s="3147"/>
      <c r="AM154" s="3147"/>
      <c r="AN154" s="3147"/>
      <c r="AO154" s="3148"/>
      <c r="AP154" s="3178"/>
      <c r="AQ154" s="3179"/>
      <c r="AR154" s="3179"/>
      <c r="AS154" s="3179"/>
      <c r="AT154" s="3180"/>
      <c r="AU154" s="113"/>
    </row>
    <row r="155" spans="2:47" ht="15" customHeight="1" x14ac:dyDescent="0.15">
      <c r="B155" s="3149">
        <v>52</v>
      </c>
      <c r="C155" s="3151">
        <f>名簿入力!D117</f>
        <v>0</v>
      </c>
      <c r="D155" s="3152"/>
      <c r="E155" s="3155">
        <f>名簿入力!E117</f>
        <v>0</v>
      </c>
      <c r="F155" s="3157">
        <f>名簿入力!G117</f>
        <v>0</v>
      </c>
      <c r="G155" s="3159">
        <f>名簿入力!H117</f>
        <v>0</v>
      </c>
      <c r="H155" s="3161">
        <f>名簿入力!I117</f>
        <v>0</v>
      </c>
      <c r="I155" s="3162"/>
      <c r="J155" s="3165">
        <f>名簿入力!K117</f>
        <v>0</v>
      </c>
      <c r="K155" s="3167">
        <f>名簿入力!L117</f>
        <v>0</v>
      </c>
      <c r="L155" s="3161">
        <f>名簿入力!M117</f>
        <v>0</v>
      </c>
      <c r="M155" s="3169"/>
      <c r="N155" s="3165">
        <f>名簿入力!O117</f>
        <v>0</v>
      </c>
      <c r="O155" s="3165">
        <f>名簿入力!P117</f>
        <v>0</v>
      </c>
      <c r="P155" s="3167">
        <f>名簿入力!Q117</f>
        <v>0</v>
      </c>
      <c r="Q155" s="3161">
        <f>名簿入力!R117</f>
        <v>0</v>
      </c>
      <c r="R155" s="3162"/>
      <c r="S155" s="3165">
        <f>名簿入力!T117</f>
        <v>0</v>
      </c>
      <c r="T155" s="3165">
        <f>名簿入力!U117</f>
        <v>0</v>
      </c>
      <c r="U155" s="3167">
        <f>名簿入力!V117</f>
        <v>0</v>
      </c>
      <c r="V155" s="3161">
        <f>名簿入力!W117</f>
        <v>0</v>
      </c>
      <c r="W155" s="3162"/>
      <c r="X155" s="3165">
        <f>名簿入力!Y117</f>
        <v>0</v>
      </c>
      <c r="Y155" s="3165">
        <f>名簿入力!Z117</f>
        <v>0</v>
      </c>
      <c r="Z155" s="3167">
        <f>名簿入力!AA117</f>
        <v>0</v>
      </c>
      <c r="AA155" s="3161">
        <f>名簿入力!AB117</f>
        <v>0</v>
      </c>
      <c r="AB155" s="3162"/>
      <c r="AC155" s="3165">
        <f>名簿入力!AD117</f>
        <v>0</v>
      </c>
      <c r="AD155" s="3165">
        <f>名簿入力!AE117</f>
        <v>0</v>
      </c>
      <c r="AE155" s="3167">
        <f>名簿入力!AF117</f>
        <v>0</v>
      </c>
      <c r="AF155" s="3161">
        <f>名簿入力!AG117</f>
        <v>0</v>
      </c>
      <c r="AG155" s="3162"/>
      <c r="AH155" s="3165">
        <f>名簿入力!AI117</f>
        <v>0</v>
      </c>
      <c r="AI155" s="3165">
        <f>名簿入力!AJ117</f>
        <v>0</v>
      </c>
      <c r="AJ155" s="3175">
        <f>名簿入力!AK117</f>
        <v>0</v>
      </c>
      <c r="AK155" s="3176"/>
      <c r="AL155" s="3176"/>
      <c r="AM155" s="3176"/>
      <c r="AN155" s="3176"/>
      <c r="AO155" s="3177"/>
      <c r="AP155" s="3137">
        <f>名簿入力!AO117</f>
        <v>0</v>
      </c>
      <c r="AQ155" s="3138"/>
      <c r="AR155" s="3138"/>
      <c r="AS155" s="3138"/>
      <c r="AT155" s="3139"/>
      <c r="AU155" s="113"/>
    </row>
    <row r="156" spans="2:47" ht="15" customHeight="1" x14ac:dyDescent="0.15">
      <c r="B156" s="3181"/>
      <c r="C156" s="3182"/>
      <c r="D156" s="3183"/>
      <c r="E156" s="3184"/>
      <c r="F156" s="3185"/>
      <c r="G156" s="3186"/>
      <c r="H156" s="3173"/>
      <c r="I156" s="3174"/>
      <c r="J156" s="3171"/>
      <c r="K156" s="3172"/>
      <c r="L156" s="3173"/>
      <c r="M156" s="3187"/>
      <c r="N156" s="3171"/>
      <c r="O156" s="3171"/>
      <c r="P156" s="3172"/>
      <c r="Q156" s="3173"/>
      <c r="R156" s="3174"/>
      <c r="S156" s="3171"/>
      <c r="T156" s="3171"/>
      <c r="U156" s="3172"/>
      <c r="V156" s="3173"/>
      <c r="W156" s="3174"/>
      <c r="X156" s="3171"/>
      <c r="Y156" s="3171"/>
      <c r="Z156" s="3172"/>
      <c r="AA156" s="3173"/>
      <c r="AB156" s="3174"/>
      <c r="AC156" s="3171"/>
      <c r="AD156" s="3171"/>
      <c r="AE156" s="3172"/>
      <c r="AF156" s="3173"/>
      <c r="AG156" s="3174"/>
      <c r="AH156" s="3171"/>
      <c r="AI156" s="3171"/>
      <c r="AJ156" s="3146">
        <f>名簿入力!AK118</f>
        <v>0</v>
      </c>
      <c r="AK156" s="3147"/>
      <c r="AL156" s="3147"/>
      <c r="AM156" s="3147"/>
      <c r="AN156" s="3147"/>
      <c r="AO156" s="3148"/>
      <c r="AP156" s="3178"/>
      <c r="AQ156" s="3179"/>
      <c r="AR156" s="3179"/>
      <c r="AS156" s="3179"/>
      <c r="AT156" s="3180"/>
      <c r="AU156" s="113"/>
    </row>
    <row r="157" spans="2:47" ht="15" customHeight="1" x14ac:dyDescent="0.15">
      <c r="B157" s="3149">
        <v>53</v>
      </c>
      <c r="C157" s="3151">
        <f>名簿入力!D119</f>
        <v>0</v>
      </c>
      <c r="D157" s="3152"/>
      <c r="E157" s="3155">
        <f>名簿入力!E119</f>
        <v>0</v>
      </c>
      <c r="F157" s="3157">
        <f>名簿入力!G119</f>
        <v>0</v>
      </c>
      <c r="G157" s="3159">
        <f>名簿入力!H119</f>
        <v>0</v>
      </c>
      <c r="H157" s="3161">
        <f>名簿入力!I119</f>
        <v>0</v>
      </c>
      <c r="I157" s="3162"/>
      <c r="J157" s="3165">
        <f>名簿入力!K119</f>
        <v>0</v>
      </c>
      <c r="K157" s="3167">
        <f>名簿入力!L119</f>
        <v>0</v>
      </c>
      <c r="L157" s="3161">
        <f>名簿入力!M119</f>
        <v>0</v>
      </c>
      <c r="M157" s="3169"/>
      <c r="N157" s="3165">
        <f>名簿入力!O119</f>
        <v>0</v>
      </c>
      <c r="O157" s="3165">
        <f>名簿入力!P119</f>
        <v>0</v>
      </c>
      <c r="P157" s="3167">
        <f>名簿入力!Q119</f>
        <v>0</v>
      </c>
      <c r="Q157" s="3161">
        <f>名簿入力!R119</f>
        <v>0</v>
      </c>
      <c r="R157" s="3162"/>
      <c r="S157" s="3165">
        <f>名簿入力!T119</f>
        <v>0</v>
      </c>
      <c r="T157" s="3165">
        <f>名簿入力!U119</f>
        <v>0</v>
      </c>
      <c r="U157" s="3167">
        <f>名簿入力!V119</f>
        <v>0</v>
      </c>
      <c r="V157" s="3161">
        <f>名簿入力!W119</f>
        <v>0</v>
      </c>
      <c r="W157" s="3162"/>
      <c r="X157" s="3165">
        <f>名簿入力!Y119</f>
        <v>0</v>
      </c>
      <c r="Y157" s="3165">
        <f>名簿入力!Z119</f>
        <v>0</v>
      </c>
      <c r="Z157" s="3167">
        <f>名簿入力!AA119</f>
        <v>0</v>
      </c>
      <c r="AA157" s="3161">
        <f>名簿入力!AB119</f>
        <v>0</v>
      </c>
      <c r="AB157" s="3162"/>
      <c r="AC157" s="3165">
        <f>名簿入力!AD119</f>
        <v>0</v>
      </c>
      <c r="AD157" s="3165">
        <f>名簿入力!AE119</f>
        <v>0</v>
      </c>
      <c r="AE157" s="3167">
        <f>名簿入力!AF119</f>
        <v>0</v>
      </c>
      <c r="AF157" s="3161">
        <f>名簿入力!AG119</f>
        <v>0</v>
      </c>
      <c r="AG157" s="3162"/>
      <c r="AH157" s="3165">
        <f>名簿入力!AI119</f>
        <v>0</v>
      </c>
      <c r="AI157" s="3165">
        <f>名簿入力!AJ119</f>
        <v>0</v>
      </c>
      <c r="AJ157" s="3175">
        <f>名簿入力!AK119</f>
        <v>0</v>
      </c>
      <c r="AK157" s="3176"/>
      <c r="AL157" s="3176"/>
      <c r="AM157" s="3176"/>
      <c r="AN157" s="3176"/>
      <c r="AO157" s="3177"/>
      <c r="AP157" s="3137">
        <f>名簿入力!AO119</f>
        <v>0</v>
      </c>
      <c r="AQ157" s="3138"/>
      <c r="AR157" s="3138"/>
      <c r="AS157" s="3138"/>
      <c r="AT157" s="3139"/>
      <c r="AU157" s="113"/>
    </row>
    <row r="158" spans="2:47" ht="15" customHeight="1" x14ac:dyDescent="0.15">
      <c r="B158" s="3181"/>
      <c r="C158" s="3182"/>
      <c r="D158" s="3183"/>
      <c r="E158" s="3184"/>
      <c r="F158" s="3185"/>
      <c r="G158" s="3186"/>
      <c r="H158" s="3173"/>
      <c r="I158" s="3174"/>
      <c r="J158" s="3171"/>
      <c r="K158" s="3172"/>
      <c r="L158" s="3173"/>
      <c r="M158" s="3187"/>
      <c r="N158" s="3171"/>
      <c r="O158" s="3171"/>
      <c r="P158" s="3172"/>
      <c r="Q158" s="3173"/>
      <c r="R158" s="3174"/>
      <c r="S158" s="3171"/>
      <c r="T158" s="3171"/>
      <c r="U158" s="3172"/>
      <c r="V158" s="3173"/>
      <c r="W158" s="3174"/>
      <c r="X158" s="3171"/>
      <c r="Y158" s="3171"/>
      <c r="Z158" s="3172"/>
      <c r="AA158" s="3173"/>
      <c r="AB158" s="3174"/>
      <c r="AC158" s="3171"/>
      <c r="AD158" s="3171"/>
      <c r="AE158" s="3172"/>
      <c r="AF158" s="3173"/>
      <c r="AG158" s="3174"/>
      <c r="AH158" s="3171"/>
      <c r="AI158" s="3171"/>
      <c r="AJ158" s="3146">
        <f>名簿入力!AK120</f>
        <v>0</v>
      </c>
      <c r="AK158" s="3147"/>
      <c r="AL158" s="3147"/>
      <c r="AM158" s="3147"/>
      <c r="AN158" s="3147"/>
      <c r="AO158" s="3148"/>
      <c r="AP158" s="3178"/>
      <c r="AQ158" s="3179"/>
      <c r="AR158" s="3179"/>
      <c r="AS158" s="3179"/>
      <c r="AT158" s="3180"/>
      <c r="AU158" s="113"/>
    </row>
    <row r="159" spans="2:47" ht="15" customHeight="1" x14ac:dyDescent="0.15">
      <c r="B159" s="3149">
        <v>54</v>
      </c>
      <c r="C159" s="3151">
        <f>名簿入力!D121</f>
        <v>0</v>
      </c>
      <c r="D159" s="3152"/>
      <c r="E159" s="3155">
        <f>名簿入力!E121</f>
        <v>0</v>
      </c>
      <c r="F159" s="3157">
        <f>名簿入力!G121</f>
        <v>0</v>
      </c>
      <c r="G159" s="3159">
        <f>名簿入力!H121</f>
        <v>0</v>
      </c>
      <c r="H159" s="3161">
        <f>名簿入力!I121</f>
        <v>0</v>
      </c>
      <c r="I159" s="3162"/>
      <c r="J159" s="3165">
        <f>名簿入力!K121</f>
        <v>0</v>
      </c>
      <c r="K159" s="3167">
        <f>名簿入力!L121</f>
        <v>0</v>
      </c>
      <c r="L159" s="3161">
        <f>名簿入力!M121</f>
        <v>0</v>
      </c>
      <c r="M159" s="3169"/>
      <c r="N159" s="3165">
        <f>名簿入力!O121</f>
        <v>0</v>
      </c>
      <c r="O159" s="3165">
        <f>名簿入力!P121</f>
        <v>0</v>
      </c>
      <c r="P159" s="3167">
        <f>名簿入力!Q121</f>
        <v>0</v>
      </c>
      <c r="Q159" s="3161">
        <f>名簿入力!R121</f>
        <v>0</v>
      </c>
      <c r="R159" s="3162"/>
      <c r="S159" s="3165">
        <f>名簿入力!T121</f>
        <v>0</v>
      </c>
      <c r="T159" s="3165">
        <f>名簿入力!U121</f>
        <v>0</v>
      </c>
      <c r="U159" s="3167">
        <f>名簿入力!V121</f>
        <v>0</v>
      </c>
      <c r="V159" s="3161">
        <f>名簿入力!W121</f>
        <v>0</v>
      </c>
      <c r="W159" s="3162"/>
      <c r="X159" s="3165">
        <f>名簿入力!Y121</f>
        <v>0</v>
      </c>
      <c r="Y159" s="3165">
        <f>名簿入力!Z121</f>
        <v>0</v>
      </c>
      <c r="Z159" s="3167">
        <f>名簿入力!AA121</f>
        <v>0</v>
      </c>
      <c r="AA159" s="3161">
        <f>名簿入力!AB121</f>
        <v>0</v>
      </c>
      <c r="AB159" s="3162"/>
      <c r="AC159" s="3165">
        <f>名簿入力!AD121</f>
        <v>0</v>
      </c>
      <c r="AD159" s="3165">
        <f>名簿入力!AE121</f>
        <v>0</v>
      </c>
      <c r="AE159" s="3167">
        <f>名簿入力!AF121</f>
        <v>0</v>
      </c>
      <c r="AF159" s="3161">
        <f>名簿入力!AG121</f>
        <v>0</v>
      </c>
      <c r="AG159" s="3162"/>
      <c r="AH159" s="3165">
        <f>名簿入力!AI121</f>
        <v>0</v>
      </c>
      <c r="AI159" s="3165">
        <f>名簿入力!AJ121</f>
        <v>0</v>
      </c>
      <c r="AJ159" s="3175">
        <f>名簿入力!AK121</f>
        <v>0</v>
      </c>
      <c r="AK159" s="3176"/>
      <c r="AL159" s="3176"/>
      <c r="AM159" s="3176"/>
      <c r="AN159" s="3176"/>
      <c r="AO159" s="3177"/>
      <c r="AP159" s="3137">
        <f>名簿入力!AO121</f>
        <v>0</v>
      </c>
      <c r="AQ159" s="3138"/>
      <c r="AR159" s="3138"/>
      <c r="AS159" s="3138"/>
      <c r="AT159" s="3139"/>
      <c r="AU159" s="113"/>
    </row>
    <row r="160" spans="2:47" ht="15" customHeight="1" x14ac:dyDescent="0.15">
      <c r="B160" s="3181"/>
      <c r="C160" s="3182"/>
      <c r="D160" s="3183"/>
      <c r="E160" s="3184"/>
      <c r="F160" s="3185"/>
      <c r="G160" s="3186"/>
      <c r="H160" s="3173"/>
      <c r="I160" s="3174"/>
      <c r="J160" s="3171"/>
      <c r="K160" s="3172"/>
      <c r="L160" s="3173"/>
      <c r="M160" s="3187"/>
      <c r="N160" s="3171"/>
      <c r="O160" s="3171"/>
      <c r="P160" s="3172"/>
      <c r="Q160" s="3173"/>
      <c r="R160" s="3174"/>
      <c r="S160" s="3171"/>
      <c r="T160" s="3171"/>
      <c r="U160" s="3172"/>
      <c r="V160" s="3173"/>
      <c r="W160" s="3174"/>
      <c r="X160" s="3171"/>
      <c r="Y160" s="3171"/>
      <c r="Z160" s="3172"/>
      <c r="AA160" s="3173"/>
      <c r="AB160" s="3174"/>
      <c r="AC160" s="3171"/>
      <c r="AD160" s="3171"/>
      <c r="AE160" s="3172"/>
      <c r="AF160" s="3173"/>
      <c r="AG160" s="3174"/>
      <c r="AH160" s="3171"/>
      <c r="AI160" s="3171"/>
      <c r="AJ160" s="3146">
        <f>名簿入力!AK122</f>
        <v>0</v>
      </c>
      <c r="AK160" s="3147"/>
      <c r="AL160" s="3147"/>
      <c r="AM160" s="3147"/>
      <c r="AN160" s="3147"/>
      <c r="AO160" s="3148"/>
      <c r="AP160" s="3178"/>
      <c r="AQ160" s="3179"/>
      <c r="AR160" s="3179"/>
      <c r="AS160" s="3179"/>
      <c r="AT160" s="3180"/>
      <c r="AU160" s="113"/>
    </row>
    <row r="161" spans="2:47" ht="15" customHeight="1" x14ac:dyDescent="0.15">
      <c r="B161" s="3149">
        <v>55</v>
      </c>
      <c r="C161" s="3151">
        <f>名簿入力!D123</f>
        <v>0</v>
      </c>
      <c r="D161" s="3152"/>
      <c r="E161" s="3155">
        <f>名簿入力!E123</f>
        <v>0</v>
      </c>
      <c r="F161" s="3157">
        <f>名簿入力!G123</f>
        <v>0</v>
      </c>
      <c r="G161" s="3159">
        <f>名簿入力!H123</f>
        <v>0</v>
      </c>
      <c r="H161" s="3161">
        <f>名簿入力!I123</f>
        <v>0</v>
      </c>
      <c r="I161" s="3162"/>
      <c r="J161" s="3165">
        <f>名簿入力!K123</f>
        <v>0</v>
      </c>
      <c r="K161" s="3167">
        <f>名簿入力!L123</f>
        <v>0</v>
      </c>
      <c r="L161" s="3161">
        <f>名簿入力!M123</f>
        <v>0</v>
      </c>
      <c r="M161" s="3169"/>
      <c r="N161" s="3165">
        <f>名簿入力!O123</f>
        <v>0</v>
      </c>
      <c r="O161" s="3165">
        <f>名簿入力!P123</f>
        <v>0</v>
      </c>
      <c r="P161" s="3167">
        <f>名簿入力!Q123</f>
        <v>0</v>
      </c>
      <c r="Q161" s="3161">
        <f>名簿入力!R123</f>
        <v>0</v>
      </c>
      <c r="R161" s="3162"/>
      <c r="S161" s="3165">
        <f>名簿入力!T123</f>
        <v>0</v>
      </c>
      <c r="T161" s="3165">
        <f>名簿入力!U123</f>
        <v>0</v>
      </c>
      <c r="U161" s="3167">
        <f>名簿入力!V123</f>
        <v>0</v>
      </c>
      <c r="V161" s="3161">
        <f>名簿入力!W123</f>
        <v>0</v>
      </c>
      <c r="W161" s="3162"/>
      <c r="X161" s="3165">
        <f>名簿入力!Y123</f>
        <v>0</v>
      </c>
      <c r="Y161" s="3165">
        <f>名簿入力!Z123</f>
        <v>0</v>
      </c>
      <c r="Z161" s="3167">
        <f>名簿入力!AA123</f>
        <v>0</v>
      </c>
      <c r="AA161" s="3161">
        <f>名簿入力!AB123</f>
        <v>0</v>
      </c>
      <c r="AB161" s="3162"/>
      <c r="AC161" s="3165">
        <f>名簿入力!AD123</f>
        <v>0</v>
      </c>
      <c r="AD161" s="3165">
        <f>名簿入力!AE123</f>
        <v>0</v>
      </c>
      <c r="AE161" s="3167">
        <f>名簿入力!AF123</f>
        <v>0</v>
      </c>
      <c r="AF161" s="3161">
        <f>名簿入力!AG123</f>
        <v>0</v>
      </c>
      <c r="AG161" s="3162"/>
      <c r="AH161" s="3165">
        <f>名簿入力!AI123</f>
        <v>0</v>
      </c>
      <c r="AI161" s="3165">
        <f>名簿入力!AJ123</f>
        <v>0</v>
      </c>
      <c r="AJ161" s="3175">
        <f>名簿入力!AK123</f>
        <v>0</v>
      </c>
      <c r="AK161" s="3176"/>
      <c r="AL161" s="3176"/>
      <c r="AM161" s="3176"/>
      <c r="AN161" s="3176"/>
      <c r="AO161" s="3177"/>
      <c r="AP161" s="3137">
        <f>名簿入力!AO123</f>
        <v>0</v>
      </c>
      <c r="AQ161" s="3138"/>
      <c r="AR161" s="3138"/>
      <c r="AS161" s="3138"/>
      <c r="AT161" s="3139"/>
      <c r="AU161" s="113"/>
    </row>
    <row r="162" spans="2:47" ht="15" customHeight="1" x14ac:dyDescent="0.15">
      <c r="B162" s="3181"/>
      <c r="C162" s="3182"/>
      <c r="D162" s="3183"/>
      <c r="E162" s="3184"/>
      <c r="F162" s="3185"/>
      <c r="G162" s="3186"/>
      <c r="H162" s="3173"/>
      <c r="I162" s="3174"/>
      <c r="J162" s="3171"/>
      <c r="K162" s="3172"/>
      <c r="L162" s="3173"/>
      <c r="M162" s="3187"/>
      <c r="N162" s="3171"/>
      <c r="O162" s="3171"/>
      <c r="P162" s="3172"/>
      <c r="Q162" s="3173"/>
      <c r="R162" s="3174"/>
      <c r="S162" s="3171"/>
      <c r="T162" s="3171"/>
      <c r="U162" s="3172"/>
      <c r="V162" s="3173"/>
      <c r="W162" s="3174"/>
      <c r="X162" s="3171"/>
      <c r="Y162" s="3171"/>
      <c r="Z162" s="3172"/>
      <c r="AA162" s="3173"/>
      <c r="AB162" s="3174"/>
      <c r="AC162" s="3171"/>
      <c r="AD162" s="3171"/>
      <c r="AE162" s="3172"/>
      <c r="AF162" s="3173"/>
      <c r="AG162" s="3174"/>
      <c r="AH162" s="3171"/>
      <c r="AI162" s="3171"/>
      <c r="AJ162" s="3146">
        <f>名簿入力!AK124</f>
        <v>0</v>
      </c>
      <c r="AK162" s="3147"/>
      <c r="AL162" s="3147"/>
      <c r="AM162" s="3147"/>
      <c r="AN162" s="3147"/>
      <c r="AO162" s="3148"/>
      <c r="AP162" s="3178"/>
      <c r="AQ162" s="3179"/>
      <c r="AR162" s="3179"/>
      <c r="AS162" s="3179"/>
      <c r="AT162" s="3180"/>
      <c r="AU162" s="113"/>
    </row>
    <row r="163" spans="2:47" ht="15" customHeight="1" x14ac:dyDescent="0.15">
      <c r="B163" s="3149">
        <v>56</v>
      </c>
      <c r="C163" s="3151">
        <f>名簿入力!D125</f>
        <v>0</v>
      </c>
      <c r="D163" s="3152"/>
      <c r="E163" s="3155">
        <f>名簿入力!E125</f>
        <v>0</v>
      </c>
      <c r="F163" s="3157">
        <f>名簿入力!G125</f>
        <v>0</v>
      </c>
      <c r="G163" s="3159">
        <f>名簿入力!H125</f>
        <v>0</v>
      </c>
      <c r="H163" s="3161">
        <f>名簿入力!I125</f>
        <v>0</v>
      </c>
      <c r="I163" s="3162"/>
      <c r="J163" s="3165">
        <f>名簿入力!K125</f>
        <v>0</v>
      </c>
      <c r="K163" s="3167">
        <f>名簿入力!L125</f>
        <v>0</v>
      </c>
      <c r="L163" s="3161">
        <f>名簿入力!M125</f>
        <v>0</v>
      </c>
      <c r="M163" s="3169"/>
      <c r="N163" s="3165">
        <f>名簿入力!O125</f>
        <v>0</v>
      </c>
      <c r="O163" s="3165">
        <f>名簿入力!P125</f>
        <v>0</v>
      </c>
      <c r="P163" s="3167">
        <f>名簿入力!Q125</f>
        <v>0</v>
      </c>
      <c r="Q163" s="3161">
        <f>名簿入力!R125</f>
        <v>0</v>
      </c>
      <c r="R163" s="3162"/>
      <c r="S163" s="3165">
        <f>名簿入力!T125</f>
        <v>0</v>
      </c>
      <c r="T163" s="3165">
        <f>名簿入力!U125</f>
        <v>0</v>
      </c>
      <c r="U163" s="3167">
        <f>名簿入力!V125</f>
        <v>0</v>
      </c>
      <c r="V163" s="3161">
        <f>名簿入力!W125</f>
        <v>0</v>
      </c>
      <c r="W163" s="3162"/>
      <c r="X163" s="3165">
        <f>名簿入力!Y125</f>
        <v>0</v>
      </c>
      <c r="Y163" s="3165">
        <f>名簿入力!Z125</f>
        <v>0</v>
      </c>
      <c r="Z163" s="3167">
        <f>名簿入力!AA125</f>
        <v>0</v>
      </c>
      <c r="AA163" s="3161">
        <f>名簿入力!AB125</f>
        <v>0</v>
      </c>
      <c r="AB163" s="3162"/>
      <c r="AC163" s="3165">
        <f>名簿入力!AD125</f>
        <v>0</v>
      </c>
      <c r="AD163" s="3165">
        <f>名簿入力!AE125</f>
        <v>0</v>
      </c>
      <c r="AE163" s="3167">
        <f>名簿入力!AF125</f>
        <v>0</v>
      </c>
      <c r="AF163" s="3161">
        <f>名簿入力!AG125</f>
        <v>0</v>
      </c>
      <c r="AG163" s="3162"/>
      <c r="AH163" s="3165">
        <f>名簿入力!AI125</f>
        <v>0</v>
      </c>
      <c r="AI163" s="3165">
        <f>名簿入力!AJ125</f>
        <v>0</v>
      </c>
      <c r="AJ163" s="3175">
        <f>名簿入力!AK125</f>
        <v>0</v>
      </c>
      <c r="AK163" s="3176"/>
      <c r="AL163" s="3176"/>
      <c r="AM163" s="3176"/>
      <c r="AN163" s="3176"/>
      <c r="AO163" s="3177"/>
      <c r="AP163" s="3137">
        <f>名簿入力!AO125</f>
        <v>0</v>
      </c>
      <c r="AQ163" s="3138"/>
      <c r="AR163" s="3138"/>
      <c r="AS163" s="3138"/>
      <c r="AT163" s="3139"/>
      <c r="AU163" s="113"/>
    </row>
    <row r="164" spans="2:47" ht="15" customHeight="1" x14ac:dyDescent="0.15">
      <c r="B164" s="3181"/>
      <c r="C164" s="3182"/>
      <c r="D164" s="3183"/>
      <c r="E164" s="3184"/>
      <c r="F164" s="3185"/>
      <c r="G164" s="3186"/>
      <c r="H164" s="3173"/>
      <c r="I164" s="3174"/>
      <c r="J164" s="3171"/>
      <c r="K164" s="3172"/>
      <c r="L164" s="3173"/>
      <c r="M164" s="3187"/>
      <c r="N164" s="3171"/>
      <c r="O164" s="3171"/>
      <c r="P164" s="3172"/>
      <c r="Q164" s="3173"/>
      <c r="R164" s="3174"/>
      <c r="S164" s="3171"/>
      <c r="T164" s="3171"/>
      <c r="U164" s="3172"/>
      <c r="V164" s="3173"/>
      <c r="W164" s="3174"/>
      <c r="X164" s="3171"/>
      <c r="Y164" s="3171"/>
      <c r="Z164" s="3172"/>
      <c r="AA164" s="3173"/>
      <c r="AB164" s="3174"/>
      <c r="AC164" s="3171"/>
      <c r="AD164" s="3171"/>
      <c r="AE164" s="3172"/>
      <c r="AF164" s="3173"/>
      <c r="AG164" s="3174"/>
      <c r="AH164" s="3171"/>
      <c r="AI164" s="3171"/>
      <c r="AJ164" s="3146">
        <f>名簿入力!AK126</f>
        <v>0</v>
      </c>
      <c r="AK164" s="3147"/>
      <c r="AL164" s="3147"/>
      <c r="AM164" s="3147"/>
      <c r="AN164" s="3147"/>
      <c r="AO164" s="3148"/>
      <c r="AP164" s="3178"/>
      <c r="AQ164" s="3179"/>
      <c r="AR164" s="3179"/>
      <c r="AS164" s="3179"/>
      <c r="AT164" s="3180"/>
      <c r="AU164" s="113"/>
    </row>
    <row r="165" spans="2:47" ht="15" customHeight="1" x14ac:dyDescent="0.15">
      <c r="B165" s="3149">
        <v>57</v>
      </c>
      <c r="C165" s="3151">
        <f>名簿入力!D127</f>
        <v>0</v>
      </c>
      <c r="D165" s="3152"/>
      <c r="E165" s="3155">
        <f>名簿入力!E127</f>
        <v>0</v>
      </c>
      <c r="F165" s="3157">
        <f>名簿入力!G127</f>
        <v>0</v>
      </c>
      <c r="G165" s="3159">
        <f>名簿入力!H127</f>
        <v>0</v>
      </c>
      <c r="H165" s="3161">
        <f>名簿入力!I127</f>
        <v>0</v>
      </c>
      <c r="I165" s="3162"/>
      <c r="J165" s="3165">
        <f>名簿入力!K127</f>
        <v>0</v>
      </c>
      <c r="K165" s="3167">
        <f>名簿入力!L127</f>
        <v>0</v>
      </c>
      <c r="L165" s="3161">
        <f>名簿入力!M127</f>
        <v>0</v>
      </c>
      <c r="M165" s="3169"/>
      <c r="N165" s="3165">
        <f>名簿入力!O127</f>
        <v>0</v>
      </c>
      <c r="O165" s="3165">
        <f>名簿入力!P127</f>
        <v>0</v>
      </c>
      <c r="P165" s="3167">
        <f>名簿入力!Q127</f>
        <v>0</v>
      </c>
      <c r="Q165" s="3161">
        <f>名簿入力!R127</f>
        <v>0</v>
      </c>
      <c r="R165" s="3162"/>
      <c r="S165" s="3165">
        <f>名簿入力!T127</f>
        <v>0</v>
      </c>
      <c r="T165" s="3165">
        <f>名簿入力!U127</f>
        <v>0</v>
      </c>
      <c r="U165" s="3167">
        <f>名簿入力!V127</f>
        <v>0</v>
      </c>
      <c r="V165" s="3161">
        <f>名簿入力!W127</f>
        <v>0</v>
      </c>
      <c r="W165" s="3162"/>
      <c r="X165" s="3165">
        <f>名簿入力!Y127</f>
        <v>0</v>
      </c>
      <c r="Y165" s="3165">
        <f>名簿入力!Z127</f>
        <v>0</v>
      </c>
      <c r="Z165" s="3167">
        <f>名簿入力!AA127</f>
        <v>0</v>
      </c>
      <c r="AA165" s="3161">
        <f>名簿入力!AB127</f>
        <v>0</v>
      </c>
      <c r="AB165" s="3162"/>
      <c r="AC165" s="3165">
        <f>名簿入力!AD127</f>
        <v>0</v>
      </c>
      <c r="AD165" s="3165">
        <f>名簿入力!AE127</f>
        <v>0</v>
      </c>
      <c r="AE165" s="3167">
        <f>名簿入力!AF127</f>
        <v>0</v>
      </c>
      <c r="AF165" s="3161">
        <f>名簿入力!AG127</f>
        <v>0</v>
      </c>
      <c r="AG165" s="3162"/>
      <c r="AH165" s="3165">
        <f>名簿入力!AI127</f>
        <v>0</v>
      </c>
      <c r="AI165" s="3165">
        <f>名簿入力!AJ127</f>
        <v>0</v>
      </c>
      <c r="AJ165" s="3175">
        <f>名簿入力!AK127</f>
        <v>0</v>
      </c>
      <c r="AK165" s="3176"/>
      <c r="AL165" s="3176"/>
      <c r="AM165" s="3176"/>
      <c r="AN165" s="3176"/>
      <c r="AO165" s="3177"/>
      <c r="AP165" s="3137">
        <f>名簿入力!AO127</f>
        <v>0</v>
      </c>
      <c r="AQ165" s="3138"/>
      <c r="AR165" s="3138"/>
      <c r="AS165" s="3138"/>
      <c r="AT165" s="3139"/>
      <c r="AU165" s="113"/>
    </row>
    <row r="166" spans="2:47" ht="15" customHeight="1" x14ac:dyDescent="0.15">
      <c r="B166" s="3181"/>
      <c r="C166" s="3182"/>
      <c r="D166" s="3183"/>
      <c r="E166" s="3184"/>
      <c r="F166" s="3185"/>
      <c r="G166" s="3186"/>
      <c r="H166" s="3173"/>
      <c r="I166" s="3174"/>
      <c r="J166" s="3171"/>
      <c r="K166" s="3172"/>
      <c r="L166" s="3173"/>
      <c r="M166" s="3187"/>
      <c r="N166" s="3171"/>
      <c r="O166" s="3171"/>
      <c r="P166" s="3172"/>
      <c r="Q166" s="3173"/>
      <c r="R166" s="3174"/>
      <c r="S166" s="3171"/>
      <c r="T166" s="3171"/>
      <c r="U166" s="3172"/>
      <c r="V166" s="3173"/>
      <c r="W166" s="3174"/>
      <c r="X166" s="3171"/>
      <c r="Y166" s="3171"/>
      <c r="Z166" s="3172"/>
      <c r="AA166" s="3173"/>
      <c r="AB166" s="3174"/>
      <c r="AC166" s="3171"/>
      <c r="AD166" s="3171"/>
      <c r="AE166" s="3172"/>
      <c r="AF166" s="3173"/>
      <c r="AG166" s="3174"/>
      <c r="AH166" s="3171"/>
      <c r="AI166" s="3171"/>
      <c r="AJ166" s="3146">
        <f>名簿入力!AK128</f>
        <v>0</v>
      </c>
      <c r="AK166" s="3147"/>
      <c r="AL166" s="3147"/>
      <c r="AM166" s="3147"/>
      <c r="AN166" s="3147"/>
      <c r="AO166" s="3148"/>
      <c r="AP166" s="3178"/>
      <c r="AQ166" s="3179"/>
      <c r="AR166" s="3179"/>
      <c r="AS166" s="3179"/>
      <c r="AT166" s="3180"/>
      <c r="AU166" s="113"/>
    </row>
    <row r="167" spans="2:47" ht="15" customHeight="1" x14ac:dyDescent="0.15">
      <c r="B167" s="3149">
        <v>58</v>
      </c>
      <c r="C167" s="3151">
        <f>名簿入力!D129</f>
        <v>0</v>
      </c>
      <c r="D167" s="3152"/>
      <c r="E167" s="3155">
        <f>名簿入力!E129</f>
        <v>0</v>
      </c>
      <c r="F167" s="3157">
        <f>名簿入力!G129</f>
        <v>0</v>
      </c>
      <c r="G167" s="3159">
        <f>名簿入力!H129</f>
        <v>0</v>
      </c>
      <c r="H167" s="3161">
        <f>名簿入力!I129</f>
        <v>0</v>
      </c>
      <c r="I167" s="3162"/>
      <c r="J167" s="3165">
        <f>名簿入力!K129</f>
        <v>0</v>
      </c>
      <c r="K167" s="3167">
        <f>名簿入力!L129</f>
        <v>0</v>
      </c>
      <c r="L167" s="3161">
        <f>名簿入力!M129</f>
        <v>0</v>
      </c>
      <c r="M167" s="3169"/>
      <c r="N167" s="3165">
        <f>名簿入力!O129</f>
        <v>0</v>
      </c>
      <c r="O167" s="3165">
        <f>名簿入力!P129</f>
        <v>0</v>
      </c>
      <c r="P167" s="3167">
        <f>名簿入力!Q129</f>
        <v>0</v>
      </c>
      <c r="Q167" s="3161">
        <f>名簿入力!R129</f>
        <v>0</v>
      </c>
      <c r="R167" s="3162"/>
      <c r="S167" s="3165">
        <f>名簿入力!T129</f>
        <v>0</v>
      </c>
      <c r="T167" s="3165">
        <f>名簿入力!U129</f>
        <v>0</v>
      </c>
      <c r="U167" s="3167">
        <f>名簿入力!V129</f>
        <v>0</v>
      </c>
      <c r="V167" s="3161">
        <f>名簿入力!W129</f>
        <v>0</v>
      </c>
      <c r="W167" s="3162"/>
      <c r="X167" s="3165">
        <f>名簿入力!Y129</f>
        <v>0</v>
      </c>
      <c r="Y167" s="3165">
        <f>名簿入力!Z129</f>
        <v>0</v>
      </c>
      <c r="Z167" s="3167">
        <f>名簿入力!AA129</f>
        <v>0</v>
      </c>
      <c r="AA167" s="3161">
        <f>名簿入力!AB129</f>
        <v>0</v>
      </c>
      <c r="AB167" s="3162"/>
      <c r="AC167" s="3165">
        <f>名簿入力!AD129</f>
        <v>0</v>
      </c>
      <c r="AD167" s="3165">
        <f>名簿入力!AE129</f>
        <v>0</v>
      </c>
      <c r="AE167" s="3167">
        <f>名簿入力!AF129</f>
        <v>0</v>
      </c>
      <c r="AF167" s="3161">
        <f>名簿入力!AG129</f>
        <v>0</v>
      </c>
      <c r="AG167" s="3162"/>
      <c r="AH167" s="3165">
        <f>名簿入力!AI129</f>
        <v>0</v>
      </c>
      <c r="AI167" s="3165">
        <f>名簿入力!AJ129</f>
        <v>0</v>
      </c>
      <c r="AJ167" s="3175">
        <f>名簿入力!AK129</f>
        <v>0</v>
      </c>
      <c r="AK167" s="3176"/>
      <c r="AL167" s="3176"/>
      <c r="AM167" s="3176"/>
      <c r="AN167" s="3176"/>
      <c r="AO167" s="3177"/>
      <c r="AP167" s="3137">
        <f>名簿入力!AO129</f>
        <v>0</v>
      </c>
      <c r="AQ167" s="3138"/>
      <c r="AR167" s="3138"/>
      <c r="AS167" s="3138"/>
      <c r="AT167" s="3139"/>
      <c r="AU167" s="113"/>
    </row>
    <row r="168" spans="2:47" ht="15" customHeight="1" x14ac:dyDescent="0.15">
      <c r="B168" s="3181"/>
      <c r="C168" s="3182"/>
      <c r="D168" s="3183"/>
      <c r="E168" s="3184"/>
      <c r="F168" s="3185"/>
      <c r="G168" s="3186"/>
      <c r="H168" s="3173"/>
      <c r="I168" s="3174"/>
      <c r="J168" s="3171"/>
      <c r="K168" s="3172"/>
      <c r="L168" s="3173"/>
      <c r="M168" s="3187"/>
      <c r="N168" s="3171"/>
      <c r="O168" s="3171"/>
      <c r="P168" s="3172"/>
      <c r="Q168" s="3173"/>
      <c r="R168" s="3174"/>
      <c r="S168" s="3171"/>
      <c r="T168" s="3171"/>
      <c r="U168" s="3172"/>
      <c r="V168" s="3173"/>
      <c r="W168" s="3174"/>
      <c r="X168" s="3171"/>
      <c r="Y168" s="3171"/>
      <c r="Z168" s="3172"/>
      <c r="AA168" s="3173"/>
      <c r="AB168" s="3174"/>
      <c r="AC168" s="3171"/>
      <c r="AD168" s="3171"/>
      <c r="AE168" s="3172"/>
      <c r="AF168" s="3173"/>
      <c r="AG168" s="3174"/>
      <c r="AH168" s="3171"/>
      <c r="AI168" s="3171"/>
      <c r="AJ168" s="3146">
        <f>名簿入力!AK130</f>
        <v>0</v>
      </c>
      <c r="AK168" s="3147"/>
      <c r="AL168" s="3147"/>
      <c r="AM168" s="3147"/>
      <c r="AN168" s="3147"/>
      <c r="AO168" s="3148"/>
      <c r="AP168" s="3178"/>
      <c r="AQ168" s="3179"/>
      <c r="AR168" s="3179"/>
      <c r="AS168" s="3179"/>
      <c r="AT168" s="3180"/>
      <c r="AU168" s="113"/>
    </row>
    <row r="169" spans="2:47" ht="15" customHeight="1" x14ac:dyDescent="0.15">
      <c r="B169" s="3149">
        <v>59</v>
      </c>
      <c r="C169" s="3151">
        <f>名簿入力!D131</f>
        <v>0</v>
      </c>
      <c r="D169" s="3152"/>
      <c r="E169" s="3155">
        <f>名簿入力!E131</f>
        <v>0</v>
      </c>
      <c r="F169" s="3157">
        <f>名簿入力!G131</f>
        <v>0</v>
      </c>
      <c r="G169" s="3159">
        <f>名簿入力!H131</f>
        <v>0</v>
      </c>
      <c r="H169" s="3161">
        <f>名簿入力!I131</f>
        <v>0</v>
      </c>
      <c r="I169" s="3162"/>
      <c r="J169" s="3165">
        <f>名簿入力!K131</f>
        <v>0</v>
      </c>
      <c r="K169" s="3167">
        <f>名簿入力!L131</f>
        <v>0</v>
      </c>
      <c r="L169" s="3161">
        <f>名簿入力!M131</f>
        <v>0</v>
      </c>
      <c r="M169" s="3169"/>
      <c r="N169" s="3165">
        <f>名簿入力!O131</f>
        <v>0</v>
      </c>
      <c r="O169" s="3165">
        <f>名簿入力!P131</f>
        <v>0</v>
      </c>
      <c r="P169" s="3167">
        <f>名簿入力!Q131</f>
        <v>0</v>
      </c>
      <c r="Q169" s="3161">
        <f>名簿入力!R131</f>
        <v>0</v>
      </c>
      <c r="R169" s="3162"/>
      <c r="S169" s="3165">
        <f>名簿入力!T131</f>
        <v>0</v>
      </c>
      <c r="T169" s="3165">
        <f>名簿入力!U131</f>
        <v>0</v>
      </c>
      <c r="U169" s="3167">
        <f>名簿入力!V131</f>
        <v>0</v>
      </c>
      <c r="V169" s="3161">
        <f>名簿入力!W131</f>
        <v>0</v>
      </c>
      <c r="W169" s="3162"/>
      <c r="X169" s="3165">
        <f>名簿入力!Y131</f>
        <v>0</v>
      </c>
      <c r="Y169" s="3165">
        <f>名簿入力!Z131</f>
        <v>0</v>
      </c>
      <c r="Z169" s="3167">
        <f>名簿入力!AA131</f>
        <v>0</v>
      </c>
      <c r="AA169" s="3161">
        <f>名簿入力!AB131</f>
        <v>0</v>
      </c>
      <c r="AB169" s="3162"/>
      <c r="AC169" s="3165">
        <f>名簿入力!AD131</f>
        <v>0</v>
      </c>
      <c r="AD169" s="3165">
        <f>名簿入力!AE131</f>
        <v>0</v>
      </c>
      <c r="AE169" s="3167">
        <f>名簿入力!AF131</f>
        <v>0</v>
      </c>
      <c r="AF169" s="3161">
        <f>名簿入力!AG131</f>
        <v>0</v>
      </c>
      <c r="AG169" s="3162"/>
      <c r="AH169" s="3165">
        <f>名簿入力!AI131</f>
        <v>0</v>
      </c>
      <c r="AI169" s="3165">
        <f>名簿入力!AJ131</f>
        <v>0</v>
      </c>
      <c r="AJ169" s="3175">
        <f>名簿入力!AK131</f>
        <v>0</v>
      </c>
      <c r="AK169" s="3176"/>
      <c r="AL169" s="3176"/>
      <c r="AM169" s="3176"/>
      <c r="AN169" s="3176"/>
      <c r="AO169" s="3177"/>
      <c r="AP169" s="3137">
        <f>名簿入力!AO131</f>
        <v>0</v>
      </c>
      <c r="AQ169" s="3138"/>
      <c r="AR169" s="3138"/>
      <c r="AS169" s="3138"/>
      <c r="AT169" s="3139"/>
      <c r="AU169" s="113"/>
    </row>
    <row r="170" spans="2:47" ht="15" customHeight="1" x14ac:dyDescent="0.15">
      <c r="B170" s="3181"/>
      <c r="C170" s="3182"/>
      <c r="D170" s="3183"/>
      <c r="E170" s="3184"/>
      <c r="F170" s="3185"/>
      <c r="G170" s="3186"/>
      <c r="H170" s="3173"/>
      <c r="I170" s="3174"/>
      <c r="J170" s="3171"/>
      <c r="K170" s="3172"/>
      <c r="L170" s="3173"/>
      <c r="M170" s="3187"/>
      <c r="N170" s="3171"/>
      <c r="O170" s="3171"/>
      <c r="P170" s="3172"/>
      <c r="Q170" s="3173"/>
      <c r="R170" s="3174"/>
      <c r="S170" s="3171"/>
      <c r="T170" s="3171"/>
      <c r="U170" s="3172"/>
      <c r="V170" s="3173"/>
      <c r="W170" s="3174"/>
      <c r="X170" s="3171"/>
      <c r="Y170" s="3171"/>
      <c r="Z170" s="3172"/>
      <c r="AA170" s="3173"/>
      <c r="AB170" s="3174"/>
      <c r="AC170" s="3171"/>
      <c r="AD170" s="3171"/>
      <c r="AE170" s="3172"/>
      <c r="AF170" s="3173"/>
      <c r="AG170" s="3174"/>
      <c r="AH170" s="3171"/>
      <c r="AI170" s="3171"/>
      <c r="AJ170" s="3146">
        <f>名簿入力!AK132</f>
        <v>0</v>
      </c>
      <c r="AK170" s="3147"/>
      <c r="AL170" s="3147"/>
      <c r="AM170" s="3147"/>
      <c r="AN170" s="3147"/>
      <c r="AO170" s="3148"/>
      <c r="AP170" s="3178"/>
      <c r="AQ170" s="3179"/>
      <c r="AR170" s="3179"/>
      <c r="AS170" s="3179"/>
      <c r="AT170" s="3180"/>
      <c r="AU170" s="113"/>
    </row>
    <row r="171" spans="2:47" ht="15" customHeight="1" x14ac:dyDescent="0.15">
      <c r="B171" s="3149">
        <v>60</v>
      </c>
      <c r="C171" s="3151">
        <f>名簿入力!D133</f>
        <v>0</v>
      </c>
      <c r="D171" s="3152"/>
      <c r="E171" s="3155">
        <f>名簿入力!E133</f>
        <v>0</v>
      </c>
      <c r="F171" s="3157">
        <f>名簿入力!G133</f>
        <v>0</v>
      </c>
      <c r="G171" s="3159">
        <f>名簿入力!H133</f>
        <v>0</v>
      </c>
      <c r="H171" s="3161">
        <f>名簿入力!I133</f>
        <v>0</v>
      </c>
      <c r="I171" s="3162"/>
      <c r="J171" s="3165">
        <f>名簿入力!K133</f>
        <v>0</v>
      </c>
      <c r="K171" s="3167">
        <f>名簿入力!L133</f>
        <v>0</v>
      </c>
      <c r="L171" s="3161">
        <f>名簿入力!M133</f>
        <v>0</v>
      </c>
      <c r="M171" s="3169"/>
      <c r="N171" s="3165">
        <f>名簿入力!O133</f>
        <v>0</v>
      </c>
      <c r="O171" s="3165">
        <f>名簿入力!P133</f>
        <v>0</v>
      </c>
      <c r="P171" s="3167">
        <f>名簿入力!Q133</f>
        <v>0</v>
      </c>
      <c r="Q171" s="3161">
        <f>名簿入力!R133</f>
        <v>0</v>
      </c>
      <c r="R171" s="3162"/>
      <c r="S171" s="3165">
        <f>名簿入力!T133</f>
        <v>0</v>
      </c>
      <c r="T171" s="3165">
        <f>名簿入力!U133</f>
        <v>0</v>
      </c>
      <c r="U171" s="3167">
        <f>名簿入力!V133</f>
        <v>0</v>
      </c>
      <c r="V171" s="3161">
        <f>名簿入力!W133</f>
        <v>0</v>
      </c>
      <c r="W171" s="3162"/>
      <c r="X171" s="3165">
        <f>名簿入力!Y133</f>
        <v>0</v>
      </c>
      <c r="Y171" s="3165">
        <f>名簿入力!Z133</f>
        <v>0</v>
      </c>
      <c r="Z171" s="3167">
        <f>名簿入力!AA133</f>
        <v>0</v>
      </c>
      <c r="AA171" s="3161">
        <f>名簿入力!AB133</f>
        <v>0</v>
      </c>
      <c r="AB171" s="3162"/>
      <c r="AC171" s="3165">
        <f>名簿入力!AD133</f>
        <v>0</v>
      </c>
      <c r="AD171" s="3165">
        <f>名簿入力!AE133</f>
        <v>0</v>
      </c>
      <c r="AE171" s="3167">
        <f>名簿入力!AF133</f>
        <v>0</v>
      </c>
      <c r="AF171" s="3161">
        <f>名簿入力!AG133</f>
        <v>0</v>
      </c>
      <c r="AG171" s="3162"/>
      <c r="AH171" s="3165">
        <f>名簿入力!AI133</f>
        <v>0</v>
      </c>
      <c r="AI171" s="3165">
        <f>名簿入力!AJ133</f>
        <v>0</v>
      </c>
      <c r="AJ171" s="3175">
        <f>名簿入力!AK133</f>
        <v>0</v>
      </c>
      <c r="AK171" s="3176"/>
      <c r="AL171" s="3176"/>
      <c r="AM171" s="3176"/>
      <c r="AN171" s="3176"/>
      <c r="AO171" s="3177"/>
      <c r="AP171" s="3137">
        <f>名簿入力!AO133</f>
        <v>0</v>
      </c>
      <c r="AQ171" s="3138"/>
      <c r="AR171" s="3138"/>
      <c r="AS171" s="3138"/>
      <c r="AT171" s="3139"/>
      <c r="AU171" s="113"/>
    </row>
    <row r="172" spans="2:47" ht="15" customHeight="1" thickBot="1" x14ac:dyDescent="0.2">
      <c r="B172" s="3150"/>
      <c r="C172" s="3153"/>
      <c r="D172" s="3154"/>
      <c r="E172" s="3156"/>
      <c r="F172" s="3158"/>
      <c r="G172" s="3160"/>
      <c r="H172" s="3163"/>
      <c r="I172" s="3164"/>
      <c r="J172" s="3166"/>
      <c r="K172" s="3168"/>
      <c r="L172" s="3163"/>
      <c r="M172" s="3170"/>
      <c r="N172" s="3166"/>
      <c r="O172" s="3166"/>
      <c r="P172" s="3168"/>
      <c r="Q172" s="3163"/>
      <c r="R172" s="3164"/>
      <c r="S172" s="3166"/>
      <c r="T172" s="3166"/>
      <c r="U172" s="3168"/>
      <c r="V172" s="3163"/>
      <c r="W172" s="3164"/>
      <c r="X172" s="3166"/>
      <c r="Y172" s="3166"/>
      <c r="Z172" s="3168"/>
      <c r="AA172" s="3163"/>
      <c r="AB172" s="3164"/>
      <c r="AC172" s="3166"/>
      <c r="AD172" s="3166"/>
      <c r="AE172" s="3168"/>
      <c r="AF172" s="3163"/>
      <c r="AG172" s="3164"/>
      <c r="AH172" s="3166"/>
      <c r="AI172" s="3166"/>
      <c r="AJ172" s="3143">
        <f>名簿入力!AK134</f>
        <v>0</v>
      </c>
      <c r="AK172" s="3144"/>
      <c r="AL172" s="3144"/>
      <c r="AM172" s="3144"/>
      <c r="AN172" s="3144"/>
      <c r="AO172" s="3145"/>
      <c r="AP172" s="3140"/>
      <c r="AQ172" s="3141"/>
      <c r="AR172" s="3141"/>
      <c r="AS172" s="3141"/>
      <c r="AT172" s="3142"/>
      <c r="AU172" s="113"/>
    </row>
    <row r="173" spans="2:47" ht="46.5" customHeight="1" x14ac:dyDescent="0.15">
      <c r="B173" s="524"/>
      <c r="C173" s="525"/>
      <c r="D173" s="525"/>
      <c r="E173" s="526"/>
      <c r="F173" s="527"/>
      <c r="G173" s="527"/>
      <c r="H173" s="528"/>
      <c r="I173" s="528"/>
      <c r="J173" s="529"/>
      <c r="K173" s="529"/>
      <c r="L173" s="528"/>
      <c r="M173" s="528"/>
      <c r="N173" s="529"/>
      <c r="O173" s="529"/>
      <c r="P173" s="529"/>
      <c r="Q173" s="528"/>
      <c r="R173" s="528"/>
      <c r="S173" s="529"/>
      <c r="T173" s="529"/>
      <c r="U173" s="529"/>
      <c r="V173" s="528"/>
      <c r="W173" s="528"/>
      <c r="X173" s="529"/>
      <c r="Y173" s="529"/>
      <c r="Z173" s="529"/>
      <c r="AA173" s="528"/>
      <c r="AB173" s="528"/>
      <c r="AC173" s="529"/>
      <c r="AD173" s="529"/>
      <c r="AE173" s="529"/>
      <c r="AF173" s="1111"/>
      <c r="AG173" s="1111"/>
      <c r="AH173" s="1112"/>
      <c r="AI173" s="1112"/>
      <c r="AJ173" s="1113"/>
      <c r="AK173" s="1113"/>
      <c r="AL173" s="1113"/>
      <c r="AM173" s="1113"/>
      <c r="AN173" s="1113"/>
      <c r="AO173" s="1113"/>
      <c r="AP173" s="1114"/>
      <c r="AQ173" s="1114"/>
      <c r="AR173" s="1114"/>
      <c r="AS173" s="1114"/>
      <c r="AT173" s="1114"/>
      <c r="AU173" s="1115"/>
    </row>
    <row r="174" spans="2:47" ht="26.25" customHeight="1" x14ac:dyDescent="0.15">
      <c r="C174" s="3279" t="s">
        <v>282</v>
      </c>
      <c r="D174" s="3279"/>
      <c r="E174" s="3279"/>
      <c r="F174" s="3279"/>
      <c r="G174" s="3279"/>
      <c r="H174" s="3279"/>
      <c r="I174" s="3279"/>
      <c r="J174" s="3279"/>
      <c r="K174" s="3279"/>
      <c r="L174" s="3279"/>
      <c r="M174" s="3279"/>
      <c r="N174" s="3279"/>
      <c r="O174" s="3279"/>
      <c r="P174" s="3279"/>
      <c r="Q174" s="3279"/>
      <c r="R174" s="3279"/>
      <c r="S174" s="3279"/>
      <c r="T174" s="3279"/>
      <c r="U174" s="3279"/>
      <c r="V174" s="3279"/>
      <c r="W174" s="3279"/>
      <c r="X174" s="3279"/>
      <c r="Y174" s="3279"/>
      <c r="Z174" s="3279"/>
      <c r="AA174" s="1014"/>
      <c r="AB174" s="1014"/>
      <c r="AC174" s="1014"/>
      <c r="AD174" s="1014"/>
      <c r="AE174" s="1014"/>
      <c r="AF174" s="1014"/>
      <c r="AG174" s="1014"/>
      <c r="AH174" s="1014"/>
      <c r="AI174" s="1014"/>
      <c r="AJ174" s="1014"/>
      <c r="AK174" s="1014"/>
      <c r="AL174" s="1014"/>
      <c r="AM174" s="1014"/>
      <c r="AN174" s="1014"/>
      <c r="AP174" s="499"/>
      <c r="AQ174" s="3230" t="s">
        <v>175</v>
      </c>
      <c r="AR174" s="3230"/>
      <c r="AS174" s="3230">
        <v>5</v>
      </c>
      <c r="AT174" s="3230"/>
    </row>
    <row r="175" spans="2:47" ht="3.75" customHeight="1" thickBot="1" x14ac:dyDescent="0.2">
      <c r="B175" s="854"/>
      <c r="C175" s="854"/>
      <c r="D175" s="854"/>
      <c r="E175" s="854"/>
      <c r="F175" s="854"/>
      <c r="G175" s="854"/>
      <c r="H175" s="854"/>
      <c r="I175" s="854"/>
      <c r="J175" s="854"/>
      <c r="K175" s="854"/>
      <c r="L175" s="854"/>
      <c r="M175" s="854"/>
      <c r="N175" s="854"/>
      <c r="O175" s="854"/>
      <c r="P175" s="854"/>
      <c r="Q175" s="854"/>
      <c r="R175" s="854"/>
      <c r="S175" s="854"/>
      <c r="T175" s="854"/>
      <c r="U175" s="854"/>
      <c r="V175" s="854"/>
      <c r="W175" s="854"/>
      <c r="X175" s="854"/>
      <c r="Y175" s="854"/>
      <c r="Z175" s="854"/>
      <c r="AA175" s="854"/>
      <c r="AB175" s="854"/>
      <c r="AC175" s="854"/>
      <c r="AD175" s="854"/>
      <c r="AE175" s="854"/>
      <c r="AF175" s="854"/>
      <c r="AG175" s="854"/>
      <c r="AH175" s="854"/>
      <c r="AI175" s="854"/>
      <c r="AJ175" s="854"/>
      <c r="AK175" s="854"/>
      <c r="AL175" s="854"/>
      <c r="AM175" s="854"/>
      <c r="AN175" s="854"/>
      <c r="AP175" s="499"/>
      <c r="AQ175" s="855"/>
      <c r="AR175" s="855"/>
      <c r="AS175" s="855"/>
      <c r="AT175" s="855"/>
    </row>
    <row r="176" spans="2:47" ht="15" customHeight="1" x14ac:dyDescent="0.15">
      <c r="B176" s="3231" t="s">
        <v>174</v>
      </c>
      <c r="C176" s="3232"/>
      <c r="D176" s="3235" t="str">
        <f>$D$4</f>
        <v xml:space="preserve"> </v>
      </c>
      <c r="E176" s="3235"/>
      <c r="F176" s="3235"/>
      <c r="G176" s="3235"/>
      <c r="H176" s="3235"/>
      <c r="I176" s="3235"/>
      <c r="J176" s="3235"/>
      <c r="K176" s="3235"/>
      <c r="L176" s="3235"/>
      <c r="M176" s="3235"/>
      <c r="N176" s="3235"/>
      <c r="O176" s="3235"/>
      <c r="P176" s="3235"/>
      <c r="Q176" s="3235"/>
      <c r="R176" s="3235"/>
      <c r="S176" s="3235"/>
      <c r="T176" s="3235"/>
      <c r="U176" s="3235"/>
      <c r="V176" s="3235"/>
      <c r="W176" s="3235"/>
      <c r="X176" s="3235"/>
      <c r="Y176" s="3235"/>
      <c r="Z176" s="3236"/>
      <c r="AA176" s="502"/>
      <c r="AB176" s="503"/>
      <c r="AC176" s="497"/>
      <c r="AD176" s="497"/>
      <c r="AE176" s="497"/>
      <c r="AF176" s="48"/>
      <c r="AG176" s="48"/>
      <c r="AJ176" s="48"/>
      <c r="AK176" s="48"/>
    </row>
    <row r="177" spans="2:50" ht="22.5" customHeight="1" x14ac:dyDescent="0.15">
      <c r="B177" s="3233"/>
      <c r="C177" s="3234"/>
      <c r="D177" s="3237"/>
      <c r="E177" s="3237"/>
      <c r="F177" s="3237"/>
      <c r="G177" s="3237"/>
      <c r="H177" s="3237"/>
      <c r="I177" s="3237"/>
      <c r="J177" s="3237"/>
      <c r="K177" s="3237"/>
      <c r="L177" s="3237"/>
      <c r="M177" s="3237"/>
      <c r="N177" s="3237"/>
      <c r="O177" s="3237"/>
      <c r="P177" s="3237"/>
      <c r="Q177" s="3237"/>
      <c r="R177" s="3237"/>
      <c r="S177" s="3237"/>
      <c r="T177" s="3237"/>
      <c r="U177" s="3237"/>
      <c r="V177" s="3237"/>
      <c r="W177" s="3237"/>
      <c r="X177" s="3237"/>
      <c r="Y177" s="3237"/>
      <c r="Z177" s="3238"/>
      <c r="AA177" s="502"/>
      <c r="AB177" s="504"/>
      <c r="AC177" s="497"/>
      <c r="AD177" s="497"/>
      <c r="AE177" s="497"/>
      <c r="AF177" s="497"/>
      <c r="AG177" s="48"/>
      <c r="AJ177" s="48"/>
      <c r="AK177" s="48"/>
    </row>
    <row r="178" spans="2:50" ht="24.75" customHeight="1" thickBot="1" x14ac:dyDescent="0.2">
      <c r="B178" s="3239" t="s">
        <v>173</v>
      </c>
      <c r="C178" s="3240"/>
      <c r="D178" s="3241">
        <f>$D$6</f>
        <v>0</v>
      </c>
      <c r="E178" s="3241"/>
      <c r="F178" s="513" t="s">
        <v>60</v>
      </c>
      <c r="G178" s="3241">
        <f>$G$6</f>
        <v>0</v>
      </c>
      <c r="H178" s="3241"/>
      <c r="I178" s="514" t="s">
        <v>61</v>
      </c>
      <c r="J178" s="3241">
        <f>$J$6</f>
        <v>0</v>
      </c>
      <c r="K178" s="3241"/>
      <c r="L178" s="514" t="s">
        <v>62</v>
      </c>
      <c r="M178" s="515" t="s">
        <v>96</v>
      </c>
      <c r="N178" s="514" t="str">
        <f>$N$6</f>
        <v/>
      </c>
      <c r="O178" s="514" t="s">
        <v>104</v>
      </c>
      <c r="P178" s="3242" t="s">
        <v>110</v>
      </c>
      <c r="Q178" s="3242"/>
      <c r="R178" s="3243" t="str">
        <f>$R$6</f>
        <v/>
      </c>
      <c r="S178" s="3243"/>
      <c r="T178" s="514" t="s">
        <v>61</v>
      </c>
      <c r="U178" s="3244" t="str">
        <f>$U$6</f>
        <v/>
      </c>
      <c r="V178" s="3244"/>
      <c r="W178" s="514" t="s">
        <v>62</v>
      </c>
      <c r="X178" s="515" t="s">
        <v>96</v>
      </c>
      <c r="Y178" s="516" t="str">
        <f>$Y$6</f>
        <v/>
      </c>
      <c r="Z178" s="517" t="s">
        <v>104</v>
      </c>
      <c r="AA178" s="507"/>
      <c r="AB178" s="48"/>
      <c r="AF178" s="48"/>
      <c r="AG178" s="48"/>
      <c r="AJ178" s="48"/>
      <c r="AK178" s="48"/>
    </row>
    <row r="179" spans="2:50" ht="13.5" customHeight="1" thickBot="1" x14ac:dyDescent="0.2">
      <c r="B179" s="508"/>
      <c r="C179" s="508"/>
      <c r="D179" s="509"/>
      <c r="E179" s="509"/>
      <c r="F179" s="509"/>
      <c r="G179" s="509"/>
      <c r="H179" s="509"/>
      <c r="I179" s="509"/>
      <c r="J179" s="509"/>
      <c r="K179" s="509"/>
      <c r="L179" s="509"/>
      <c r="M179" s="509"/>
      <c r="N179" s="509"/>
      <c r="O179" s="509"/>
      <c r="P179" s="509"/>
      <c r="Q179" s="509"/>
      <c r="R179" s="509"/>
      <c r="S179" s="509"/>
      <c r="T179" s="509"/>
      <c r="U179" s="509"/>
      <c r="V179" s="509"/>
      <c r="W179" s="509"/>
      <c r="X179" s="510"/>
      <c r="Y179" s="510"/>
      <c r="Z179" s="510"/>
      <c r="AA179" s="511"/>
      <c r="AB179" s="48"/>
      <c r="AF179" s="48"/>
      <c r="AG179" s="48"/>
      <c r="AJ179" s="48"/>
      <c r="AK179" s="48"/>
    </row>
    <row r="180" spans="2:50" ht="15" customHeight="1" x14ac:dyDescent="0.15">
      <c r="B180" s="3200" t="s">
        <v>287</v>
      </c>
      <c r="C180" s="3203" t="s">
        <v>167</v>
      </c>
      <c r="D180" s="1959"/>
      <c r="E180" s="1962" t="s">
        <v>341</v>
      </c>
      <c r="F180" s="2097" t="s">
        <v>166</v>
      </c>
      <c r="G180" s="2098"/>
      <c r="H180" s="3245" t="s">
        <v>165</v>
      </c>
      <c r="I180" s="3246"/>
      <c r="J180" s="3246"/>
      <c r="K180" s="3247"/>
      <c r="L180" s="3245" t="s">
        <v>164</v>
      </c>
      <c r="M180" s="3246"/>
      <c r="N180" s="3246"/>
      <c r="O180" s="3246"/>
      <c r="P180" s="3247"/>
      <c r="Q180" s="3245" t="s">
        <v>163</v>
      </c>
      <c r="R180" s="3246"/>
      <c r="S180" s="3246"/>
      <c r="T180" s="3246"/>
      <c r="U180" s="3247"/>
      <c r="V180" s="3245" t="s">
        <v>249</v>
      </c>
      <c r="W180" s="3246"/>
      <c r="X180" s="3246"/>
      <c r="Y180" s="3246"/>
      <c r="Z180" s="3247"/>
      <c r="AA180" s="3245" t="s">
        <v>250</v>
      </c>
      <c r="AB180" s="3246"/>
      <c r="AC180" s="3246"/>
      <c r="AD180" s="3246"/>
      <c r="AE180" s="3247"/>
      <c r="AF180" s="3245" t="s">
        <v>251</v>
      </c>
      <c r="AG180" s="3246"/>
      <c r="AH180" s="3246"/>
      <c r="AI180" s="3246"/>
      <c r="AJ180" s="3248" t="s">
        <v>438</v>
      </c>
      <c r="AK180" s="3249"/>
      <c r="AL180" s="3249"/>
      <c r="AM180" s="3249"/>
      <c r="AN180" s="3249"/>
      <c r="AO180" s="3250"/>
      <c r="AP180" s="3248" t="s">
        <v>162</v>
      </c>
      <c r="AQ180" s="3249"/>
      <c r="AR180" s="3249"/>
      <c r="AS180" s="3249"/>
      <c r="AT180" s="3250"/>
      <c r="AU180" s="117"/>
      <c r="AW180" s="501"/>
      <c r="AX180" s="501"/>
    </row>
    <row r="181" spans="2:50" ht="26.25" customHeight="1" x14ac:dyDescent="0.15">
      <c r="B181" s="3201"/>
      <c r="C181" s="3204"/>
      <c r="D181" s="1960"/>
      <c r="E181" s="1963"/>
      <c r="F181" s="2099"/>
      <c r="G181" s="1972"/>
      <c r="H181" s="3251" t="str">
        <f>$H$9</f>
        <v/>
      </c>
      <c r="I181" s="3252"/>
      <c r="J181" s="3252"/>
      <c r="K181" s="3253"/>
      <c r="L181" s="3254" t="str">
        <f>$L$9</f>
        <v/>
      </c>
      <c r="M181" s="3255"/>
      <c r="N181" s="3255"/>
      <c r="O181" s="3255"/>
      <c r="P181" s="3256"/>
      <c r="Q181" s="3254" t="str">
        <f>$Q$9</f>
        <v/>
      </c>
      <c r="R181" s="3255"/>
      <c r="S181" s="3255"/>
      <c r="T181" s="3255"/>
      <c r="U181" s="3256"/>
      <c r="V181" s="3254" t="str">
        <f>$V$9</f>
        <v/>
      </c>
      <c r="W181" s="3255"/>
      <c r="X181" s="3255"/>
      <c r="Y181" s="3255"/>
      <c r="Z181" s="3256"/>
      <c r="AA181" s="3254" t="str">
        <f>$AA$9</f>
        <v/>
      </c>
      <c r="AB181" s="3255"/>
      <c r="AC181" s="3255"/>
      <c r="AD181" s="3255"/>
      <c r="AE181" s="3256"/>
      <c r="AF181" s="3254" t="str">
        <f>$AF$9</f>
        <v/>
      </c>
      <c r="AG181" s="3255"/>
      <c r="AH181" s="3255"/>
      <c r="AI181" s="3255"/>
      <c r="AJ181" s="3257" t="s">
        <v>441</v>
      </c>
      <c r="AK181" s="3258"/>
      <c r="AL181" s="3258"/>
      <c r="AM181" s="3258"/>
      <c r="AN181" s="3258"/>
      <c r="AO181" s="3259"/>
      <c r="AP181" s="3263" t="s">
        <v>442</v>
      </c>
      <c r="AQ181" s="3264"/>
      <c r="AR181" s="3264"/>
      <c r="AS181" s="3264"/>
      <c r="AT181" s="3265"/>
      <c r="AU181" s="116"/>
    </row>
    <row r="182" spans="2:50" ht="16.5" customHeight="1" x14ac:dyDescent="0.15">
      <c r="B182" s="3201"/>
      <c r="C182" s="3204"/>
      <c r="D182" s="1960"/>
      <c r="E182" s="1963"/>
      <c r="F182" s="3266" t="s">
        <v>78</v>
      </c>
      <c r="G182" s="3206" t="s">
        <v>79</v>
      </c>
      <c r="H182" s="1974" t="s">
        <v>176</v>
      </c>
      <c r="I182" s="3208"/>
      <c r="J182" s="3210" t="s">
        <v>161</v>
      </c>
      <c r="K182" s="3211"/>
      <c r="L182" s="1974" t="s">
        <v>176</v>
      </c>
      <c r="M182" s="3208"/>
      <c r="N182" s="3210" t="s">
        <v>160</v>
      </c>
      <c r="O182" s="3213"/>
      <c r="P182" s="3211"/>
      <c r="Q182" s="1974" t="s">
        <v>176</v>
      </c>
      <c r="R182" s="3208"/>
      <c r="S182" s="3210" t="s">
        <v>160</v>
      </c>
      <c r="T182" s="3213"/>
      <c r="U182" s="3211"/>
      <c r="V182" s="1974" t="s">
        <v>176</v>
      </c>
      <c r="W182" s="3208"/>
      <c r="X182" s="3210" t="s">
        <v>160</v>
      </c>
      <c r="Y182" s="3213"/>
      <c r="Z182" s="3211"/>
      <c r="AA182" s="1974" t="s">
        <v>176</v>
      </c>
      <c r="AB182" s="3208"/>
      <c r="AC182" s="3210" t="s">
        <v>160</v>
      </c>
      <c r="AD182" s="3213"/>
      <c r="AE182" s="3211"/>
      <c r="AF182" s="1974" t="s">
        <v>176</v>
      </c>
      <c r="AG182" s="3208"/>
      <c r="AH182" s="3210" t="s">
        <v>160</v>
      </c>
      <c r="AI182" s="3213"/>
      <c r="AJ182" s="3257"/>
      <c r="AK182" s="3258"/>
      <c r="AL182" s="3258"/>
      <c r="AM182" s="3258"/>
      <c r="AN182" s="3258"/>
      <c r="AO182" s="3259"/>
      <c r="AP182" s="3257"/>
      <c r="AQ182" s="3258"/>
      <c r="AR182" s="3258"/>
      <c r="AS182" s="3258"/>
      <c r="AT182" s="3259"/>
      <c r="AU182" s="115"/>
    </row>
    <row r="183" spans="2:50" ht="19.5" customHeight="1" thickBot="1" x14ac:dyDescent="0.2">
      <c r="B183" s="3202"/>
      <c r="C183" s="3205"/>
      <c r="D183" s="1961"/>
      <c r="E183" s="1964"/>
      <c r="F183" s="3267"/>
      <c r="G183" s="3207"/>
      <c r="H183" s="1978"/>
      <c r="I183" s="3209"/>
      <c r="J183" s="523" t="s">
        <v>153</v>
      </c>
      <c r="K183" s="522" t="s">
        <v>280</v>
      </c>
      <c r="L183" s="1978"/>
      <c r="M183" s="3212"/>
      <c r="N183" s="523" t="s">
        <v>154</v>
      </c>
      <c r="O183" s="523" t="s">
        <v>153</v>
      </c>
      <c r="P183" s="522" t="s">
        <v>280</v>
      </c>
      <c r="Q183" s="1978"/>
      <c r="R183" s="3209"/>
      <c r="S183" s="523" t="s">
        <v>154</v>
      </c>
      <c r="T183" s="523" t="s">
        <v>153</v>
      </c>
      <c r="U183" s="522" t="s">
        <v>280</v>
      </c>
      <c r="V183" s="1978"/>
      <c r="W183" s="3209"/>
      <c r="X183" s="523" t="s">
        <v>154</v>
      </c>
      <c r="Y183" s="523" t="s">
        <v>153</v>
      </c>
      <c r="Z183" s="522" t="s">
        <v>280</v>
      </c>
      <c r="AA183" s="1978"/>
      <c r="AB183" s="3209"/>
      <c r="AC183" s="523" t="s">
        <v>154</v>
      </c>
      <c r="AD183" s="523" t="s">
        <v>153</v>
      </c>
      <c r="AE183" s="522" t="s">
        <v>280</v>
      </c>
      <c r="AF183" s="1978"/>
      <c r="AG183" s="3209"/>
      <c r="AH183" s="523" t="s">
        <v>154</v>
      </c>
      <c r="AI183" s="523" t="s">
        <v>153</v>
      </c>
      <c r="AJ183" s="3260"/>
      <c r="AK183" s="3261"/>
      <c r="AL183" s="3261"/>
      <c r="AM183" s="3261"/>
      <c r="AN183" s="3261"/>
      <c r="AO183" s="3262"/>
      <c r="AP183" s="3260"/>
      <c r="AQ183" s="3261"/>
      <c r="AR183" s="3261"/>
      <c r="AS183" s="3261"/>
      <c r="AT183" s="3262"/>
      <c r="AU183" s="114"/>
    </row>
    <row r="184" spans="2:50" ht="15" customHeight="1" x14ac:dyDescent="0.15">
      <c r="B184" s="3214" t="s">
        <v>159</v>
      </c>
      <c r="C184" s="3216" t="s">
        <v>158</v>
      </c>
      <c r="D184" s="3217"/>
      <c r="E184" s="3220" t="s">
        <v>157</v>
      </c>
      <c r="F184" s="3222" t="s">
        <v>98</v>
      </c>
      <c r="G184" s="3224"/>
      <c r="H184" s="3190" t="s">
        <v>155</v>
      </c>
      <c r="I184" s="3191"/>
      <c r="J184" s="3194" t="s">
        <v>98</v>
      </c>
      <c r="K184" s="3188" t="s">
        <v>98</v>
      </c>
      <c r="L184" s="3190" t="s">
        <v>155</v>
      </c>
      <c r="M184" s="3226"/>
      <c r="N184" s="3194" t="s">
        <v>98</v>
      </c>
      <c r="O184" s="3194" t="s">
        <v>98</v>
      </c>
      <c r="P184" s="3188" t="s">
        <v>98</v>
      </c>
      <c r="Q184" s="2087" t="s">
        <v>414</v>
      </c>
      <c r="R184" s="3196"/>
      <c r="S184" s="3194" t="s">
        <v>98</v>
      </c>
      <c r="T184" s="3198"/>
      <c r="U184" s="3228"/>
      <c r="V184" s="3190"/>
      <c r="W184" s="3191"/>
      <c r="X184" s="3194"/>
      <c r="Y184" s="3194"/>
      <c r="Z184" s="3188"/>
      <c r="AA184" s="3190"/>
      <c r="AB184" s="3191"/>
      <c r="AC184" s="3194"/>
      <c r="AD184" s="3194"/>
      <c r="AE184" s="3188"/>
      <c r="AF184" s="2087"/>
      <c r="AG184" s="3196"/>
      <c r="AH184" s="3194"/>
      <c r="AI184" s="3198"/>
      <c r="AJ184" s="2032" t="s">
        <v>433</v>
      </c>
      <c r="AK184" s="2033"/>
      <c r="AL184" s="2033"/>
      <c r="AM184" s="2033"/>
      <c r="AN184" s="2033"/>
      <c r="AO184" s="2034"/>
      <c r="AP184" s="2026" t="s">
        <v>342</v>
      </c>
      <c r="AQ184" s="2027"/>
      <c r="AR184" s="2027"/>
      <c r="AS184" s="2027"/>
      <c r="AT184" s="2028"/>
      <c r="AU184" s="113"/>
    </row>
    <row r="185" spans="2:50" ht="15" customHeight="1" x14ac:dyDescent="0.15">
      <c r="B185" s="3215"/>
      <c r="C185" s="3218"/>
      <c r="D185" s="3219"/>
      <c r="E185" s="3221"/>
      <c r="F185" s="3223"/>
      <c r="G185" s="3225"/>
      <c r="H185" s="3192"/>
      <c r="I185" s="3193"/>
      <c r="J185" s="3195"/>
      <c r="K185" s="3189"/>
      <c r="L185" s="3192"/>
      <c r="M185" s="3227"/>
      <c r="N185" s="3195"/>
      <c r="O185" s="3195"/>
      <c r="P185" s="3189"/>
      <c r="Q185" s="2089"/>
      <c r="R185" s="3197"/>
      <c r="S185" s="3195"/>
      <c r="T185" s="3199"/>
      <c r="U185" s="3229"/>
      <c r="V185" s="3192"/>
      <c r="W185" s="3193"/>
      <c r="X185" s="3195"/>
      <c r="Y185" s="3195"/>
      <c r="Z185" s="3189"/>
      <c r="AA185" s="3192"/>
      <c r="AB185" s="3193"/>
      <c r="AC185" s="3195"/>
      <c r="AD185" s="3195"/>
      <c r="AE185" s="3189"/>
      <c r="AF185" s="2089"/>
      <c r="AG185" s="3197"/>
      <c r="AH185" s="3195"/>
      <c r="AI185" s="3199"/>
      <c r="AJ185" s="2035" t="s">
        <v>434</v>
      </c>
      <c r="AK185" s="2036"/>
      <c r="AL185" s="2036"/>
      <c r="AM185" s="2036"/>
      <c r="AN185" s="2036"/>
      <c r="AO185" s="2037"/>
      <c r="AP185" s="2029"/>
      <c r="AQ185" s="2030"/>
      <c r="AR185" s="2030"/>
      <c r="AS185" s="2030"/>
      <c r="AT185" s="2031"/>
      <c r="AU185" s="113"/>
    </row>
    <row r="186" spans="2:50" ht="15" customHeight="1" x14ac:dyDescent="0.15">
      <c r="B186" s="3149">
        <v>61</v>
      </c>
      <c r="C186" s="3151">
        <f>名簿入力!D135</f>
        <v>0</v>
      </c>
      <c r="D186" s="3152"/>
      <c r="E186" s="3155">
        <f>名簿入力!E135</f>
        <v>0</v>
      </c>
      <c r="F186" s="3157">
        <f>名簿入力!G135</f>
        <v>0</v>
      </c>
      <c r="G186" s="3159">
        <f>名簿入力!H135</f>
        <v>0</v>
      </c>
      <c r="H186" s="3161">
        <f>名簿入力!I135</f>
        <v>0</v>
      </c>
      <c r="I186" s="3162"/>
      <c r="J186" s="3165">
        <f>名簿入力!K135</f>
        <v>0</v>
      </c>
      <c r="K186" s="3167">
        <f>名簿入力!L135</f>
        <v>0</v>
      </c>
      <c r="L186" s="3161">
        <f>名簿入力!M135</f>
        <v>0</v>
      </c>
      <c r="M186" s="3169"/>
      <c r="N186" s="3165">
        <f>名簿入力!O135</f>
        <v>0</v>
      </c>
      <c r="O186" s="3165">
        <f>名簿入力!P135</f>
        <v>0</v>
      </c>
      <c r="P186" s="3167">
        <f>名簿入力!Q135</f>
        <v>0</v>
      </c>
      <c r="Q186" s="3161">
        <f>名簿入力!R135</f>
        <v>0</v>
      </c>
      <c r="R186" s="3162"/>
      <c r="S186" s="3165">
        <f>名簿入力!T135</f>
        <v>0</v>
      </c>
      <c r="T186" s="3165">
        <f>名簿入力!U135</f>
        <v>0</v>
      </c>
      <c r="U186" s="3167">
        <f>名簿入力!V135</f>
        <v>0</v>
      </c>
      <c r="V186" s="3161">
        <f>名簿入力!W135</f>
        <v>0</v>
      </c>
      <c r="W186" s="3162"/>
      <c r="X186" s="3165">
        <f>名簿入力!Y135</f>
        <v>0</v>
      </c>
      <c r="Y186" s="3165">
        <f>名簿入力!Z135</f>
        <v>0</v>
      </c>
      <c r="Z186" s="3167">
        <f>名簿入力!AA135</f>
        <v>0</v>
      </c>
      <c r="AA186" s="3161">
        <f>名簿入力!AB135</f>
        <v>0</v>
      </c>
      <c r="AB186" s="3162"/>
      <c r="AC186" s="3165">
        <f>名簿入力!AD135</f>
        <v>0</v>
      </c>
      <c r="AD186" s="3165">
        <f>名簿入力!AE135</f>
        <v>0</v>
      </c>
      <c r="AE186" s="3167">
        <f>名簿入力!AF135</f>
        <v>0</v>
      </c>
      <c r="AF186" s="3161">
        <f>名簿入力!AG135</f>
        <v>0</v>
      </c>
      <c r="AG186" s="3162"/>
      <c r="AH186" s="3165">
        <f>名簿入力!AI135</f>
        <v>0</v>
      </c>
      <c r="AI186" s="3165">
        <f>名簿入力!AJ135</f>
        <v>0</v>
      </c>
      <c r="AJ186" s="3175">
        <f>名簿入力!AK135</f>
        <v>0</v>
      </c>
      <c r="AK186" s="3176"/>
      <c r="AL186" s="3176"/>
      <c r="AM186" s="3176"/>
      <c r="AN186" s="3176"/>
      <c r="AO186" s="3177"/>
      <c r="AP186" s="3137">
        <f>名簿入力!AO135</f>
        <v>0</v>
      </c>
      <c r="AQ186" s="3138"/>
      <c r="AR186" s="3138"/>
      <c r="AS186" s="3138"/>
      <c r="AT186" s="3139"/>
      <c r="AU186" s="113"/>
    </row>
    <row r="187" spans="2:50" ht="15" customHeight="1" x14ac:dyDescent="0.15">
      <c r="B187" s="3181"/>
      <c r="C187" s="3182"/>
      <c r="D187" s="3183"/>
      <c r="E187" s="3184"/>
      <c r="F187" s="3185"/>
      <c r="G187" s="3186"/>
      <c r="H187" s="3173"/>
      <c r="I187" s="3174"/>
      <c r="J187" s="3171"/>
      <c r="K187" s="3172"/>
      <c r="L187" s="3173"/>
      <c r="M187" s="3187"/>
      <c r="N187" s="3171"/>
      <c r="O187" s="3171"/>
      <c r="P187" s="3172"/>
      <c r="Q187" s="3173"/>
      <c r="R187" s="3174"/>
      <c r="S187" s="3171"/>
      <c r="T187" s="3171"/>
      <c r="U187" s="3172"/>
      <c r="V187" s="3173"/>
      <c r="W187" s="3174"/>
      <c r="X187" s="3171"/>
      <c r="Y187" s="3171"/>
      <c r="Z187" s="3172"/>
      <c r="AA187" s="3173"/>
      <c r="AB187" s="3174"/>
      <c r="AC187" s="3171"/>
      <c r="AD187" s="3171"/>
      <c r="AE187" s="3172"/>
      <c r="AF187" s="3173"/>
      <c r="AG187" s="3174"/>
      <c r="AH187" s="3171"/>
      <c r="AI187" s="3171"/>
      <c r="AJ187" s="3146">
        <f>名簿入力!AK136</f>
        <v>0</v>
      </c>
      <c r="AK187" s="3147"/>
      <c r="AL187" s="3147"/>
      <c r="AM187" s="3147"/>
      <c r="AN187" s="3147"/>
      <c r="AO187" s="3148"/>
      <c r="AP187" s="3178"/>
      <c r="AQ187" s="3179"/>
      <c r="AR187" s="3179"/>
      <c r="AS187" s="3179"/>
      <c r="AT187" s="3180"/>
      <c r="AU187" s="113"/>
    </row>
    <row r="188" spans="2:50" ht="15" customHeight="1" x14ac:dyDescent="0.15">
      <c r="B188" s="3149">
        <v>62</v>
      </c>
      <c r="C188" s="3151">
        <f>名簿入力!D137</f>
        <v>0</v>
      </c>
      <c r="D188" s="3152"/>
      <c r="E188" s="3155">
        <f>名簿入力!E137</f>
        <v>0</v>
      </c>
      <c r="F188" s="3157">
        <f>名簿入力!G137</f>
        <v>0</v>
      </c>
      <c r="G188" s="3159">
        <f>名簿入力!H137</f>
        <v>0</v>
      </c>
      <c r="H188" s="3161">
        <f>名簿入力!I137</f>
        <v>0</v>
      </c>
      <c r="I188" s="3162"/>
      <c r="J188" s="3165">
        <f>名簿入力!K137</f>
        <v>0</v>
      </c>
      <c r="K188" s="3167">
        <f>名簿入力!L137</f>
        <v>0</v>
      </c>
      <c r="L188" s="3161">
        <f>名簿入力!M137</f>
        <v>0</v>
      </c>
      <c r="M188" s="3169"/>
      <c r="N188" s="3165">
        <f>名簿入力!O137</f>
        <v>0</v>
      </c>
      <c r="O188" s="3165">
        <f>名簿入力!P137</f>
        <v>0</v>
      </c>
      <c r="P188" s="3167">
        <f>名簿入力!Q137</f>
        <v>0</v>
      </c>
      <c r="Q188" s="3161">
        <f>名簿入力!R137</f>
        <v>0</v>
      </c>
      <c r="R188" s="3162"/>
      <c r="S188" s="3165">
        <f>名簿入力!T137</f>
        <v>0</v>
      </c>
      <c r="T188" s="3165">
        <f>名簿入力!U137</f>
        <v>0</v>
      </c>
      <c r="U188" s="3167">
        <f>名簿入力!V137</f>
        <v>0</v>
      </c>
      <c r="V188" s="3161">
        <f>名簿入力!W137</f>
        <v>0</v>
      </c>
      <c r="W188" s="3162"/>
      <c r="X188" s="3165">
        <f>名簿入力!Y137</f>
        <v>0</v>
      </c>
      <c r="Y188" s="3165">
        <f>名簿入力!Z137</f>
        <v>0</v>
      </c>
      <c r="Z188" s="3167">
        <f>名簿入力!AA137</f>
        <v>0</v>
      </c>
      <c r="AA188" s="3161">
        <f>名簿入力!AB137</f>
        <v>0</v>
      </c>
      <c r="AB188" s="3162"/>
      <c r="AC188" s="3165">
        <f>名簿入力!AD137</f>
        <v>0</v>
      </c>
      <c r="AD188" s="3165">
        <f>名簿入力!AE137</f>
        <v>0</v>
      </c>
      <c r="AE188" s="3167">
        <f>名簿入力!AF137</f>
        <v>0</v>
      </c>
      <c r="AF188" s="3161">
        <f>名簿入力!AG137</f>
        <v>0</v>
      </c>
      <c r="AG188" s="3162"/>
      <c r="AH188" s="3165">
        <f>名簿入力!AI137</f>
        <v>0</v>
      </c>
      <c r="AI188" s="3165">
        <f>名簿入力!AJ137</f>
        <v>0</v>
      </c>
      <c r="AJ188" s="3175">
        <f>名簿入力!AK137</f>
        <v>0</v>
      </c>
      <c r="AK188" s="3176"/>
      <c r="AL188" s="3176"/>
      <c r="AM188" s="3176"/>
      <c r="AN188" s="3176"/>
      <c r="AO188" s="3177"/>
      <c r="AP188" s="3137">
        <f>名簿入力!AO137</f>
        <v>0</v>
      </c>
      <c r="AQ188" s="3138"/>
      <c r="AR188" s="3138"/>
      <c r="AS188" s="3138"/>
      <c r="AT188" s="3139"/>
      <c r="AU188" s="113"/>
    </row>
    <row r="189" spans="2:50" ht="15" customHeight="1" x14ac:dyDescent="0.15">
      <c r="B189" s="3181"/>
      <c r="C189" s="3182"/>
      <c r="D189" s="3183"/>
      <c r="E189" s="3184"/>
      <c r="F189" s="3185"/>
      <c r="G189" s="3186"/>
      <c r="H189" s="3173"/>
      <c r="I189" s="3174"/>
      <c r="J189" s="3171"/>
      <c r="K189" s="3172"/>
      <c r="L189" s="3173"/>
      <c r="M189" s="3187"/>
      <c r="N189" s="3171"/>
      <c r="O189" s="3171"/>
      <c r="P189" s="3172"/>
      <c r="Q189" s="3173"/>
      <c r="R189" s="3174"/>
      <c r="S189" s="3171"/>
      <c r="T189" s="3171"/>
      <c r="U189" s="3172"/>
      <c r="V189" s="3173"/>
      <c r="W189" s="3174"/>
      <c r="X189" s="3171"/>
      <c r="Y189" s="3171"/>
      <c r="Z189" s="3172"/>
      <c r="AA189" s="3173"/>
      <c r="AB189" s="3174"/>
      <c r="AC189" s="3171"/>
      <c r="AD189" s="3171"/>
      <c r="AE189" s="3172"/>
      <c r="AF189" s="3173"/>
      <c r="AG189" s="3174"/>
      <c r="AH189" s="3171"/>
      <c r="AI189" s="3171"/>
      <c r="AJ189" s="3146">
        <f>名簿入力!AK138</f>
        <v>0</v>
      </c>
      <c r="AK189" s="3147"/>
      <c r="AL189" s="3147"/>
      <c r="AM189" s="3147"/>
      <c r="AN189" s="3147"/>
      <c r="AO189" s="3148"/>
      <c r="AP189" s="3178"/>
      <c r="AQ189" s="3179"/>
      <c r="AR189" s="3179"/>
      <c r="AS189" s="3179"/>
      <c r="AT189" s="3180"/>
      <c r="AU189" s="113"/>
    </row>
    <row r="190" spans="2:50" ht="15" customHeight="1" x14ac:dyDescent="0.15">
      <c r="B190" s="3149">
        <v>63</v>
      </c>
      <c r="C190" s="3151">
        <f>名簿入力!D139</f>
        <v>0</v>
      </c>
      <c r="D190" s="3152"/>
      <c r="E190" s="3155">
        <f>名簿入力!E139</f>
        <v>0</v>
      </c>
      <c r="F190" s="3157">
        <f>名簿入力!G139</f>
        <v>0</v>
      </c>
      <c r="G190" s="3159">
        <f>名簿入力!H139</f>
        <v>0</v>
      </c>
      <c r="H190" s="3161">
        <f>名簿入力!I139</f>
        <v>0</v>
      </c>
      <c r="I190" s="3162"/>
      <c r="J190" s="3165">
        <f>名簿入力!K139</f>
        <v>0</v>
      </c>
      <c r="K190" s="3167">
        <f>名簿入力!L139</f>
        <v>0</v>
      </c>
      <c r="L190" s="3161">
        <f>名簿入力!M139</f>
        <v>0</v>
      </c>
      <c r="M190" s="3169"/>
      <c r="N190" s="3165">
        <f>名簿入力!O139</f>
        <v>0</v>
      </c>
      <c r="O190" s="3165">
        <f>名簿入力!P139</f>
        <v>0</v>
      </c>
      <c r="P190" s="3167">
        <f>名簿入力!Q139</f>
        <v>0</v>
      </c>
      <c r="Q190" s="3161">
        <f>名簿入力!R139</f>
        <v>0</v>
      </c>
      <c r="R190" s="3162"/>
      <c r="S190" s="3165">
        <f>名簿入力!T139</f>
        <v>0</v>
      </c>
      <c r="T190" s="3165">
        <f>名簿入力!U139</f>
        <v>0</v>
      </c>
      <c r="U190" s="3167">
        <f>名簿入力!V139</f>
        <v>0</v>
      </c>
      <c r="V190" s="3161">
        <f>名簿入力!W139</f>
        <v>0</v>
      </c>
      <c r="W190" s="3162"/>
      <c r="X190" s="3165">
        <f>名簿入力!Y139</f>
        <v>0</v>
      </c>
      <c r="Y190" s="3165">
        <f>名簿入力!Z139</f>
        <v>0</v>
      </c>
      <c r="Z190" s="3167">
        <f>名簿入力!AA139</f>
        <v>0</v>
      </c>
      <c r="AA190" s="3161">
        <f>名簿入力!AB139</f>
        <v>0</v>
      </c>
      <c r="AB190" s="3162"/>
      <c r="AC190" s="3165">
        <f>名簿入力!AD139</f>
        <v>0</v>
      </c>
      <c r="AD190" s="3165">
        <f>名簿入力!AE139</f>
        <v>0</v>
      </c>
      <c r="AE190" s="3167">
        <f>名簿入力!AF139</f>
        <v>0</v>
      </c>
      <c r="AF190" s="3161">
        <f>名簿入力!AG139</f>
        <v>0</v>
      </c>
      <c r="AG190" s="3162"/>
      <c r="AH190" s="3165">
        <f>名簿入力!AI139</f>
        <v>0</v>
      </c>
      <c r="AI190" s="3165">
        <f>名簿入力!AJ139</f>
        <v>0</v>
      </c>
      <c r="AJ190" s="3175">
        <f>名簿入力!AK139</f>
        <v>0</v>
      </c>
      <c r="AK190" s="3176"/>
      <c r="AL190" s="3176"/>
      <c r="AM190" s="3176"/>
      <c r="AN190" s="3176"/>
      <c r="AO190" s="3177"/>
      <c r="AP190" s="3137">
        <f>名簿入力!AO139</f>
        <v>0</v>
      </c>
      <c r="AQ190" s="3138"/>
      <c r="AR190" s="3138"/>
      <c r="AS190" s="3138"/>
      <c r="AT190" s="3139"/>
      <c r="AU190" s="113"/>
    </row>
    <row r="191" spans="2:50" ht="15" customHeight="1" x14ac:dyDescent="0.15">
      <c r="B191" s="3181"/>
      <c r="C191" s="3182"/>
      <c r="D191" s="3183"/>
      <c r="E191" s="3184"/>
      <c r="F191" s="3185"/>
      <c r="G191" s="3186"/>
      <c r="H191" s="3173"/>
      <c r="I191" s="3174"/>
      <c r="J191" s="3171"/>
      <c r="K191" s="3172"/>
      <c r="L191" s="3173"/>
      <c r="M191" s="3187"/>
      <c r="N191" s="3171"/>
      <c r="O191" s="3171"/>
      <c r="P191" s="3172"/>
      <c r="Q191" s="3173"/>
      <c r="R191" s="3174"/>
      <c r="S191" s="3171"/>
      <c r="T191" s="3171"/>
      <c r="U191" s="3172"/>
      <c r="V191" s="3173"/>
      <c r="W191" s="3174"/>
      <c r="X191" s="3171"/>
      <c r="Y191" s="3171"/>
      <c r="Z191" s="3172"/>
      <c r="AA191" s="3173"/>
      <c r="AB191" s="3174"/>
      <c r="AC191" s="3171"/>
      <c r="AD191" s="3171"/>
      <c r="AE191" s="3172"/>
      <c r="AF191" s="3173"/>
      <c r="AG191" s="3174"/>
      <c r="AH191" s="3171"/>
      <c r="AI191" s="3171"/>
      <c r="AJ191" s="3146">
        <f>名簿入力!AK140</f>
        <v>0</v>
      </c>
      <c r="AK191" s="3147"/>
      <c r="AL191" s="3147"/>
      <c r="AM191" s="3147"/>
      <c r="AN191" s="3147"/>
      <c r="AO191" s="3148"/>
      <c r="AP191" s="3178"/>
      <c r="AQ191" s="3179"/>
      <c r="AR191" s="3179"/>
      <c r="AS191" s="3179"/>
      <c r="AT191" s="3180"/>
      <c r="AU191" s="113"/>
    </row>
    <row r="192" spans="2:50" ht="15" customHeight="1" x14ac:dyDescent="0.15">
      <c r="B192" s="3149">
        <v>64</v>
      </c>
      <c r="C192" s="3151">
        <f>名簿入力!D141</f>
        <v>0</v>
      </c>
      <c r="D192" s="3152"/>
      <c r="E192" s="3155">
        <f>名簿入力!E141</f>
        <v>0</v>
      </c>
      <c r="F192" s="3157">
        <f>名簿入力!G141</f>
        <v>0</v>
      </c>
      <c r="G192" s="3159">
        <f>名簿入力!H141</f>
        <v>0</v>
      </c>
      <c r="H192" s="3161">
        <f>名簿入力!I141</f>
        <v>0</v>
      </c>
      <c r="I192" s="3162"/>
      <c r="J192" s="3165">
        <f>名簿入力!K141</f>
        <v>0</v>
      </c>
      <c r="K192" s="3167">
        <f>名簿入力!L141</f>
        <v>0</v>
      </c>
      <c r="L192" s="3161">
        <f>名簿入力!M141</f>
        <v>0</v>
      </c>
      <c r="M192" s="3169"/>
      <c r="N192" s="3165">
        <f>名簿入力!O141</f>
        <v>0</v>
      </c>
      <c r="O192" s="3165">
        <f>名簿入力!P141</f>
        <v>0</v>
      </c>
      <c r="P192" s="3167">
        <f>名簿入力!Q141</f>
        <v>0</v>
      </c>
      <c r="Q192" s="3161">
        <f>名簿入力!R141</f>
        <v>0</v>
      </c>
      <c r="R192" s="3162"/>
      <c r="S192" s="3165">
        <f>名簿入力!T141</f>
        <v>0</v>
      </c>
      <c r="T192" s="3165">
        <f>名簿入力!U141</f>
        <v>0</v>
      </c>
      <c r="U192" s="3167">
        <f>名簿入力!V141</f>
        <v>0</v>
      </c>
      <c r="V192" s="3161">
        <f>名簿入力!W141</f>
        <v>0</v>
      </c>
      <c r="W192" s="3162"/>
      <c r="X192" s="3165">
        <f>名簿入力!Y141</f>
        <v>0</v>
      </c>
      <c r="Y192" s="3165">
        <f>名簿入力!Z141</f>
        <v>0</v>
      </c>
      <c r="Z192" s="3167">
        <f>名簿入力!AA141</f>
        <v>0</v>
      </c>
      <c r="AA192" s="3161">
        <f>名簿入力!AB141</f>
        <v>0</v>
      </c>
      <c r="AB192" s="3162"/>
      <c r="AC192" s="3165">
        <f>名簿入力!AD141</f>
        <v>0</v>
      </c>
      <c r="AD192" s="3165">
        <f>名簿入力!AE141</f>
        <v>0</v>
      </c>
      <c r="AE192" s="3167">
        <f>名簿入力!AF141</f>
        <v>0</v>
      </c>
      <c r="AF192" s="3161">
        <f>名簿入力!AG141</f>
        <v>0</v>
      </c>
      <c r="AG192" s="3162"/>
      <c r="AH192" s="3165">
        <f>名簿入力!AI141</f>
        <v>0</v>
      </c>
      <c r="AI192" s="3165">
        <f>名簿入力!AJ141</f>
        <v>0</v>
      </c>
      <c r="AJ192" s="3175">
        <f>名簿入力!AK141</f>
        <v>0</v>
      </c>
      <c r="AK192" s="3176"/>
      <c r="AL192" s="3176"/>
      <c r="AM192" s="3176"/>
      <c r="AN192" s="3176"/>
      <c r="AO192" s="3177"/>
      <c r="AP192" s="3137">
        <f>名簿入力!AO141</f>
        <v>0</v>
      </c>
      <c r="AQ192" s="3138"/>
      <c r="AR192" s="3138"/>
      <c r="AS192" s="3138"/>
      <c r="AT192" s="3139"/>
      <c r="AU192" s="113"/>
    </row>
    <row r="193" spans="2:47" ht="15" customHeight="1" x14ac:dyDescent="0.15">
      <c r="B193" s="3181"/>
      <c r="C193" s="3182"/>
      <c r="D193" s="3183"/>
      <c r="E193" s="3184"/>
      <c r="F193" s="3185"/>
      <c r="G193" s="3186"/>
      <c r="H193" s="3173"/>
      <c r="I193" s="3174"/>
      <c r="J193" s="3171"/>
      <c r="K193" s="3172"/>
      <c r="L193" s="3173"/>
      <c r="M193" s="3187"/>
      <c r="N193" s="3171"/>
      <c r="O193" s="3171"/>
      <c r="P193" s="3172"/>
      <c r="Q193" s="3173"/>
      <c r="R193" s="3174"/>
      <c r="S193" s="3171"/>
      <c r="T193" s="3171"/>
      <c r="U193" s="3172"/>
      <c r="V193" s="3173"/>
      <c r="W193" s="3174"/>
      <c r="X193" s="3171"/>
      <c r="Y193" s="3171"/>
      <c r="Z193" s="3172"/>
      <c r="AA193" s="3173"/>
      <c r="AB193" s="3174"/>
      <c r="AC193" s="3171"/>
      <c r="AD193" s="3171"/>
      <c r="AE193" s="3172"/>
      <c r="AF193" s="3173"/>
      <c r="AG193" s="3174"/>
      <c r="AH193" s="3171"/>
      <c r="AI193" s="3171"/>
      <c r="AJ193" s="3146">
        <f>名簿入力!AK142</f>
        <v>0</v>
      </c>
      <c r="AK193" s="3147"/>
      <c r="AL193" s="3147"/>
      <c r="AM193" s="3147"/>
      <c r="AN193" s="3147"/>
      <c r="AO193" s="3148"/>
      <c r="AP193" s="3178"/>
      <c r="AQ193" s="3179"/>
      <c r="AR193" s="3179"/>
      <c r="AS193" s="3179"/>
      <c r="AT193" s="3180"/>
      <c r="AU193" s="113"/>
    </row>
    <row r="194" spans="2:47" ht="15" customHeight="1" x14ac:dyDescent="0.15">
      <c r="B194" s="3149">
        <v>65</v>
      </c>
      <c r="C194" s="3151">
        <f>名簿入力!D143</f>
        <v>0</v>
      </c>
      <c r="D194" s="3152"/>
      <c r="E194" s="3155">
        <f>名簿入力!E143</f>
        <v>0</v>
      </c>
      <c r="F194" s="3157">
        <f>名簿入力!G143</f>
        <v>0</v>
      </c>
      <c r="G194" s="3159">
        <f>名簿入力!H143</f>
        <v>0</v>
      </c>
      <c r="H194" s="3161">
        <f>名簿入力!I143</f>
        <v>0</v>
      </c>
      <c r="I194" s="3162"/>
      <c r="J194" s="3165">
        <f>名簿入力!K143</f>
        <v>0</v>
      </c>
      <c r="K194" s="3167">
        <f>名簿入力!L143</f>
        <v>0</v>
      </c>
      <c r="L194" s="3161">
        <f>名簿入力!M143</f>
        <v>0</v>
      </c>
      <c r="M194" s="3169"/>
      <c r="N194" s="3165">
        <f>名簿入力!O143</f>
        <v>0</v>
      </c>
      <c r="O194" s="3165">
        <f>名簿入力!P143</f>
        <v>0</v>
      </c>
      <c r="P194" s="3167">
        <f>名簿入力!Q143</f>
        <v>0</v>
      </c>
      <c r="Q194" s="3161">
        <f>名簿入力!R143</f>
        <v>0</v>
      </c>
      <c r="R194" s="3162"/>
      <c r="S194" s="3165">
        <f>名簿入力!T143</f>
        <v>0</v>
      </c>
      <c r="T194" s="3165">
        <f>名簿入力!U143</f>
        <v>0</v>
      </c>
      <c r="U194" s="3167">
        <f>名簿入力!V143</f>
        <v>0</v>
      </c>
      <c r="V194" s="3161">
        <f>名簿入力!W143</f>
        <v>0</v>
      </c>
      <c r="W194" s="3162"/>
      <c r="X194" s="3165">
        <f>名簿入力!Y143</f>
        <v>0</v>
      </c>
      <c r="Y194" s="3165">
        <f>名簿入力!Z143</f>
        <v>0</v>
      </c>
      <c r="Z194" s="3167">
        <f>名簿入力!AA143</f>
        <v>0</v>
      </c>
      <c r="AA194" s="3161">
        <f>名簿入力!AB143</f>
        <v>0</v>
      </c>
      <c r="AB194" s="3162"/>
      <c r="AC194" s="3165">
        <f>名簿入力!AD143</f>
        <v>0</v>
      </c>
      <c r="AD194" s="3165">
        <f>名簿入力!AE143</f>
        <v>0</v>
      </c>
      <c r="AE194" s="3167">
        <f>名簿入力!AF143</f>
        <v>0</v>
      </c>
      <c r="AF194" s="3161">
        <f>名簿入力!AG143</f>
        <v>0</v>
      </c>
      <c r="AG194" s="3162"/>
      <c r="AH194" s="3165">
        <f>名簿入力!AI143</f>
        <v>0</v>
      </c>
      <c r="AI194" s="3165">
        <f>名簿入力!AJ143</f>
        <v>0</v>
      </c>
      <c r="AJ194" s="3175">
        <f>名簿入力!AK143</f>
        <v>0</v>
      </c>
      <c r="AK194" s="3176"/>
      <c r="AL194" s="3176"/>
      <c r="AM194" s="3176"/>
      <c r="AN194" s="3176"/>
      <c r="AO194" s="3177"/>
      <c r="AP194" s="3137">
        <f>名簿入力!AO143</f>
        <v>0</v>
      </c>
      <c r="AQ194" s="3138"/>
      <c r="AR194" s="3138"/>
      <c r="AS194" s="3138"/>
      <c r="AT194" s="3139"/>
      <c r="AU194" s="113"/>
    </row>
    <row r="195" spans="2:47" ht="15" customHeight="1" x14ac:dyDescent="0.15">
      <c r="B195" s="3181"/>
      <c r="C195" s="3182"/>
      <c r="D195" s="3183"/>
      <c r="E195" s="3184"/>
      <c r="F195" s="3185"/>
      <c r="G195" s="3186"/>
      <c r="H195" s="3173"/>
      <c r="I195" s="3174"/>
      <c r="J195" s="3171"/>
      <c r="K195" s="3172"/>
      <c r="L195" s="3173"/>
      <c r="M195" s="3187"/>
      <c r="N195" s="3171"/>
      <c r="O195" s="3171"/>
      <c r="P195" s="3172"/>
      <c r="Q195" s="3173"/>
      <c r="R195" s="3174"/>
      <c r="S195" s="3171"/>
      <c r="T195" s="3171"/>
      <c r="U195" s="3172"/>
      <c r="V195" s="3173"/>
      <c r="W195" s="3174"/>
      <c r="X195" s="3171"/>
      <c r="Y195" s="3171"/>
      <c r="Z195" s="3172"/>
      <c r="AA195" s="3173"/>
      <c r="AB195" s="3174"/>
      <c r="AC195" s="3171"/>
      <c r="AD195" s="3171"/>
      <c r="AE195" s="3172"/>
      <c r="AF195" s="3173"/>
      <c r="AG195" s="3174"/>
      <c r="AH195" s="3171"/>
      <c r="AI195" s="3171"/>
      <c r="AJ195" s="3146">
        <f>名簿入力!AK144</f>
        <v>0</v>
      </c>
      <c r="AK195" s="3147"/>
      <c r="AL195" s="3147"/>
      <c r="AM195" s="3147"/>
      <c r="AN195" s="3147"/>
      <c r="AO195" s="3148"/>
      <c r="AP195" s="3178"/>
      <c r="AQ195" s="3179"/>
      <c r="AR195" s="3179"/>
      <c r="AS195" s="3179"/>
      <c r="AT195" s="3180"/>
      <c r="AU195" s="113"/>
    </row>
    <row r="196" spans="2:47" ht="15" customHeight="1" x14ac:dyDescent="0.15">
      <c r="B196" s="3149">
        <v>66</v>
      </c>
      <c r="C196" s="3151">
        <f>名簿入力!D145</f>
        <v>0</v>
      </c>
      <c r="D196" s="3152"/>
      <c r="E196" s="3155">
        <f>名簿入力!E145</f>
        <v>0</v>
      </c>
      <c r="F196" s="3157">
        <f>名簿入力!G145</f>
        <v>0</v>
      </c>
      <c r="G196" s="3159">
        <f>名簿入力!H145</f>
        <v>0</v>
      </c>
      <c r="H196" s="3161">
        <f>名簿入力!I145</f>
        <v>0</v>
      </c>
      <c r="I196" s="3162"/>
      <c r="J196" s="3165">
        <f>名簿入力!K145</f>
        <v>0</v>
      </c>
      <c r="K196" s="3167">
        <f>名簿入力!L145</f>
        <v>0</v>
      </c>
      <c r="L196" s="3161">
        <f>名簿入力!M145</f>
        <v>0</v>
      </c>
      <c r="M196" s="3169"/>
      <c r="N196" s="3165">
        <f>名簿入力!O145</f>
        <v>0</v>
      </c>
      <c r="O196" s="3165">
        <f>名簿入力!P145</f>
        <v>0</v>
      </c>
      <c r="P196" s="3167">
        <f>名簿入力!Q145</f>
        <v>0</v>
      </c>
      <c r="Q196" s="3161">
        <f>名簿入力!R145</f>
        <v>0</v>
      </c>
      <c r="R196" s="3162"/>
      <c r="S196" s="3165">
        <f>名簿入力!T145</f>
        <v>0</v>
      </c>
      <c r="T196" s="3165">
        <f>名簿入力!U145</f>
        <v>0</v>
      </c>
      <c r="U196" s="3167">
        <f>名簿入力!V145</f>
        <v>0</v>
      </c>
      <c r="V196" s="3161">
        <f>名簿入力!W145</f>
        <v>0</v>
      </c>
      <c r="W196" s="3162"/>
      <c r="X196" s="3165">
        <f>名簿入力!Y145</f>
        <v>0</v>
      </c>
      <c r="Y196" s="3165">
        <f>名簿入力!Z145</f>
        <v>0</v>
      </c>
      <c r="Z196" s="3167">
        <f>名簿入力!AA145</f>
        <v>0</v>
      </c>
      <c r="AA196" s="3161">
        <f>名簿入力!AB145</f>
        <v>0</v>
      </c>
      <c r="AB196" s="3162"/>
      <c r="AC196" s="3165">
        <f>名簿入力!AD145</f>
        <v>0</v>
      </c>
      <c r="AD196" s="3165">
        <f>名簿入力!AE145</f>
        <v>0</v>
      </c>
      <c r="AE196" s="3167">
        <f>名簿入力!AF145</f>
        <v>0</v>
      </c>
      <c r="AF196" s="3161">
        <f>名簿入力!AG145</f>
        <v>0</v>
      </c>
      <c r="AG196" s="3162"/>
      <c r="AH196" s="3165">
        <f>名簿入力!AI145</f>
        <v>0</v>
      </c>
      <c r="AI196" s="3165">
        <f>名簿入力!AJ145</f>
        <v>0</v>
      </c>
      <c r="AJ196" s="3175">
        <f>名簿入力!AK145</f>
        <v>0</v>
      </c>
      <c r="AK196" s="3176"/>
      <c r="AL196" s="3176"/>
      <c r="AM196" s="3176"/>
      <c r="AN196" s="3176"/>
      <c r="AO196" s="3177"/>
      <c r="AP196" s="3137">
        <f>名簿入力!AO145</f>
        <v>0</v>
      </c>
      <c r="AQ196" s="3138"/>
      <c r="AR196" s="3138"/>
      <c r="AS196" s="3138"/>
      <c r="AT196" s="3139"/>
      <c r="AU196" s="113"/>
    </row>
    <row r="197" spans="2:47" ht="15" customHeight="1" x14ac:dyDescent="0.15">
      <c r="B197" s="3181"/>
      <c r="C197" s="3182"/>
      <c r="D197" s="3183"/>
      <c r="E197" s="3184"/>
      <c r="F197" s="3185"/>
      <c r="G197" s="3186"/>
      <c r="H197" s="3173"/>
      <c r="I197" s="3174"/>
      <c r="J197" s="3171"/>
      <c r="K197" s="3172"/>
      <c r="L197" s="3173"/>
      <c r="M197" s="3187"/>
      <c r="N197" s="3171"/>
      <c r="O197" s="3171"/>
      <c r="P197" s="3172"/>
      <c r="Q197" s="3173"/>
      <c r="R197" s="3174"/>
      <c r="S197" s="3171"/>
      <c r="T197" s="3171"/>
      <c r="U197" s="3172"/>
      <c r="V197" s="3173"/>
      <c r="W197" s="3174"/>
      <c r="X197" s="3171"/>
      <c r="Y197" s="3171"/>
      <c r="Z197" s="3172"/>
      <c r="AA197" s="3173"/>
      <c r="AB197" s="3174"/>
      <c r="AC197" s="3171"/>
      <c r="AD197" s="3171"/>
      <c r="AE197" s="3172"/>
      <c r="AF197" s="3173"/>
      <c r="AG197" s="3174"/>
      <c r="AH197" s="3171"/>
      <c r="AI197" s="3171"/>
      <c r="AJ197" s="3146">
        <f>名簿入力!AK146</f>
        <v>0</v>
      </c>
      <c r="AK197" s="3147"/>
      <c r="AL197" s="3147"/>
      <c r="AM197" s="3147"/>
      <c r="AN197" s="3147"/>
      <c r="AO197" s="3148"/>
      <c r="AP197" s="3178"/>
      <c r="AQ197" s="3179"/>
      <c r="AR197" s="3179"/>
      <c r="AS197" s="3179"/>
      <c r="AT197" s="3180"/>
      <c r="AU197" s="113"/>
    </row>
    <row r="198" spans="2:47" ht="15" customHeight="1" x14ac:dyDescent="0.15">
      <c r="B198" s="3149">
        <v>67</v>
      </c>
      <c r="C198" s="3151">
        <f>名簿入力!D147</f>
        <v>0</v>
      </c>
      <c r="D198" s="3152"/>
      <c r="E198" s="3155">
        <f>名簿入力!E147</f>
        <v>0</v>
      </c>
      <c r="F198" s="3157">
        <f>名簿入力!G147</f>
        <v>0</v>
      </c>
      <c r="G198" s="3159">
        <f>名簿入力!H147</f>
        <v>0</v>
      </c>
      <c r="H198" s="3161">
        <f>名簿入力!I147</f>
        <v>0</v>
      </c>
      <c r="I198" s="3162"/>
      <c r="J198" s="3165">
        <f>名簿入力!K147</f>
        <v>0</v>
      </c>
      <c r="K198" s="3167">
        <f>名簿入力!L147</f>
        <v>0</v>
      </c>
      <c r="L198" s="3161">
        <f>名簿入力!M147</f>
        <v>0</v>
      </c>
      <c r="M198" s="3169"/>
      <c r="N198" s="3165">
        <f>名簿入力!O147</f>
        <v>0</v>
      </c>
      <c r="O198" s="3165">
        <f>名簿入力!P147</f>
        <v>0</v>
      </c>
      <c r="P198" s="3167">
        <f>名簿入力!Q147</f>
        <v>0</v>
      </c>
      <c r="Q198" s="3161">
        <f>名簿入力!R147</f>
        <v>0</v>
      </c>
      <c r="R198" s="3162"/>
      <c r="S198" s="3165">
        <f>名簿入力!T147</f>
        <v>0</v>
      </c>
      <c r="T198" s="3165">
        <f>名簿入力!U147</f>
        <v>0</v>
      </c>
      <c r="U198" s="3167">
        <f>名簿入力!V147</f>
        <v>0</v>
      </c>
      <c r="V198" s="3161">
        <f>名簿入力!W147</f>
        <v>0</v>
      </c>
      <c r="W198" s="3162"/>
      <c r="X198" s="3165">
        <f>名簿入力!Y147</f>
        <v>0</v>
      </c>
      <c r="Y198" s="3165">
        <f>名簿入力!Z147</f>
        <v>0</v>
      </c>
      <c r="Z198" s="3167">
        <f>名簿入力!AA147</f>
        <v>0</v>
      </c>
      <c r="AA198" s="3161">
        <f>名簿入力!AB147</f>
        <v>0</v>
      </c>
      <c r="AB198" s="3162"/>
      <c r="AC198" s="3165">
        <f>名簿入力!AD147</f>
        <v>0</v>
      </c>
      <c r="AD198" s="3165">
        <f>名簿入力!AE147</f>
        <v>0</v>
      </c>
      <c r="AE198" s="3167">
        <f>名簿入力!AF147</f>
        <v>0</v>
      </c>
      <c r="AF198" s="3161">
        <f>名簿入力!AG147</f>
        <v>0</v>
      </c>
      <c r="AG198" s="3162"/>
      <c r="AH198" s="3165">
        <f>名簿入力!AI147</f>
        <v>0</v>
      </c>
      <c r="AI198" s="3165">
        <f>名簿入力!AJ147</f>
        <v>0</v>
      </c>
      <c r="AJ198" s="3175">
        <f>名簿入力!AK147</f>
        <v>0</v>
      </c>
      <c r="AK198" s="3176"/>
      <c r="AL198" s="3176"/>
      <c r="AM198" s="3176"/>
      <c r="AN198" s="3176"/>
      <c r="AO198" s="3177"/>
      <c r="AP198" s="3137">
        <f>名簿入力!AO147</f>
        <v>0</v>
      </c>
      <c r="AQ198" s="3138"/>
      <c r="AR198" s="3138"/>
      <c r="AS198" s="3138"/>
      <c r="AT198" s="3139"/>
      <c r="AU198" s="113"/>
    </row>
    <row r="199" spans="2:47" ht="15" customHeight="1" x14ac:dyDescent="0.15">
      <c r="B199" s="3181"/>
      <c r="C199" s="3182"/>
      <c r="D199" s="3183"/>
      <c r="E199" s="3184"/>
      <c r="F199" s="3185"/>
      <c r="G199" s="3186"/>
      <c r="H199" s="3173"/>
      <c r="I199" s="3174"/>
      <c r="J199" s="3171"/>
      <c r="K199" s="3172"/>
      <c r="L199" s="3173"/>
      <c r="M199" s="3187"/>
      <c r="N199" s="3171"/>
      <c r="O199" s="3171"/>
      <c r="P199" s="3172"/>
      <c r="Q199" s="3173"/>
      <c r="R199" s="3174"/>
      <c r="S199" s="3171"/>
      <c r="T199" s="3171"/>
      <c r="U199" s="3172"/>
      <c r="V199" s="3173"/>
      <c r="W199" s="3174"/>
      <c r="X199" s="3171"/>
      <c r="Y199" s="3171"/>
      <c r="Z199" s="3172"/>
      <c r="AA199" s="3173"/>
      <c r="AB199" s="3174"/>
      <c r="AC199" s="3171"/>
      <c r="AD199" s="3171"/>
      <c r="AE199" s="3172"/>
      <c r="AF199" s="3173"/>
      <c r="AG199" s="3174"/>
      <c r="AH199" s="3171"/>
      <c r="AI199" s="3171"/>
      <c r="AJ199" s="3146">
        <f>名簿入力!AK148</f>
        <v>0</v>
      </c>
      <c r="AK199" s="3147"/>
      <c r="AL199" s="3147"/>
      <c r="AM199" s="3147"/>
      <c r="AN199" s="3147"/>
      <c r="AO199" s="3148"/>
      <c r="AP199" s="3178"/>
      <c r="AQ199" s="3179"/>
      <c r="AR199" s="3179"/>
      <c r="AS199" s="3179"/>
      <c r="AT199" s="3180"/>
      <c r="AU199" s="113"/>
    </row>
    <row r="200" spans="2:47" ht="15" customHeight="1" x14ac:dyDescent="0.15">
      <c r="B200" s="3149">
        <v>68</v>
      </c>
      <c r="C200" s="3151">
        <f>名簿入力!D149</f>
        <v>0</v>
      </c>
      <c r="D200" s="3152"/>
      <c r="E200" s="3155">
        <f>名簿入力!E149</f>
        <v>0</v>
      </c>
      <c r="F200" s="3157">
        <f>名簿入力!G149</f>
        <v>0</v>
      </c>
      <c r="G200" s="3159">
        <f>名簿入力!H149</f>
        <v>0</v>
      </c>
      <c r="H200" s="3161">
        <f>名簿入力!I149</f>
        <v>0</v>
      </c>
      <c r="I200" s="3162"/>
      <c r="J200" s="3165">
        <f>名簿入力!K149</f>
        <v>0</v>
      </c>
      <c r="K200" s="3167">
        <f>名簿入力!L149</f>
        <v>0</v>
      </c>
      <c r="L200" s="3161">
        <f>名簿入力!M149</f>
        <v>0</v>
      </c>
      <c r="M200" s="3169"/>
      <c r="N200" s="3165">
        <f>名簿入力!O149</f>
        <v>0</v>
      </c>
      <c r="O200" s="3165">
        <f>名簿入力!P149</f>
        <v>0</v>
      </c>
      <c r="P200" s="3167">
        <f>名簿入力!Q149</f>
        <v>0</v>
      </c>
      <c r="Q200" s="3161">
        <f>名簿入力!R149</f>
        <v>0</v>
      </c>
      <c r="R200" s="3162"/>
      <c r="S200" s="3165">
        <f>名簿入力!T149</f>
        <v>0</v>
      </c>
      <c r="T200" s="3165">
        <f>名簿入力!U149</f>
        <v>0</v>
      </c>
      <c r="U200" s="3167">
        <f>名簿入力!V149</f>
        <v>0</v>
      </c>
      <c r="V200" s="3161">
        <f>名簿入力!W149</f>
        <v>0</v>
      </c>
      <c r="W200" s="3162"/>
      <c r="X200" s="3165">
        <f>名簿入力!Y149</f>
        <v>0</v>
      </c>
      <c r="Y200" s="3165">
        <f>名簿入力!Z149</f>
        <v>0</v>
      </c>
      <c r="Z200" s="3167">
        <f>名簿入力!AA149</f>
        <v>0</v>
      </c>
      <c r="AA200" s="3161">
        <f>名簿入力!AB149</f>
        <v>0</v>
      </c>
      <c r="AB200" s="3162"/>
      <c r="AC200" s="3165">
        <f>名簿入力!AD149</f>
        <v>0</v>
      </c>
      <c r="AD200" s="3165">
        <f>名簿入力!AE149</f>
        <v>0</v>
      </c>
      <c r="AE200" s="3167">
        <f>名簿入力!AF149</f>
        <v>0</v>
      </c>
      <c r="AF200" s="3161">
        <f>名簿入力!AG149</f>
        <v>0</v>
      </c>
      <c r="AG200" s="3162"/>
      <c r="AH200" s="3165">
        <f>名簿入力!AI149</f>
        <v>0</v>
      </c>
      <c r="AI200" s="3165">
        <f>名簿入力!AJ149</f>
        <v>0</v>
      </c>
      <c r="AJ200" s="3175">
        <f>名簿入力!AK149</f>
        <v>0</v>
      </c>
      <c r="AK200" s="3176"/>
      <c r="AL200" s="3176"/>
      <c r="AM200" s="3176"/>
      <c r="AN200" s="3176"/>
      <c r="AO200" s="3177"/>
      <c r="AP200" s="3137">
        <f>名簿入力!AO149</f>
        <v>0</v>
      </c>
      <c r="AQ200" s="3138"/>
      <c r="AR200" s="3138"/>
      <c r="AS200" s="3138"/>
      <c r="AT200" s="3139"/>
      <c r="AU200" s="113"/>
    </row>
    <row r="201" spans="2:47" ht="15" customHeight="1" x14ac:dyDescent="0.15">
      <c r="B201" s="3181"/>
      <c r="C201" s="3182"/>
      <c r="D201" s="3183"/>
      <c r="E201" s="3184"/>
      <c r="F201" s="3185"/>
      <c r="G201" s="3186"/>
      <c r="H201" s="3173"/>
      <c r="I201" s="3174"/>
      <c r="J201" s="3171"/>
      <c r="K201" s="3172"/>
      <c r="L201" s="3173"/>
      <c r="M201" s="3187"/>
      <c r="N201" s="3171"/>
      <c r="O201" s="3171"/>
      <c r="P201" s="3172"/>
      <c r="Q201" s="3173"/>
      <c r="R201" s="3174"/>
      <c r="S201" s="3171"/>
      <c r="T201" s="3171"/>
      <c r="U201" s="3172"/>
      <c r="V201" s="3173"/>
      <c r="W201" s="3174"/>
      <c r="X201" s="3171"/>
      <c r="Y201" s="3171"/>
      <c r="Z201" s="3172"/>
      <c r="AA201" s="3173"/>
      <c r="AB201" s="3174"/>
      <c r="AC201" s="3171"/>
      <c r="AD201" s="3171"/>
      <c r="AE201" s="3172"/>
      <c r="AF201" s="3173"/>
      <c r="AG201" s="3174"/>
      <c r="AH201" s="3171"/>
      <c r="AI201" s="3171"/>
      <c r="AJ201" s="3146">
        <f>名簿入力!AK150</f>
        <v>0</v>
      </c>
      <c r="AK201" s="3147"/>
      <c r="AL201" s="3147"/>
      <c r="AM201" s="3147"/>
      <c r="AN201" s="3147"/>
      <c r="AO201" s="3148"/>
      <c r="AP201" s="3178"/>
      <c r="AQ201" s="3179"/>
      <c r="AR201" s="3179"/>
      <c r="AS201" s="3179"/>
      <c r="AT201" s="3180"/>
      <c r="AU201" s="113"/>
    </row>
    <row r="202" spans="2:47" ht="15" customHeight="1" x14ac:dyDescent="0.15">
      <c r="B202" s="3149">
        <v>69</v>
      </c>
      <c r="C202" s="3151">
        <f>名簿入力!D151</f>
        <v>0</v>
      </c>
      <c r="D202" s="3152"/>
      <c r="E202" s="3155">
        <f>名簿入力!E151</f>
        <v>0</v>
      </c>
      <c r="F202" s="3157">
        <f>名簿入力!G151</f>
        <v>0</v>
      </c>
      <c r="G202" s="3159">
        <f>名簿入力!H151</f>
        <v>0</v>
      </c>
      <c r="H202" s="3161">
        <f>名簿入力!I151</f>
        <v>0</v>
      </c>
      <c r="I202" s="3162"/>
      <c r="J202" s="3165">
        <f>名簿入力!K151</f>
        <v>0</v>
      </c>
      <c r="K202" s="3167">
        <f>名簿入力!L151</f>
        <v>0</v>
      </c>
      <c r="L202" s="3161">
        <f>名簿入力!M151</f>
        <v>0</v>
      </c>
      <c r="M202" s="3169"/>
      <c r="N202" s="3165">
        <f>名簿入力!O151</f>
        <v>0</v>
      </c>
      <c r="O202" s="3165">
        <f>名簿入力!P151</f>
        <v>0</v>
      </c>
      <c r="P202" s="3167">
        <f>名簿入力!Q151</f>
        <v>0</v>
      </c>
      <c r="Q202" s="3161">
        <f>名簿入力!R151</f>
        <v>0</v>
      </c>
      <c r="R202" s="3162"/>
      <c r="S202" s="3165">
        <f>名簿入力!T151</f>
        <v>0</v>
      </c>
      <c r="T202" s="3165">
        <f>名簿入力!U151</f>
        <v>0</v>
      </c>
      <c r="U202" s="3167">
        <f>名簿入力!V151</f>
        <v>0</v>
      </c>
      <c r="V202" s="3161">
        <f>名簿入力!W151</f>
        <v>0</v>
      </c>
      <c r="W202" s="3162"/>
      <c r="X202" s="3165">
        <f>名簿入力!Y151</f>
        <v>0</v>
      </c>
      <c r="Y202" s="3165">
        <f>名簿入力!Z151</f>
        <v>0</v>
      </c>
      <c r="Z202" s="3167">
        <f>名簿入力!AA151</f>
        <v>0</v>
      </c>
      <c r="AA202" s="3161">
        <f>名簿入力!AB151</f>
        <v>0</v>
      </c>
      <c r="AB202" s="3162"/>
      <c r="AC202" s="3165">
        <f>名簿入力!AD151</f>
        <v>0</v>
      </c>
      <c r="AD202" s="3165">
        <f>名簿入力!AE151</f>
        <v>0</v>
      </c>
      <c r="AE202" s="3167">
        <f>名簿入力!AF151</f>
        <v>0</v>
      </c>
      <c r="AF202" s="3161">
        <f>名簿入力!AG151</f>
        <v>0</v>
      </c>
      <c r="AG202" s="3162"/>
      <c r="AH202" s="3165">
        <f>名簿入力!AI151</f>
        <v>0</v>
      </c>
      <c r="AI202" s="3165">
        <f>名簿入力!AJ151</f>
        <v>0</v>
      </c>
      <c r="AJ202" s="3175">
        <f>名簿入力!AK151</f>
        <v>0</v>
      </c>
      <c r="AK202" s="3176"/>
      <c r="AL202" s="3176"/>
      <c r="AM202" s="3176"/>
      <c r="AN202" s="3176"/>
      <c r="AO202" s="3177"/>
      <c r="AP202" s="3137">
        <f>名簿入力!AO151</f>
        <v>0</v>
      </c>
      <c r="AQ202" s="3138"/>
      <c r="AR202" s="3138"/>
      <c r="AS202" s="3138"/>
      <c r="AT202" s="3139"/>
      <c r="AU202" s="113"/>
    </row>
    <row r="203" spans="2:47" ht="15" customHeight="1" x14ac:dyDescent="0.15">
      <c r="B203" s="3181"/>
      <c r="C203" s="3182"/>
      <c r="D203" s="3183"/>
      <c r="E203" s="3184"/>
      <c r="F203" s="3185"/>
      <c r="G203" s="3186"/>
      <c r="H203" s="3173"/>
      <c r="I203" s="3174"/>
      <c r="J203" s="3171"/>
      <c r="K203" s="3172"/>
      <c r="L203" s="3173"/>
      <c r="M203" s="3187"/>
      <c r="N203" s="3171"/>
      <c r="O203" s="3171"/>
      <c r="P203" s="3172"/>
      <c r="Q203" s="3173"/>
      <c r="R203" s="3174"/>
      <c r="S203" s="3171"/>
      <c r="T203" s="3171"/>
      <c r="U203" s="3172"/>
      <c r="V203" s="3173"/>
      <c r="W203" s="3174"/>
      <c r="X203" s="3171"/>
      <c r="Y203" s="3171"/>
      <c r="Z203" s="3172"/>
      <c r="AA203" s="3173"/>
      <c r="AB203" s="3174"/>
      <c r="AC203" s="3171"/>
      <c r="AD203" s="3171"/>
      <c r="AE203" s="3172"/>
      <c r="AF203" s="3173"/>
      <c r="AG203" s="3174"/>
      <c r="AH203" s="3171"/>
      <c r="AI203" s="3171"/>
      <c r="AJ203" s="3146">
        <f>名簿入力!AK152</f>
        <v>0</v>
      </c>
      <c r="AK203" s="3147"/>
      <c r="AL203" s="3147"/>
      <c r="AM203" s="3147"/>
      <c r="AN203" s="3147"/>
      <c r="AO203" s="3148"/>
      <c r="AP203" s="3178"/>
      <c r="AQ203" s="3179"/>
      <c r="AR203" s="3179"/>
      <c r="AS203" s="3179"/>
      <c r="AT203" s="3180"/>
      <c r="AU203" s="113"/>
    </row>
    <row r="204" spans="2:47" ht="15" customHeight="1" x14ac:dyDescent="0.15">
      <c r="B204" s="3149">
        <v>70</v>
      </c>
      <c r="C204" s="3151">
        <f>名簿入力!D153</f>
        <v>0</v>
      </c>
      <c r="D204" s="3152"/>
      <c r="E204" s="3155">
        <f>名簿入力!E153</f>
        <v>0</v>
      </c>
      <c r="F204" s="3157">
        <f>名簿入力!G153</f>
        <v>0</v>
      </c>
      <c r="G204" s="3159">
        <f>名簿入力!H153</f>
        <v>0</v>
      </c>
      <c r="H204" s="3161">
        <f>名簿入力!I153</f>
        <v>0</v>
      </c>
      <c r="I204" s="3162"/>
      <c r="J204" s="3165">
        <f>名簿入力!K153</f>
        <v>0</v>
      </c>
      <c r="K204" s="3167">
        <f>名簿入力!L153</f>
        <v>0</v>
      </c>
      <c r="L204" s="3161">
        <f>名簿入力!M153</f>
        <v>0</v>
      </c>
      <c r="M204" s="3169"/>
      <c r="N204" s="3165">
        <f>名簿入力!O153</f>
        <v>0</v>
      </c>
      <c r="O204" s="3165">
        <f>名簿入力!P153</f>
        <v>0</v>
      </c>
      <c r="P204" s="3167">
        <f>名簿入力!Q153</f>
        <v>0</v>
      </c>
      <c r="Q204" s="3161">
        <f>名簿入力!R153</f>
        <v>0</v>
      </c>
      <c r="R204" s="3162"/>
      <c r="S204" s="3165">
        <f>名簿入力!T153</f>
        <v>0</v>
      </c>
      <c r="T204" s="3165">
        <f>名簿入力!U153</f>
        <v>0</v>
      </c>
      <c r="U204" s="3167">
        <f>名簿入力!V153</f>
        <v>0</v>
      </c>
      <c r="V204" s="3161">
        <f>名簿入力!W153</f>
        <v>0</v>
      </c>
      <c r="W204" s="3162"/>
      <c r="X204" s="3165">
        <f>名簿入力!Y153</f>
        <v>0</v>
      </c>
      <c r="Y204" s="3165">
        <f>名簿入力!Z153</f>
        <v>0</v>
      </c>
      <c r="Z204" s="3167">
        <f>名簿入力!AA153</f>
        <v>0</v>
      </c>
      <c r="AA204" s="3161">
        <f>名簿入力!AB153</f>
        <v>0</v>
      </c>
      <c r="AB204" s="3162"/>
      <c r="AC204" s="3165">
        <f>名簿入力!AD153</f>
        <v>0</v>
      </c>
      <c r="AD204" s="3165">
        <f>名簿入力!AE153</f>
        <v>0</v>
      </c>
      <c r="AE204" s="3167">
        <f>名簿入力!AF153</f>
        <v>0</v>
      </c>
      <c r="AF204" s="3161">
        <f>名簿入力!AG153</f>
        <v>0</v>
      </c>
      <c r="AG204" s="3162"/>
      <c r="AH204" s="3165">
        <f>名簿入力!AI153</f>
        <v>0</v>
      </c>
      <c r="AI204" s="3165">
        <f>名簿入力!AJ153</f>
        <v>0</v>
      </c>
      <c r="AJ204" s="3175">
        <f>名簿入力!AK153</f>
        <v>0</v>
      </c>
      <c r="AK204" s="3176"/>
      <c r="AL204" s="3176"/>
      <c r="AM204" s="3176"/>
      <c r="AN204" s="3176"/>
      <c r="AO204" s="3177"/>
      <c r="AP204" s="3137">
        <f>名簿入力!AO153</f>
        <v>0</v>
      </c>
      <c r="AQ204" s="3138"/>
      <c r="AR204" s="3138"/>
      <c r="AS204" s="3138"/>
      <c r="AT204" s="3139"/>
      <c r="AU204" s="113"/>
    </row>
    <row r="205" spans="2:47" ht="15" customHeight="1" x14ac:dyDescent="0.15">
      <c r="B205" s="3181"/>
      <c r="C205" s="3182"/>
      <c r="D205" s="3183"/>
      <c r="E205" s="3184"/>
      <c r="F205" s="3185"/>
      <c r="G205" s="3186"/>
      <c r="H205" s="3173"/>
      <c r="I205" s="3174"/>
      <c r="J205" s="3171"/>
      <c r="K205" s="3172"/>
      <c r="L205" s="3173"/>
      <c r="M205" s="3187"/>
      <c r="N205" s="3171"/>
      <c r="O205" s="3171"/>
      <c r="P205" s="3172"/>
      <c r="Q205" s="3173"/>
      <c r="R205" s="3174"/>
      <c r="S205" s="3171"/>
      <c r="T205" s="3171"/>
      <c r="U205" s="3172"/>
      <c r="V205" s="3173"/>
      <c r="W205" s="3174"/>
      <c r="X205" s="3171"/>
      <c r="Y205" s="3171"/>
      <c r="Z205" s="3172"/>
      <c r="AA205" s="3173"/>
      <c r="AB205" s="3174"/>
      <c r="AC205" s="3171"/>
      <c r="AD205" s="3171"/>
      <c r="AE205" s="3172"/>
      <c r="AF205" s="3173"/>
      <c r="AG205" s="3174"/>
      <c r="AH205" s="3171"/>
      <c r="AI205" s="3171"/>
      <c r="AJ205" s="3146">
        <f>名簿入力!AK154</f>
        <v>0</v>
      </c>
      <c r="AK205" s="3147"/>
      <c r="AL205" s="3147"/>
      <c r="AM205" s="3147"/>
      <c r="AN205" s="3147"/>
      <c r="AO205" s="3148"/>
      <c r="AP205" s="3178"/>
      <c r="AQ205" s="3179"/>
      <c r="AR205" s="3179"/>
      <c r="AS205" s="3179"/>
      <c r="AT205" s="3180"/>
      <c r="AU205" s="113"/>
    </row>
    <row r="206" spans="2:47" ht="15" customHeight="1" x14ac:dyDescent="0.15">
      <c r="B206" s="3149">
        <v>71</v>
      </c>
      <c r="C206" s="3151">
        <f>名簿入力!D155</f>
        <v>0</v>
      </c>
      <c r="D206" s="3152"/>
      <c r="E206" s="3155">
        <f>名簿入力!E155</f>
        <v>0</v>
      </c>
      <c r="F206" s="3157">
        <f>名簿入力!G155</f>
        <v>0</v>
      </c>
      <c r="G206" s="3159">
        <f>名簿入力!H155</f>
        <v>0</v>
      </c>
      <c r="H206" s="3161">
        <f>名簿入力!I155</f>
        <v>0</v>
      </c>
      <c r="I206" s="3162"/>
      <c r="J206" s="3165">
        <f>名簿入力!K155</f>
        <v>0</v>
      </c>
      <c r="K206" s="3167">
        <f>名簿入力!L155</f>
        <v>0</v>
      </c>
      <c r="L206" s="3161">
        <f>名簿入力!M155</f>
        <v>0</v>
      </c>
      <c r="M206" s="3169"/>
      <c r="N206" s="3165">
        <f>名簿入力!O155</f>
        <v>0</v>
      </c>
      <c r="O206" s="3165">
        <f>名簿入力!P155</f>
        <v>0</v>
      </c>
      <c r="P206" s="3167">
        <f>名簿入力!Q155</f>
        <v>0</v>
      </c>
      <c r="Q206" s="3161">
        <f>名簿入力!R155</f>
        <v>0</v>
      </c>
      <c r="R206" s="3162"/>
      <c r="S206" s="3165">
        <f>名簿入力!T155</f>
        <v>0</v>
      </c>
      <c r="T206" s="3165">
        <f>名簿入力!U155</f>
        <v>0</v>
      </c>
      <c r="U206" s="3167">
        <f>名簿入力!V155</f>
        <v>0</v>
      </c>
      <c r="V206" s="3161">
        <f>名簿入力!W155</f>
        <v>0</v>
      </c>
      <c r="W206" s="3162"/>
      <c r="X206" s="3165">
        <f>名簿入力!Y155</f>
        <v>0</v>
      </c>
      <c r="Y206" s="3165">
        <f>名簿入力!Z155</f>
        <v>0</v>
      </c>
      <c r="Z206" s="3167">
        <f>名簿入力!AA155</f>
        <v>0</v>
      </c>
      <c r="AA206" s="3161">
        <f>名簿入力!AB155</f>
        <v>0</v>
      </c>
      <c r="AB206" s="3162"/>
      <c r="AC206" s="3165">
        <f>名簿入力!AD155</f>
        <v>0</v>
      </c>
      <c r="AD206" s="3165">
        <f>名簿入力!AE155</f>
        <v>0</v>
      </c>
      <c r="AE206" s="3167">
        <f>名簿入力!AF155</f>
        <v>0</v>
      </c>
      <c r="AF206" s="3161">
        <f>名簿入力!AG155</f>
        <v>0</v>
      </c>
      <c r="AG206" s="3162"/>
      <c r="AH206" s="3165">
        <f>名簿入力!AI155</f>
        <v>0</v>
      </c>
      <c r="AI206" s="3165">
        <f>名簿入力!AJ155</f>
        <v>0</v>
      </c>
      <c r="AJ206" s="3175">
        <f>名簿入力!AK155</f>
        <v>0</v>
      </c>
      <c r="AK206" s="3176"/>
      <c r="AL206" s="3176"/>
      <c r="AM206" s="3176"/>
      <c r="AN206" s="3176"/>
      <c r="AO206" s="3177"/>
      <c r="AP206" s="3137">
        <f>名簿入力!AO155</f>
        <v>0</v>
      </c>
      <c r="AQ206" s="3138"/>
      <c r="AR206" s="3138"/>
      <c r="AS206" s="3138"/>
      <c r="AT206" s="3139"/>
      <c r="AU206" s="113"/>
    </row>
    <row r="207" spans="2:47" ht="15" customHeight="1" x14ac:dyDescent="0.15">
      <c r="B207" s="3181"/>
      <c r="C207" s="3182"/>
      <c r="D207" s="3183"/>
      <c r="E207" s="3184"/>
      <c r="F207" s="3185"/>
      <c r="G207" s="3186"/>
      <c r="H207" s="3173"/>
      <c r="I207" s="3174"/>
      <c r="J207" s="3171"/>
      <c r="K207" s="3172"/>
      <c r="L207" s="3173"/>
      <c r="M207" s="3187"/>
      <c r="N207" s="3171"/>
      <c r="O207" s="3171"/>
      <c r="P207" s="3172"/>
      <c r="Q207" s="3173"/>
      <c r="R207" s="3174"/>
      <c r="S207" s="3171"/>
      <c r="T207" s="3171"/>
      <c r="U207" s="3172"/>
      <c r="V207" s="3173"/>
      <c r="W207" s="3174"/>
      <c r="X207" s="3171"/>
      <c r="Y207" s="3171"/>
      <c r="Z207" s="3172"/>
      <c r="AA207" s="3173"/>
      <c r="AB207" s="3174"/>
      <c r="AC207" s="3171"/>
      <c r="AD207" s="3171"/>
      <c r="AE207" s="3172"/>
      <c r="AF207" s="3173"/>
      <c r="AG207" s="3174"/>
      <c r="AH207" s="3171"/>
      <c r="AI207" s="3171"/>
      <c r="AJ207" s="3146">
        <f>名簿入力!AK156</f>
        <v>0</v>
      </c>
      <c r="AK207" s="3147"/>
      <c r="AL207" s="3147"/>
      <c r="AM207" s="3147"/>
      <c r="AN207" s="3147"/>
      <c r="AO207" s="3148"/>
      <c r="AP207" s="3178"/>
      <c r="AQ207" s="3179"/>
      <c r="AR207" s="3179"/>
      <c r="AS207" s="3179"/>
      <c r="AT207" s="3180"/>
      <c r="AU207" s="113"/>
    </row>
    <row r="208" spans="2:47" ht="15" customHeight="1" x14ac:dyDescent="0.15">
      <c r="B208" s="3149">
        <v>72</v>
      </c>
      <c r="C208" s="3151">
        <f>名簿入力!D157</f>
        <v>0</v>
      </c>
      <c r="D208" s="3152"/>
      <c r="E208" s="3155">
        <f>名簿入力!E157</f>
        <v>0</v>
      </c>
      <c r="F208" s="3157">
        <f>名簿入力!G157</f>
        <v>0</v>
      </c>
      <c r="G208" s="3159">
        <f>名簿入力!H157</f>
        <v>0</v>
      </c>
      <c r="H208" s="3161">
        <f>名簿入力!I157</f>
        <v>0</v>
      </c>
      <c r="I208" s="3162"/>
      <c r="J208" s="3165">
        <f>名簿入力!K157</f>
        <v>0</v>
      </c>
      <c r="K208" s="3167">
        <f>名簿入力!L157</f>
        <v>0</v>
      </c>
      <c r="L208" s="3161">
        <f>名簿入力!M157</f>
        <v>0</v>
      </c>
      <c r="M208" s="3169"/>
      <c r="N208" s="3165">
        <f>名簿入力!O157</f>
        <v>0</v>
      </c>
      <c r="O208" s="3165">
        <f>名簿入力!P157</f>
        <v>0</v>
      </c>
      <c r="P208" s="3167">
        <f>名簿入力!Q157</f>
        <v>0</v>
      </c>
      <c r="Q208" s="3161">
        <f>名簿入力!R157</f>
        <v>0</v>
      </c>
      <c r="R208" s="3162"/>
      <c r="S208" s="3165">
        <f>名簿入力!T157</f>
        <v>0</v>
      </c>
      <c r="T208" s="3165">
        <f>名簿入力!U157</f>
        <v>0</v>
      </c>
      <c r="U208" s="3167">
        <f>名簿入力!V157</f>
        <v>0</v>
      </c>
      <c r="V208" s="3161">
        <f>名簿入力!W157</f>
        <v>0</v>
      </c>
      <c r="W208" s="3162"/>
      <c r="X208" s="3165">
        <f>名簿入力!Y157</f>
        <v>0</v>
      </c>
      <c r="Y208" s="3165">
        <f>名簿入力!Z157</f>
        <v>0</v>
      </c>
      <c r="Z208" s="3167">
        <f>名簿入力!AA157</f>
        <v>0</v>
      </c>
      <c r="AA208" s="3161">
        <f>名簿入力!AB157</f>
        <v>0</v>
      </c>
      <c r="AB208" s="3162"/>
      <c r="AC208" s="3165">
        <f>名簿入力!AD157</f>
        <v>0</v>
      </c>
      <c r="AD208" s="3165">
        <f>名簿入力!AE157</f>
        <v>0</v>
      </c>
      <c r="AE208" s="3167">
        <f>名簿入力!AF157</f>
        <v>0</v>
      </c>
      <c r="AF208" s="3161">
        <f>名簿入力!AG157</f>
        <v>0</v>
      </c>
      <c r="AG208" s="3162"/>
      <c r="AH208" s="3165">
        <f>名簿入力!AI157</f>
        <v>0</v>
      </c>
      <c r="AI208" s="3165">
        <f>名簿入力!AJ157</f>
        <v>0</v>
      </c>
      <c r="AJ208" s="3175">
        <f>名簿入力!AK157</f>
        <v>0</v>
      </c>
      <c r="AK208" s="3176"/>
      <c r="AL208" s="3176"/>
      <c r="AM208" s="3176"/>
      <c r="AN208" s="3176"/>
      <c r="AO208" s="3177"/>
      <c r="AP208" s="3137">
        <f>名簿入力!AO157</f>
        <v>0</v>
      </c>
      <c r="AQ208" s="3138"/>
      <c r="AR208" s="3138"/>
      <c r="AS208" s="3138"/>
      <c r="AT208" s="3139"/>
      <c r="AU208" s="113"/>
    </row>
    <row r="209" spans="2:50" ht="15" customHeight="1" x14ac:dyDescent="0.15">
      <c r="B209" s="3181"/>
      <c r="C209" s="3182"/>
      <c r="D209" s="3183"/>
      <c r="E209" s="3184"/>
      <c r="F209" s="3185"/>
      <c r="G209" s="3186"/>
      <c r="H209" s="3173"/>
      <c r="I209" s="3174"/>
      <c r="J209" s="3171"/>
      <c r="K209" s="3172"/>
      <c r="L209" s="3173"/>
      <c r="M209" s="3187"/>
      <c r="N209" s="3171"/>
      <c r="O209" s="3171"/>
      <c r="P209" s="3172"/>
      <c r="Q209" s="3173"/>
      <c r="R209" s="3174"/>
      <c r="S209" s="3171"/>
      <c r="T209" s="3171"/>
      <c r="U209" s="3172"/>
      <c r="V209" s="3173"/>
      <c r="W209" s="3174"/>
      <c r="X209" s="3171"/>
      <c r="Y209" s="3171"/>
      <c r="Z209" s="3172"/>
      <c r="AA209" s="3173"/>
      <c r="AB209" s="3174"/>
      <c r="AC209" s="3171"/>
      <c r="AD209" s="3171"/>
      <c r="AE209" s="3172"/>
      <c r="AF209" s="3173"/>
      <c r="AG209" s="3174"/>
      <c r="AH209" s="3171"/>
      <c r="AI209" s="3171"/>
      <c r="AJ209" s="3146">
        <f>名簿入力!AK158</f>
        <v>0</v>
      </c>
      <c r="AK209" s="3147"/>
      <c r="AL209" s="3147"/>
      <c r="AM209" s="3147"/>
      <c r="AN209" s="3147"/>
      <c r="AO209" s="3148"/>
      <c r="AP209" s="3178"/>
      <c r="AQ209" s="3179"/>
      <c r="AR209" s="3179"/>
      <c r="AS209" s="3179"/>
      <c r="AT209" s="3180"/>
      <c r="AU209" s="113"/>
    </row>
    <row r="210" spans="2:50" ht="15" customHeight="1" x14ac:dyDescent="0.15">
      <c r="B210" s="3149">
        <v>73</v>
      </c>
      <c r="C210" s="3151">
        <f>名簿入力!D159</f>
        <v>0</v>
      </c>
      <c r="D210" s="3152"/>
      <c r="E210" s="3155">
        <f>名簿入力!E159</f>
        <v>0</v>
      </c>
      <c r="F210" s="3157">
        <f>名簿入力!G159</f>
        <v>0</v>
      </c>
      <c r="G210" s="3159">
        <f>名簿入力!H159</f>
        <v>0</v>
      </c>
      <c r="H210" s="3161">
        <f>名簿入力!I159</f>
        <v>0</v>
      </c>
      <c r="I210" s="3162"/>
      <c r="J210" s="3165">
        <f>名簿入力!K159</f>
        <v>0</v>
      </c>
      <c r="K210" s="3167">
        <f>名簿入力!L159</f>
        <v>0</v>
      </c>
      <c r="L210" s="3161">
        <f>名簿入力!M159</f>
        <v>0</v>
      </c>
      <c r="M210" s="3169"/>
      <c r="N210" s="3165">
        <f>名簿入力!O159</f>
        <v>0</v>
      </c>
      <c r="O210" s="3165">
        <f>名簿入力!P159</f>
        <v>0</v>
      </c>
      <c r="P210" s="3167">
        <f>名簿入力!Q159</f>
        <v>0</v>
      </c>
      <c r="Q210" s="3161">
        <f>名簿入力!R159</f>
        <v>0</v>
      </c>
      <c r="R210" s="3162"/>
      <c r="S210" s="3165">
        <f>名簿入力!T159</f>
        <v>0</v>
      </c>
      <c r="T210" s="3165">
        <f>名簿入力!U159</f>
        <v>0</v>
      </c>
      <c r="U210" s="3167">
        <f>名簿入力!V159</f>
        <v>0</v>
      </c>
      <c r="V210" s="3161">
        <f>名簿入力!W159</f>
        <v>0</v>
      </c>
      <c r="W210" s="3162"/>
      <c r="X210" s="3165">
        <f>名簿入力!Y159</f>
        <v>0</v>
      </c>
      <c r="Y210" s="3165">
        <f>名簿入力!Z159</f>
        <v>0</v>
      </c>
      <c r="Z210" s="3167">
        <f>名簿入力!AA159</f>
        <v>0</v>
      </c>
      <c r="AA210" s="3161">
        <f>名簿入力!AB159</f>
        <v>0</v>
      </c>
      <c r="AB210" s="3162"/>
      <c r="AC210" s="3165">
        <f>名簿入力!AD159</f>
        <v>0</v>
      </c>
      <c r="AD210" s="3165">
        <f>名簿入力!AE159</f>
        <v>0</v>
      </c>
      <c r="AE210" s="3167">
        <f>名簿入力!AF159</f>
        <v>0</v>
      </c>
      <c r="AF210" s="3161">
        <f>名簿入力!AG159</f>
        <v>0</v>
      </c>
      <c r="AG210" s="3162"/>
      <c r="AH210" s="3165">
        <f>名簿入力!AI159</f>
        <v>0</v>
      </c>
      <c r="AI210" s="3165">
        <f>名簿入力!AJ159</f>
        <v>0</v>
      </c>
      <c r="AJ210" s="3175">
        <f>名簿入力!AK159</f>
        <v>0</v>
      </c>
      <c r="AK210" s="3176"/>
      <c r="AL210" s="3176"/>
      <c r="AM210" s="3176"/>
      <c r="AN210" s="3176"/>
      <c r="AO210" s="3177"/>
      <c r="AP210" s="3137">
        <f>名簿入力!AO159</f>
        <v>0</v>
      </c>
      <c r="AQ210" s="3138"/>
      <c r="AR210" s="3138"/>
      <c r="AS210" s="3138"/>
      <c r="AT210" s="3139"/>
      <c r="AU210" s="113"/>
    </row>
    <row r="211" spans="2:50" ht="15" customHeight="1" x14ac:dyDescent="0.15">
      <c r="B211" s="3181"/>
      <c r="C211" s="3182"/>
      <c r="D211" s="3183"/>
      <c r="E211" s="3184"/>
      <c r="F211" s="3185"/>
      <c r="G211" s="3186"/>
      <c r="H211" s="3173"/>
      <c r="I211" s="3174"/>
      <c r="J211" s="3171"/>
      <c r="K211" s="3172"/>
      <c r="L211" s="3173"/>
      <c r="M211" s="3187"/>
      <c r="N211" s="3171"/>
      <c r="O211" s="3171"/>
      <c r="P211" s="3172"/>
      <c r="Q211" s="3173"/>
      <c r="R211" s="3174"/>
      <c r="S211" s="3171"/>
      <c r="T211" s="3171"/>
      <c r="U211" s="3172"/>
      <c r="V211" s="3173"/>
      <c r="W211" s="3174"/>
      <c r="X211" s="3171"/>
      <c r="Y211" s="3171"/>
      <c r="Z211" s="3172"/>
      <c r="AA211" s="3173"/>
      <c r="AB211" s="3174"/>
      <c r="AC211" s="3171"/>
      <c r="AD211" s="3171"/>
      <c r="AE211" s="3172"/>
      <c r="AF211" s="3173"/>
      <c r="AG211" s="3174"/>
      <c r="AH211" s="3171"/>
      <c r="AI211" s="3171"/>
      <c r="AJ211" s="3146">
        <f>名簿入力!AK160</f>
        <v>0</v>
      </c>
      <c r="AK211" s="3147"/>
      <c r="AL211" s="3147"/>
      <c r="AM211" s="3147"/>
      <c r="AN211" s="3147"/>
      <c r="AO211" s="3148"/>
      <c r="AP211" s="3178"/>
      <c r="AQ211" s="3179"/>
      <c r="AR211" s="3179"/>
      <c r="AS211" s="3179"/>
      <c r="AT211" s="3180"/>
      <c r="AU211" s="113"/>
    </row>
    <row r="212" spans="2:50" ht="15" customHeight="1" x14ac:dyDescent="0.15">
      <c r="B212" s="3149">
        <v>74</v>
      </c>
      <c r="C212" s="3151">
        <f>名簿入力!D161</f>
        <v>0</v>
      </c>
      <c r="D212" s="3152"/>
      <c r="E212" s="3155">
        <f>名簿入力!E161</f>
        <v>0</v>
      </c>
      <c r="F212" s="3157">
        <f>名簿入力!G161</f>
        <v>0</v>
      </c>
      <c r="G212" s="3159">
        <f>名簿入力!H161</f>
        <v>0</v>
      </c>
      <c r="H212" s="3161">
        <f>名簿入力!I161</f>
        <v>0</v>
      </c>
      <c r="I212" s="3162"/>
      <c r="J212" s="3165">
        <f>名簿入力!K161</f>
        <v>0</v>
      </c>
      <c r="K212" s="3167">
        <f>名簿入力!L161</f>
        <v>0</v>
      </c>
      <c r="L212" s="3161">
        <f>名簿入力!M161</f>
        <v>0</v>
      </c>
      <c r="M212" s="3169"/>
      <c r="N212" s="3165">
        <f>名簿入力!O161</f>
        <v>0</v>
      </c>
      <c r="O212" s="3165">
        <f>名簿入力!P161</f>
        <v>0</v>
      </c>
      <c r="P212" s="3167">
        <f>名簿入力!Q161</f>
        <v>0</v>
      </c>
      <c r="Q212" s="3161">
        <f>名簿入力!R161</f>
        <v>0</v>
      </c>
      <c r="R212" s="3162"/>
      <c r="S212" s="3165">
        <f>名簿入力!T161</f>
        <v>0</v>
      </c>
      <c r="T212" s="3165">
        <f>名簿入力!U161</f>
        <v>0</v>
      </c>
      <c r="U212" s="3167">
        <f>名簿入力!V161</f>
        <v>0</v>
      </c>
      <c r="V212" s="3161">
        <f>名簿入力!W161</f>
        <v>0</v>
      </c>
      <c r="W212" s="3162"/>
      <c r="X212" s="3165">
        <f>名簿入力!Y161</f>
        <v>0</v>
      </c>
      <c r="Y212" s="3165">
        <f>名簿入力!Z161</f>
        <v>0</v>
      </c>
      <c r="Z212" s="3167">
        <f>名簿入力!AA161</f>
        <v>0</v>
      </c>
      <c r="AA212" s="3161">
        <f>名簿入力!AB161</f>
        <v>0</v>
      </c>
      <c r="AB212" s="3162"/>
      <c r="AC212" s="3165">
        <f>名簿入力!AD161</f>
        <v>0</v>
      </c>
      <c r="AD212" s="3165">
        <f>名簿入力!AE161</f>
        <v>0</v>
      </c>
      <c r="AE212" s="3167">
        <f>名簿入力!AF161</f>
        <v>0</v>
      </c>
      <c r="AF212" s="3161">
        <f>名簿入力!AG161</f>
        <v>0</v>
      </c>
      <c r="AG212" s="3162"/>
      <c r="AH212" s="3165">
        <f>名簿入力!AI161</f>
        <v>0</v>
      </c>
      <c r="AI212" s="3165">
        <f>名簿入力!AJ161</f>
        <v>0</v>
      </c>
      <c r="AJ212" s="3175">
        <f>名簿入力!AK161</f>
        <v>0</v>
      </c>
      <c r="AK212" s="3176"/>
      <c r="AL212" s="3176"/>
      <c r="AM212" s="3176"/>
      <c r="AN212" s="3176"/>
      <c r="AO212" s="3177"/>
      <c r="AP212" s="3137">
        <f>名簿入力!AO161</f>
        <v>0</v>
      </c>
      <c r="AQ212" s="3138"/>
      <c r="AR212" s="3138"/>
      <c r="AS212" s="3138"/>
      <c r="AT212" s="3139"/>
      <c r="AU212" s="113"/>
    </row>
    <row r="213" spans="2:50" ht="15" customHeight="1" x14ac:dyDescent="0.15">
      <c r="B213" s="3181"/>
      <c r="C213" s="3182"/>
      <c r="D213" s="3183"/>
      <c r="E213" s="3184"/>
      <c r="F213" s="3185"/>
      <c r="G213" s="3186"/>
      <c r="H213" s="3173"/>
      <c r="I213" s="3174"/>
      <c r="J213" s="3171"/>
      <c r="K213" s="3172"/>
      <c r="L213" s="3173"/>
      <c r="M213" s="3187"/>
      <c r="N213" s="3171"/>
      <c r="O213" s="3171"/>
      <c r="P213" s="3172"/>
      <c r="Q213" s="3173"/>
      <c r="R213" s="3174"/>
      <c r="S213" s="3171"/>
      <c r="T213" s="3171"/>
      <c r="U213" s="3172"/>
      <c r="V213" s="3173"/>
      <c r="W213" s="3174"/>
      <c r="X213" s="3171"/>
      <c r="Y213" s="3171"/>
      <c r="Z213" s="3172"/>
      <c r="AA213" s="3173"/>
      <c r="AB213" s="3174"/>
      <c r="AC213" s="3171"/>
      <c r="AD213" s="3171"/>
      <c r="AE213" s="3172"/>
      <c r="AF213" s="3173"/>
      <c r="AG213" s="3174"/>
      <c r="AH213" s="3171"/>
      <c r="AI213" s="3171"/>
      <c r="AJ213" s="3146">
        <f>名簿入力!AK162</f>
        <v>0</v>
      </c>
      <c r="AK213" s="3147"/>
      <c r="AL213" s="3147"/>
      <c r="AM213" s="3147"/>
      <c r="AN213" s="3147"/>
      <c r="AO213" s="3148"/>
      <c r="AP213" s="3178"/>
      <c r="AQ213" s="3179"/>
      <c r="AR213" s="3179"/>
      <c r="AS213" s="3179"/>
      <c r="AT213" s="3180"/>
      <c r="AU213" s="113"/>
    </row>
    <row r="214" spans="2:50" ht="15" customHeight="1" x14ac:dyDescent="0.15">
      <c r="B214" s="3149">
        <v>75</v>
      </c>
      <c r="C214" s="3151">
        <f>名簿入力!D163</f>
        <v>0</v>
      </c>
      <c r="D214" s="3152"/>
      <c r="E214" s="3155">
        <f>名簿入力!E163</f>
        <v>0</v>
      </c>
      <c r="F214" s="3157">
        <f>名簿入力!G163</f>
        <v>0</v>
      </c>
      <c r="G214" s="3159">
        <f>名簿入力!H163</f>
        <v>0</v>
      </c>
      <c r="H214" s="3161">
        <f>名簿入力!I163</f>
        <v>0</v>
      </c>
      <c r="I214" s="3162"/>
      <c r="J214" s="3165">
        <f>名簿入力!K163</f>
        <v>0</v>
      </c>
      <c r="K214" s="3167">
        <f>名簿入力!L163</f>
        <v>0</v>
      </c>
      <c r="L214" s="3161">
        <f>名簿入力!M163</f>
        <v>0</v>
      </c>
      <c r="M214" s="3169"/>
      <c r="N214" s="3165">
        <f>名簿入力!O163</f>
        <v>0</v>
      </c>
      <c r="O214" s="3165">
        <f>名簿入力!P163</f>
        <v>0</v>
      </c>
      <c r="P214" s="3167">
        <f>名簿入力!Q163</f>
        <v>0</v>
      </c>
      <c r="Q214" s="3161">
        <f>名簿入力!R163</f>
        <v>0</v>
      </c>
      <c r="R214" s="3162"/>
      <c r="S214" s="3165">
        <f>名簿入力!T163</f>
        <v>0</v>
      </c>
      <c r="T214" s="3165">
        <f>名簿入力!U163</f>
        <v>0</v>
      </c>
      <c r="U214" s="3167">
        <f>名簿入力!V163</f>
        <v>0</v>
      </c>
      <c r="V214" s="3161">
        <f>名簿入力!W163</f>
        <v>0</v>
      </c>
      <c r="W214" s="3162"/>
      <c r="X214" s="3165">
        <f>名簿入力!Y163</f>
        <v>0</v>
      </c>
      <c r="Y214" s="3165">
        <f>名簿入力!Z163</f>
        <v>0</v>
      </c>
      <c r="Z214" s="3167">
        <f>名簿入力!AA163</f>
        <v>0</v>
      </c>
      <c r="AA214" s="3161">
        <f>名簿入力!AB163</f>
        <v>0</v>
      </c>
      <c r="AB214" s="3162"/>
      <c r="AC214" s="3165">
        <f>名簿入力!AD163</f>
        <v>0</v>
      </c>
      <c r="AD214" s="3165">
        <f>名簿入力!AE163</f>
        <v>0</v>
      </c>
      <c r="AE214" s="3167">
        <f>名簿入力!AF163</f>
        <v>0</v>
      </c>
      <c r="AF214" s="3161">
        <f>名簿入力!AG163</f>
        <v>0</v>
      </c>
      <c r="AG214" s="3162"/>
      <c r="AH214" s="3165">
        <f>名簿入力!AI163</f>
        <v>0</v>
      </c>
      <c r="AI214" s="3165">
        <f>名簿入力!AJ163</f>
        <v>0</v>
      </c>
      <c r="AJ214" s="3175">
        <f>名簿入力!AK163</f>
        <v>0</v>
      </c>
      <c r="AK214" s="3176"/>
      <c r="AL214" s="3176"/>
      <c r="AM214" s="3176"/>
      <c r="AN214" s="3176"/>
      <c r="AO214" s="3177"/>
      <c r="AP214" s="3137">
        <f>名簿入力!AO163</f>
        <v>0</v>
      </c>
      <c r="AQ214" s="3138"/>
      <c r="AR214" s="3138"/>
      <c r="AS214" s="3138"/>
      <c r="AT214" s="3139"/>
      <c r="AU214" s="113"/>
    </row>
    <row r="215" spans="2:50" ht="15" customHeight="1" thickBot="1" x14ac:dyDescent="0.2">
      <c r="B215" s="3150"/>
      <c r="C215" s="3153"/>
      <c r="D215" s="3154"/>
      <c r="E215" s="3156"/>
      <c r="F215" s="3158"/>
      <c r="G215" s="3160"/>
      <c r="H215" s="3173"/>
      <c r="I215" s="3174"/>
      <c r="J215" s="3166"/>
      <c r="K215" s="3168"/>
      <c r="L215" s="3163"/>
      <c r="M215" s="3170"/>
      <c r="N215" s="3166"/>
      <c r="O215" s="3166"/>
      <c r="P215" s="3168"/>
      <c r="Q215" s="3163"/>
      <c r="R215" s="3164"/>
      <c r="S215" s="3166"/>
      <c r="T215" s="3166"/>
      <c r="U215" s="3168"/>
      <c r="V215" s="3163"/>
      <c r="W215" s="3164"/>
      <c r="X215" s="3166"/>
      <c r="Y215" s="3166"/>
      <c r="Z215" s="3168"/>
      <c r="AA215" s="3163"/>
      <c r="AB215" s="3164"/>
      <c r="AC215" s="3166"/>
      <c r="AD215" s="3166"/>
      <c r="AE215" s="3168"/>
      <c r="AF215" s="3163"/>
      <c r="AG215" s="3164"/>
      <c r="AH215" s="3166"/>
      <c r="AI215" s="3166"/>
      <c r="AJ215" s="3143">
        <f>名簿入力!AK164</f>
        <v>0</v>
      </c>
      <c r="AK215" s="3144"/>
      <c r="AL215" s="3144"/>
      <c r="AM215" s="3144"/>
      <c r="AN215" s="3144"/>
      <c r="AO215" s="3145"/>
      <c r="AP215" s="3140"/>
      <c r="AQ215" s="3141"/>
      <c r="AR215" s="3141"/>
      <c r="AS215" s="3141"/>
      <c r="AT215" s="3142"/>
      <c r="AU215" s="113"/>
    </row>
    <row r="216" spans="2:50" ht="46.5" customHeight="1" x14ac:dyDescent="0.15">
      <c r="B216" s="524"/>
      <c r="C216" s="525"/>
      <c r="D216" s="525"/>
      <c r="E216" s="526"/>
      <c r="F216" s="527"/>
      <c r="G216" s="527"/>
      <c r="H216" s="528"/>
      <c r="I216" s="528"/>
      <c r="J216" s="529"/>
      <c r="K216" s="529"/>
      <c r="L216" s="528"/>
      <c r="M216" s="528"/>
      <c r="N216" s="529"/>
      <c r="O216" s="529"/>
      <c r="P216" s="529"/>
      <c r="Q216" s="528"/>
      <c r="R216" s="528"/>
      <c r="S216" s="529"/>
      <c r="T216" s="529"/>
      <c r="U216" s="529"/>
      <c r="V216" s="528"/>
      <c r="W216" s="528"/>
      <c r="X216" s="529"/>
      <c r="Y216" s="529"/>
      <c r="Z216" s="529"/>
      <c r="AA216" s="528"/>
      <c r="AB216" s="528"/>
      <c r="AC216" s="529"/>
      <c r="AD216" s="529"/>
      <c r="AE216" s="529"/>
      <c r="AF216" s="528"/>
      <c r="AG216" s="1111"/>
      <c r="AH216" s="1112"/>
      <c r="AI216" s="1112"/>
      <c r="AJ216" s="1113"/>
      <c r="AK216" s="1113"/>
      <c r="AL216" s="1113"/>
      <c r="AM216" s="1113"/>
      <c r="AN216" s="1113"/>
      <c r="AO216" s="1113"/>
      <c r="AP216" s="1114"/>
      <c r="AQ216" s="1114"/>
      <c r="AR216" s="1114"/>
      <c r="AS216" s="1114"/>
      <c r="AT216" s="1114"/>
      <c r="AU216" s="113"/>
    </row>
    <row r="217" spans="2:50" ht="26.25" customHeight="1" x14ac:dyDescent="0.15">
      <c r="C217" s="3279" t="s">
        <v>282</v>
      </c>
      <c r="D217" s="3279"/>
      <c r="E217" s="3279"/>
      <c r="F217" s="3279"/>
      <c r="G217" s="3279"/>
      <c r="H217" s="3279"/>
      <c r="I217" s="3279"/>
      <c r="J217" s="3279"/>
      <c r="K217" s="3279"/>
      <c r="L217" s="3279"/>
      <c r="M217" s="3279"/>
      <c r="N217" s="3279"/>
      <c r="O217" s="3279"/>
      <c r="P217" s="3279"/>
      <c r="Q217" s="3279"/>
      <c r="R217" s="3279"/>
      <c r="S217" s="3279"/>
      <c r="T217" s="3279"/>
      <c r="U217" s="3279"/>
      <c r="V217" s="3279"/>
      <c r="W217" s="3279"/>
      <c r="X217" s="3279"/>
      <c r="Y217" s="3279"/>
      <c r="Z217" s="3279"/>
      <c r="AA217" s="1014"/>
      <c r="AB217" s="1014"/>
      <c r="AC217" s="1014"/>
      <c r="AD217" s="1014"/>
      <c r="AE217" s="1014"/>
      <c r="AF217" s="1014"/>
      <c r="AG217" s="1014"/>
      <c r="AH217" s="1014"/>
      <c r="AI217" s="1014"/>
      <c r="AJ217" s="1014"/>
      <c r="AK217" s="1014"/>
      <c r="AL217" s="1014"/>
      <c r="AM217" s="1014"/>
      <c r="AN217" s="1014"/>
      <c r="AP217" s="499"/>
      <c r="AQ217" s="3230" t="s">
        <v>175</v>
      </c>
      <c r="AR217" s="3230"/>
      <c r="AS217" s="3230">
        <v>6</v>
      </c>
      <c r="AT217" s="3230"/>
    </row>
    <row r="218" spans="2:50" ht="3.75" customHeight="1" thickBot="1" x14ac:dyDescent="0.2">
      <c r="B218" s="854"/>
      <c r="C218" s="854"/>
      <c r="D218" s="854"/>
      <c r="E218" s="854"/>
      <c r="F218" s="854"/>
      <c r="G218" s="854"/>
      <c r="H218" s="854"/>
      <c r="I218" s="854"/>
      <c r="J218" s="854"/>
      <c r="K218" s="854"/>
      <c r="L218" s="854"/>
      <c r="M218" s="854"/>
      <c r="N218" s="854"/>
      <c r="O218" s="854"/>
      <c r="P218" s="854"/>
      <c r="Q218" s="854"/>
      <c r="R218" s="854"/>
      <c r="S218" s="854"/>
      <c r="T218" s="854"/>
      <c r="U218" s="854"/>
      <c r="V218" s="854"/>
      <c r="W218" s="854"/>
      <c r="X218" s="854"/>
      <c r="Y218" s="854"/>
      <c r="Z218" s="854"/>
      <c r="AA218" s="854"/>
      <c r="AB218" s="854"/>
      <c r="AC218" s="854"/>
      <c r="AD218" s="854"/>
      <c r="AE218" s="854"/>
      <c r="AF218" s="854"/>
      <c r="AG218" s="854"/>
      <c r="AH218" s="854"/>
      <c r="AI218" s="854"/>
      <c r="AJ218" s="854"/>
      <c r="AK218" s="854"/>
      <c r="AL218" s="854"/>
      <c r="AM218" s="854"/>
      <c r="AN218" s="854"/>
      <c r="AP218" s="499"/>
      <c r="AQ218" s="855"/>
      <c r="AR218" s="855"/>
      <c r="AS218" s="855"/>
      <c r="AT218" s="855"/>
    </row>
    <row r="219" spans="2:50" ht="15" customHeight="1" x14ac:dyDescent="0.15">
      <c r="B219" s="3231" t="s">
        <v>174</v>
      </c>
      <c r="C219" s="3232"/>
      <c r="D219" s="3235" t="str">
        <f>$D$4</f>
        <v xml:space="preserve"> </v>
      </c>
      <c r="E219" s="3235"/>
      <c r="F219" s="3235"/>
      <c r="G219" s="3235"/>
      <c r="H219" s="3235"/>
      <c r="I219" s="3235"/>
      <c r="J219" s="3235"/>
      <c r="K219" s="3235"/>
      <c r="L219" s="3235"/>
      <c r="M219" s="3235"/>
      <c r="N219" s="3235"/>
      <c r="O219" s="3235"/>
      <c r="P219" s="3235"/>
      <c r="Q219" s="3235"/>
      <c r="R219" s="3235"/>
      <c r="S219" s="3235"/>
      <c r="T219" s="3235"/>
      <c r="U219" s="3235"/>
      <c r="V219" s="3235"/>
      <c r="W219" s="3235"/>
      <c r="X219" s="3235"/>
      <c r="Y219" s="3235"/>
      <c r="Z219" s="3236"/>
      <c r="AA219" s="502"/>
      <c r="AB219" s="503"/>
      <c r="AC219" s="497"/>
      <c r="AD219" s="497"/>
      <c r="AE219" s="497"/>
      <c r="AF219" s="48"/>
      <c r="AG219" s="48"/>
      <c r="AJ219" s="48"/>
      <c r="AK219" s="48"/>
    </row>
    <row r="220" spans="2:50" ht="22.5" customHeight="1" x14ac:dyDescent="0.15">
      <c r="B220" s="3233"/>
      <c r="C220" s="3234"/>
      <c r="D220" s="3237"/>
      <c r="E220" s="3237"/>
      <c r="F220" s="3237"/>
      <c r="G220" s="3237"/>
      <c r="H220" s="3237"/>
      <c r="I220" s="3237"/>
      <c r="J220" s="3237"/>
      <c r="K220" s="3237"/>
      <c r="L220" s="3237"/>
      <c r="M220" s="3237"/>
      <c r="N220" s="3237"/>
      <c r="O220" s="3237"/>
      <c r="P220" s="3237"/>
      <c r="Q220" s="3237"/>
      <c r="R220" s="3237"/>
      <c r="S220" s="3237"/>
      <c r="T220" s="3237"/>
      <c r="U220" s="3237"/>
      <c r="V220" s="3237"/>
      <c r="W220" s="3237"/>
      <c r="X220" s="3237"/>
      <c r="Y220" s="3237"/>
      <c r="Z220" s="3238"/>
      <c r="AA220" s="502"/>
      <c r="AB220" s="504"/>
      <c r="AC220" s="497"/>
      <c r="AD220" s="497"/>
      <c r="AE220" s="497"/>
      <c r="AF220" s="497"/>
      <c r="AG220" s="48"/>
      <c r="AJ220" s="48"/>
      <c r="AK220" s="48"/>
    </row>
    <row r="221" spans="2:50" ht="24.75" customHeight="1" thickBot="1" x14ac:dyDescent="0.2">
      <c r="B221" s="3239" t="s">
        <v>173</v>
      </c>
      <c r="C221" s="3240"/>
      <c r="D221" s="3241">
        <f>$D$6</f>
        <v>0</v>
      </c>
      <c r="E221" s="3241"/>
      <c r="F221" s="513" t="s">
        <v>60</v>
      </c>
      <c r="G221" s="3241">
        <f>$G$6</f>
        <v>0</v>
      </c>
      <c r="H221" s="3241"/>
      <c r="I221" s="514" t="s">
        <v>61</v>
      </c>
      <c r="J221" s="3241">
        <f>$J$6</f>
        <v>0</v>
      </c>
      <c r="K221" s="3241"/>
      <c r="L221" s="514" t="s">
        <v>62</v>
      </c>
      <c r="M221" s="515" t="s">
        <v>96</v>
      </c>
      <c r="N221" s="514" t="str">
        <f>$N$6</f>
        <v/>
      </c>
      <c r="O221" s="514" t="s">
        <v>104</v>
      </c>
      <c r="P221" s="3242" t="s">
        <v>110</v>
      </c>
      <c r="Q221" s="3242"/>
      <c r="R221" s="3243" t="str">
        <f>$R$6</f>
        <v/>
      </c>
      <c r="S221" s="3243"/>
      <c r="T221" s="514" t="s">
        <v>61</v>
      </c>
      <c r="U221" s="3244" t="str">
        <f>$U$6</f>
        <v/>
      </c>
      <c r="V221" s="3244"/>
      <c r="W221" s="514" t="s">
        <v>62</v>
      </c>
      <c r="X221" s="515" t="s">
        <v>96</v>
      </c>
      <c r="Y221" s="516" t="str">
        <f>$Y$6</f>
        <v/>
      </c>
      <c r="Z221" s="517" t="s">
        <v>104</v>
      </c>
      <c r="AA221" s="507"/>
      <c r="AB221" s="48"/>
      <c r="AF221" s="48"/>
      <c r="AG221" s="48"/>
      <c r="AJ221" s="48"/>
      <c r="AK221" s="48"/>
    </row>
    <row r="222" spans="2:50" ht="13.5" customHeight="1" thickBot="1" x14ac:dyDescent="0.2">
      <c r="B222" s="508"/>
      <c r="C222" s="508"/>
      <c r="D222" s="509"/>
      <c r="E222" s="509"/>
      <c r="F222" s="509"/>
      <c r="G222" s="509"/>
      <c r="H222" s="509"/>
      <c r="I222" s="509"/>
      <c r="J222" s="509"/>
      <c r="K222" s="509"/>
      <c r="L222" s="509"/>
      <c r="M222" s="509"/>
      <c r="N222" s="509"/>
      <c r="O222" s="509"/>
      <c r="P222" s="509"/>
      <c r="Q222" s="509"/>
      <c r="R222" s="509"/>
      <c r="S222" s="509"/>
      <c r="T222" s="509"/>
      <c r="U222" s="509"/>
      <c r="V222" s="509"/>
      <c r="W222" s="509"/>
      <c r="X222" s="510"/>
      <c r="Y222" s="510"/>
      <c r="Z222" s="510"/>
      <c r="AA222" s="511"/>
      <c r="AB222" s="48"/>
      <c r="AF222" s="48"/>
      <c r="AG222" s="48"/>
      <c r="AJ222" s="48"/>
      <c r="AK222" s="48"/>
    </row>
    <row r="223" spans="2:50" ht="15" customHeight="1" x14ac:dyDescent="0.15">
      <c r="B223" s="3200" t="s">
        <v>287</v>
      </c>
      <c r="C223" s="3203" t="s">
        <v>167</v>
      </c>
      <c r="D223" s="1959"/>
      <c r="E223" s="1962" t="s">
        <v>341</v>
      </c>
      <c r="F223" s="2097" t="s">
        <v>166</v>
      </c>
      <c r="G223" s="2098"/>
      <c r="H223" s="3245" t="s">
        <v>165</v>
      </c>
      <c r="I223" s="3246"/>
      <c r="J223" s="3246"/>
      <c r="K223" s="3247"/>
      <c r="L223" s="3245" t="s">
        <v>164</v>
      </c>
      <c r="M223" s="3246"/>
      <c r="N223" s="3246"/>
      <c r="O223" s="3246"/>
      <c r="P223" s="3247"/>
      <c r="Q223" s="3245" t="s">
        <v>163</v>
      </c>
      <c r="R223" s="3246"/>
      <c r="S223" s="3246"/>
      <c r="T223" s="3246"/>
      <c r="U223" s="3247"/>
      <c r="V223" s="3245" t="s">
        <v>249</v>
      </c>
      <c r="W223" s="3246"/>
      <c r="X223" s="3246"/>
      <c r="Y223" s="3246"/>
      <c r="Z223" s="3247"/>
      <c r="AA223" s="3245" t="s">
        <v>250</v>
      </c>
      <c r="AB223" s="3246"/>
      <c r="AC223" s="3246"/>
      <c r="AD223" s="3246"/>
      <c r="AE223" s="3247"/>
      <c r="AF223" s="3245" t="s">
        <v>251</v>
      </c>
      <c r="AG223" s="3246"/>
      <c r="AH223" s="3246"/>
      <c r="AI223" s="3246"/>
      <c r="AJ223" s="3248" t="s">
        <v>438</v>
      </c>
      <c r="AK223" s="3249"/>
      <c r="AL223" s="3249"/>
      <c r="AM223" s="3249"/>
      <c r="AN223" s="3249"/>
      <c r="AO223" s="3250"/>
      <c r="AP223" s="3248" t="s">
        <v>162</v>
      </c>
      <c r="AQ223" s="3249"/>
      <c r="AR223" s="3249"/>
      <c r="AS223" s="3249"/>
      <c r="AT223" s="3250"/>
      <c r="AU223" s="117"/>
      <c r="AW223" s="501"/>
      <c r="AX223" s="501"/>
    </row>
    <row r="224" spans="2:50" ht="26.25" customHeight="1" x14ac:dyDescent="0.15">
      <c r="B224" s="3201"/>
      <c r="C224" s="3204"/>
      <c r="D224" s="1960"/>
      <c r="E224" s="1963"/>
      <c r="F224" s="2099"/>
      <c r="G224" s="1972"/>
      <c r="H224" s="3251" t="str">
        <f>$H$9</f>
        <v/>
      </c>
      <c r="I224" s="3252"/>
      <c r="J224" s="3252"/>
      <c r="K224" s="3253"/>
      <c r="L224" s="3254" t="str">
        <f>$L$9</f>
        <v/>
      </c>
      <c r="M224" s="3255"/>
      <c r="N224" s="3255"/>
      <c r="O224" s="3255"/>
      <c r="P224" s="3256"/>
      <c r="Q224" s="3254" t="str">
        <f>$Q$9</f>
        <v/>
      </c>
      <c r="R224" s="3255"/>
      <c r="S224" s="3255"/>
      <c r="T224" s="3255"/>
      <c r="U224" s="3256"/>
      <c r="V224" s="3254" t="str">
        <f>$V$9</f>
        <v/>
      </c>
      <c r="W224" s="3255"/>
      <c r="X224" s="3255"/>
      <c r="Y224" s="3255"/>
      <c r="Z224" s="3256"/>
      <c r="AA224" s="3254" t="str">
        <f>$AA$9</f>
        <v/>
      </c>
      <c r="AB224" s="3255"/>
      <c r="AC224" s="3255"/>
      <c r="AD224" s="3255"/>
      <c r="AE224" s="3256"/>
      <c r="AF224" s="3254" t="str">
        <f>$AF$9</f>
        <v/>
      </c>
      <c r="AG224" s="3255"/>
      <c r="AH224" s="3255"/>
      <c r="AI224" s="3255"/>
      <c r="AJ224" s="3257" t="s">
        <v>441</v>
      </c>
      <c r="AK224" s="3258"/>
      <c r="AL224" s="3258"/>
      <c r="AM224" s="3258"/>
      <c r="AN224" s="3258"/>
      <c r="AO224" s="3259"/>
      <c r="AP224" s="3263" t="s">
        <v>442</v>
      </c>
      <c r="AQ224" s="3264"/>
      <c r="AR224" s="3264"/>
      <c r="AS224" s="3264"/>
      <c r="AT224" s="3265"/>
      <c r="AU224" s="116"/>
    </row>
    <row r="225" spans="2:47" ht="16.5" customHeight="1" x14ac:dyDescent="0.15">
      <c r="B225" s="3201"/>
      <c r="C225" s="3204"/>
      <c r="D225" s="1960"/>
      <c r="E225" s="1963"/>
      <c r="F225" s="3266" t="s">
        <v>78</v>
      </c>
      <c r="G225" s="3206" t="s">
        <v>79</v>
      </c>
      <c r="H225" s="1974" t="s">
        <v>176</v>
      </c>
      <c r="I225" s="3208"/>
      <c r="J225" s="3210" t="s">
        <v>161</v>
      </c>
      <c r="K225" s="3211"/>
      <c r="L225" s="1974" t="s">
        <v>176</v>
      </c>
      <c r="M225" s="3208"/>
      <c r="N225" s="3210" t="s">
        <v>160</v>
      </c>
      <c r="O225" s="3213"/>
      <c r="P225" s="3211"/>
      <c r="Q225" s="1974" t="s">
        <v>176</v>
      </c>
      <c r="R225" s="3208"/>
      <c r="S225" s="3210" t="s">
        <v>160</v>
      </c>
      <c r="T225" s="3213"/>
      <c r="U225" s="3211"/>
      <c r="V225" s="1974" t="s">
        <v>176</v>
      </c>
      <c r="W225" s="3208"/>
      <c r="X225" s="3210" t="s">
        <v>160</v>
      </c>
      <c r="Y225" s="3213"/>
      <c r="Z225" s="3211"/>
      <c r="AA225" s="1974" t="s">
        <v>176</v>
      </c>
      <c r="AB225" s="3208"/>
      <c r="AC225" s="3210" t="s">
        <v>160</v>
      </c>
      <c r="AD225" s="3213"/>
      <c r="AE225" s="3211"/>
      <c r="AF225" s="1974" t="s">
        <v>176</v>
      </c>
      <c r="AG225" s="3208"/>
      <c r="AH225" s="3210" t="s">
        <v>160</v>
      </c>
      <c r="AI225" s="3213"/>
      <c r="AJ225" s="3257"/>
      <c r="AK225" s="3258"/>
      <c r="AL225" s="3258"/>
      <c r="AM225" s="3258"/>
      <c r="AN225" s="3258"/>
      <c r="AO225" s="3259"/>
      <c r="AP225" s="3257"/>
      <c r="AQ225" s="3258"/>
      <c r="AR225" s="3258"/>
      <c r="AS225" s="3258"/>
      <c r="AT225" s="3259"/>
      <c r="AU225" s="115"/>
    </row>
    <row r="226" spans="2:47" ht="19.5" customHeight="1" thickBot="1" x14ac:dyDescent="0.2">
      <c r="B226" s="3202"/>
      <c r="C226" s="3205"/>
      <c r="D226" s="1961"/>
      <c r="E226" s="1964"/>
      <c r="F226" s="3267"/>
      <c r="G226" s="3207"/>
      <c r="H226" s="1978"/>
      <c r="I226" s="3209"/>
      <c r="J226" s="523" t="s">
        <v>153</v>
      </c>
      <c r="K226" s="522" t="s">
        <v>280</v>
      </c>
      <c r="L226" s="1978"/>
      <c r="M226" s="3212"/>
      <c r="N226" s="523" t="s">
        <v>154</v>
      </c>
      <c r="O226" s="523" t="s">
        <v>153</v>
      </c>
      <c r="P226" s="522" t="s">
        <v>280</v>
      </c>
      <c r="Q226" s="1978"/>
      <c r="R226" s="3209"/>
      <c r="S226" s="523" t="s">
        <v>154</v>
      </c>
      <c r="T226" s="523" t="s">
        <v>153</v>
      </c>
      <c r="U226" s="522" t="s">
        <v>280</v>
      </c>
      <c r="V226" s="1978"/>
      <c r="W226" s="3209"/>
      <c r="X226" s="523" t="s">
        <v>154</v>
      </c>
      <c r="Y226" s="523" t="s">
        <v>153</v>
      </c>
      <c r="Z226" s="522" t="s">
        <v>280</v>
      </c>
      <c r="AA226" s="1978"/>
      <c r="AB226" s="3209"/>
      <c r="AC226" s="523" t="s">
        <v>154</v>
      </c>
      <c r="AD226" s="523" t="s">
        <v>153</v>
      </c>
      <c r="AE226" s="522" t="s">
        <v>280</v>
      </c>
      <c r="AF226" s="1978"/>
      <c r="AG226" s="3209"/>
      <c r="AH226" s="523" t="s">
        <v>154</v>
      </c>
      <c r="AI226" s="523" t="s">
        <v>153</v>
      </c>
      <c r="AJ226" s="3260"/>
      <c r="AK226" s="3261"/>
      <c r="AL226" s="3261"/>
      <c r="AM226" s="3261"/>
      <c r="AN226" s="3261"/>
      <c r="AO226" s="3262"/>
      <c r="AP226" s="3260"/>
      <c r="AQ226" s="3261"/>
      <c r="AR226" s="3261"/>
      <c r="AS226" s="3261"/>
      <c r="AT226" s="3262"/>
      <c r="AU226" s="114"/>
    </row>
    <row r="227" spans="2:47" ht="15" customHeight="1" x14ac:dyDescent="0.15">
      <c r="B227" s="3214" t="s">
        <v>159</v>
      </c>
      <c r="C227" s="3216" t="s">
        <v>158</v>
      </c>
      <c r="D227" s="3217"/>
      <c r="E227" s="3220" t="s">
        <v>157</v>
      </c>
      <c r="F227" s="3222" t="s">
        <v>98</v>
      </c>
      <c r="G227" s="3224"/>
      <c r="H227" s="3190" t="s">
        <v>155</v>
      </c>
      <c r="I227" s="3191"/>
      <c r="J227" s="3194" t="s">
        <v>98</v>
      </c>
      <c r="K227" s="3188" t="s">
        <v>98</v>
      </c>
      <c r="L227" s="3190" t="s">
        <v>155</v>
      </c>
      <c r="M227" s="3226"/>
      <c r="N227" s="3194" t="s">
        <v>98</v>
      </c>
      <c r="O227" s="3194" t="s">
        <v>98</v>
      </c>
      <c r="P227" s="3188" t="s">
        <v>98</v>
      </c>
      <c r="Q227" s="2087" t="s">
        <v>414</v>
      </c>
      <c r="R227" s="3196"/>
      <c r="S227" s="3194" t="s">
        <v>98</v>
      </c>
      <c r="T227" s="3198"/>
      <c r="U227" s="3228"/>
      <c r="V227" s="3190"/>
      <c r="W227" s="3191"/>
      <c r="X227" s="3194"/>
      <c r="Y227" s="3194"/>
      <c r="Z227" s="3188"/>
      <c r="AA227" s="3190"/>
      <c r="AB227" s="3191"/>
      <c r="AC227" s="3194"/>
      <c r="AD227" s="3194"/>
      <c r="AE227" s="3188"/>
      <c r="AF227" s="2087"/>
      <c r="AG227" s="3196"/>
      <c r="AH227" s="3194"/>
      <c r="AI227" s="3198"/>
      <c r="AJ227" s="2032" t="s">
        <v>433</v>
      </c>
      <c r="AK227" s="2033"/>
      <c r="AL227" s="2033"/>
      <c r="AM227" s="2033"/>
      <c r="AN227" s="2033"/>
      <c r="AO227" s="2034"/>
      <c r="AP227" s="2026" t="s">
        <v>342</v>
      </c>
      <c r="AQ227" s="2027"/>
      <c r="AR227" s="2027"/>
      <c r="AS227" s="2027"/>
      <c r="AT227" s="2028"/>
      <c r="AU227" s="113"/>
    </row>
    <row r="228" spans="2:47" ht="15" customHeight="1" x14ac:dyDescent="0.15">
      <c r="B228" s="3215"/>
      <c r="C228" s="3218"/>
      <c r="D228" s="3219"/>
      <c r="E228" s="3221"/>
      <c r="F228" s="3223"/>
      <c r="G228" s="3225"/>
      <c r="H228" s="3192"/>
      <c r="I228" s="3193"/>
      <c r="J228" s="3195"/>
      <c r="K228" s="3189"/>
      <c r="L228" s="3192"/>
      <c r="M228" s="3227"/>
      <c r="N228" s="3195"/>
      <c r="O228" s="3195"/>
      <c r="P228" s="3189"/>
      <c r="Q228" s="2089"/>
      <c r="R228" s="3197"/>
      <c r="S228" s="3195"/>
      <c r="T228" s="3199"/>
      <c r="U228" s="3229"/>
      <c r="V228" s="3192"/>
      <c r="W228" s="3193"/>
      <c r="X228" s="3195"/>
      <c r="Y228" s="3195"/>
      <c r="Z228" s="3189"/>
      <c r="AA228" s="3192"/>
      <c r="AB228" s="3193"/>
      <c r="AC228" s="3195"/>
      <c r="AD228" s="3195"/>
      <c r="AE228" s="3189"/>
      <c r="AF228" s="2089"/>
      <c r="AG228" s="3197"/>
      <c r="AH228" s="3195"/>
      <c r="AI228" s="3199"/>
      <c r="AJ228" s="2035" t="s">
        <v>434</v>
      </c>
      <c r="AK228" s="2036"/>
      <c r="AL228" s="2036"/>
      <c r="AM228" s="2036"/>
      <c r="AN228" s="2036"/>
      <c r="AO228" s="2037"/>
      <c r="AP228" s="2029"/>
      <c r="AQ228" s="2030"/>
      <c r="AR228" s="2030"/>
      <c r="AS228" s="2030"/>
      <c r="AT228" s="2031"/>
      <c r="AU228" s="113"/>
    </row>
    <row r="229" spans="2:47" ht="15" customHeight="1" x14ac:dyDescent="0.15">
      <c r="B229" s="3149">
        <v>76</v>
      </c>
      <c r="C229" s="3151">
        <f>名簿入力!D165</f>
        <v>0</v>
      </c>
      <c r="D229" s="3152"/>
      <c r="E229" s="3155">
        <f>名簿入力!E165</f>
        <v>0</v>
      </c>
      <c r="F229" s="3157">
        <f>名簿入力!G165</f>
        <v>0</v>
      </c>
      <c r="G229" s="3159">
        <f>名簿入力!H165</f>
        <v>0</v>
      </c>
      <c r="H229" s="3161">
        <f>名簿入力!I165</f>
        <v>0</v>
      </c>
      <c r="I229" s="3162"/>
      <c r="J229" s="3165">
        <f>名簿入力!K165</f>
        <v>0</v>
      </c>
      <c r="K229" s="3167">
        <f>名簿入力!L165</f>
        <v>0</v>
      </c>
      <c r="L229" s="3161">
        <f>名簿入力!M165</f>
        <v>0</v>
      </c>
      <c r="M229" s="3169"/>
      <c r="N229" s="3165">
        <f>名簿入力!O165</f>
        <v>0</v>
      </c>
      <c r="O229" s="3165">
        <f>名簿入力!P165</f>
        <v>0</v>
      </c>
      <c r="P229" s="3167">
        <f>名簿入力!Q165</f>
        <v>0</v>
      </c>
      <c r="Q229" s="3161">
        <f>名簿入力!R165</f>
        <v>0</v>
      </c>
      <c r="R229" s="3162"/>
      <c r="S229" s="3165">
        <f>名簿入力!T165</f>
        <v>0</v>
      </c>
      <c r="T229" s="3165">
        <f>名簿入力!U165</f>
        <v>0</v>
      </c>
      <c r="U229" s="3167">
        <f>名簿入力!V165</f>
        <v>0</v>
      </c>
      <c r="V229" s="3161">
        <f>名簿入力!W165</f>
        <v>0</v>
      </c>
      <c r="W229" s="3162"/>
      <c r="X229" s="3165">
        <f>名簿入力!Y165</f>
        <v>0</v>
      </c>
      <c r="Y229" s="3165">
        <f>名簿入力!Z165</f>
        <v>0</v>
      </c>
      <c r="Z229" s="3167">
        <f>名簿入力!AA165</f>
        <v>0</v>
      </c>
      <c r="AA229" s="3161">
        <f>名簿入力!AB165</f>
        <v>0</v>
      </c>
      <c r="AB229" s="3162"/>
      <c r="AC229" s="3165">
        <f>名簿入力!AD165</f>
        <v>0</v>
      </c>
      <c r="AD229" s="3165">
        <f>名簿入力!AE165</f>
        <v>0</v>
      </c>
      <c r="AE229" s="3167">
        <f>名簿入力!AF165</f>
        <v>0</v>
      </c>
      <c r="AF229" s="3161">
        <f>名簿入力!AG165</f>
        <v>0</v>
      </c>
      <c r="AG229" s="3162"/>
      <c r="AH229" s="3165">
        <f>名簿入力!AI165</f>
        <v>0</v>
      </c>
      <c r="AI229" s="3165">
        <f>名簿入力!AJ165</f>
        <v>0</v>
      </c>
      <c r="AJ229" s="3175">
        <f>名簿入力!AK165</f>
        <v>0</v>
      </c>
      <c r="AK229" s="3176"/>
      <c r="AL229" s="3176"/>
      <c r="AM229" s="3176"/>
      <c r="AN229" s="3176"/>
      <c r="AO229" s="3177"/>
      <c r="AP229" s="3137">
        <f>名簿入力!AO165</f>
        <v>0</v>
      </c>
      <c r="AQ229" s="3138"/>
      <c r="AR229" s="3138"/>
      <c r="AS229" s="3138"/>
      <c r="AT229" s="3139"/>
      <c r="AU229" s="113"/>
    </row>
    <row r="230" spans="2:47" ht="15" customHeight="1" x14ac:dyDescent="0.15">
      <c r="B230" s="3181"/>
      <c r="C230" s="3182"/>
      <c r="D230" s="3183"/>
      <c r="E230" s="3184"/>
      <c r="F230" s="3185"/>
      <c r="G230" s="3186"/>
      <c r="H230" s="3173"/>
      <c r="I230" s="3174"/>
      <c r="J230" s="3171"/>
      <c r="K230" s="3172"/>
      <c r="L230" s="3173"/>
      <c r="M230" s="3187"/>
      <c r="N230" s="3171"/>
      <c r="O230" s="3171"/>
      <c r="P230" s="3172"/>
      <c r="Q230" s="3173"/>
      <c r="R230" s="3174"/>
      <c r="S230" s="3171"/>
      <c r="T230" s="3171"/>
      <c r="U230" s="3172"/>
      <c r="V230" s="3173"/>
      <c r="W230" s="3174"/>
      <c r="X230" s="3171"/>
      <c r="Y230" s="3171"/>
      <c r="Z230" s="3172"/>
      <c r="AA230" s="3173"/>
      <c r="AB230" s="3174"/>
      <c r="AC230" s="3171"/>
      <c r="AD230" s="3171"/>
      <c r="AE230" s="3172"/>
      <c r="AF230" s="3173"/>
      <c r="AG230" s="3174"/>
      <c r="AH230" s="3171"/>
      <c r="AI230" s="3171"/>
      <c r="AJ230" s="3146">
        <f>名簿入力!AK166</f>
        <v>0</v>
      </c>
      <c r="AK230" s="3147"/>
      <c r="AL230" s="3147"/>
      <c r="AM230" s="3147"/>
      <c r="AN230" s="3147"/>
      <c r="AO230" s="3148"/>
      <c r="AP230" s="3178"/>
      <c r="AQ230" s="3179"/>
      <c r="AR230" s="3179"/>
      <c r="AS230" s="3179"/>
      <c r="AT230" s="3180"/>
      <c r="AU230" s="113"/>
    </row>
    <row r="231" spans="2:47" ht="15" customHeight="1" x14ac:dyDescent="0.15">
      <c r="B231" s="3149">
        <v>77</v>
      </c>
      <c r="C231" s="3151">
        <f>名簿入力!D167</f>
        <v>0</v>
      </c>
      <c r="D231" s="3152"/>
      <c r="E231" s="3155">
        <f>名簿入力!E167</f>
        <v>0</v>
      </c>
      <c r="F231" s="3157">
        <f>名簿入力!G167</f>
        <v>0</v>
      </c>
      <c r="G231" s="3159">
        <f>名簿入力!H167</f>
        <v>0</v>
      </c>
      <c r="H231" s="3161">
        <f>名簿入力!I167</f>
        <v>0</v>
      </c>
      <c r="I231" s="3162"/>
      <c r="J231" s="3165">
        <f>名簿入力!K167</f>
        <v>0</v>
      </c>
      <c r="K231" s="3167">
        <f>名簿入力!L167</f>
        <v>0</v>
      </c>
      <c r="L231" s="3161">
        <f>名簿入力!M167</f>
        <v>0</v>
      </c>
      <c r="M231" s="3169"/>
      <c r="N231" s="3165">
        <f>名簿入力!O167</f>
        <v>0</v>
      </c>
      <c r="O231" s="3165">
        <f>名簿入力!P167</f>
        <v>0</v>
      </c>
      <c r="P231" s="3167">
        <f>名簿入力!Q167</f>
        <v>0</v>
      </c>
      <c r="Q231" s="3161">
        <f>名簿入力!R167</f>
        <v>0</v>
      </c>
      <c r="R231" s="3162"/>
      <c r="S231" s="3165">
        <f>名簿入力!T167</f>
        <v>0</v>
      </c>
      <c r="T231" s="3165">
        <f>名簿入力!U167</f>
        <v>0</v>
      </c>
      <c r="U231" s="3167">
        <f>名簿入力!V167</f>
        <v>0</v>
      </c>
      <c r="V231" s="3161">
        <f>名簿入力!W167</f>
        <v>0</v>
      </c>
      <c r="W231" s="3162"/>
      <c r="X231" s="3165">
        <f>名簿入力!Y167</f>
        <v>0</v>
      </c>
      <c r="Y231" s="3165">
        <f>名簿入力!Z167</f>
        <v>0</v>
      </c>
      <c r="Z231" s="3167">
        <f>名簿入力!AA167</f>
        <v>0</v>
      </c>
      <c r="AA231" s="3161">
        <f>名簿入力!AB167</f>
        <v>0</v>
      </c>
      <c r="AB231" s="3162"/>
      <c r="AC231" s="3165">
        <f>名簿入力!AD167</f>
        <v>0</v>
      </c>
      <c r="AD231" s="3165">
        <f>名簿入力!AE167</f>
        <v>0</v>
      </c>
      <c r="AE231" s="3167">
        <f>名簿入力!AF167</f>
        <v>0</v>
      </c>
      <c r="AF231" s="3161">
        <f>名簿入力!AG167</f>
        <v>0</v>
      </c>
      <c r="AG231" s="3162"/>
      <c r="AH231" s="3165">
        <f>名簿入力!AI167</f>
        <v>0</v>
      </c>
      <c r="AI231" s="3165">
        <f>名簿入力!AJ167</f>
        <v>0</v>
      </c>
      <c r="AJ231" s="3175">
        <f>名簿入力!AK167</f>
        <v>0</v>
      </c>
      <c r="AK231" s="3176"/>
      <c r="AL231" s="3176"/>
      <c r="AM231" s="3176"/>
      <c r="AN231" s="3176"/>
      <c r="AO231" s="3177"/>
      <c r="AP231" s="3137">
        <f>名簿入力!AO167</f>
        <v>0</v>
      </c>
      <c r="AQ231" s="3138"/>
      <c r="AR231" s="3138"/>
      <c r="AS231" s="3138"/>
      <c r="AT231" s="3139"/>
      <c r="AU231" s="113"/>
    </row>
    <row r="232" spans="2:47" ht="15" customHeight="1" x14ac:dyDescent="0.15">
      <c r="B232" s="3181"/>
      <c r="C232" s="3182"/>
      <c r="D232" s="3183"/>
      <c r="E232" s="3184"/>
      <c r="F232" s="3185"/>
      <c r="G232" s="3186"/>
      <c r="H232" s="3173"/>
      <c r="I232" s="3174"/>
      <c r="J232" s="3171"/>
      <c r="K232" s="3172"/>
      <c r="L232" s="3173"/>
      <c r="M232" s="3187"/>
      <c r="N232" s="3171"/>
      <c r="O232" s="3171"/>
      <c r="P232" s="3172"/>
      <c r="Q232" s="3173"/>
      <c r="R232" s="3174"/>
      <c r="S232" s="3171"/>
      <c r="T232" s="3171"/>
      <c r="U232" s="3172"/>
      <c r="V232" s="3173"/>
      <c r="W232" s="3174"/>
      <c r="X232" s="3171"/>
      <c r="Y232" s="3171"/>
      <c r="Z232" s="3172"/>
      <c r="AA232" s="3173"/>
      <c r="AB232" s="3174"/>
      <c r="AC232" s="3171"/>
      <c r="AD232" s="3171"/>
      <c r="AE232" s="3172"/>
      <c r="AF232" s="3173"/>
      <c r="AG232" s="3174"/>
      <c r="AH232" s="3171"/>
      <c r="AI232" s="3171"/>
      <c r="AJ232" s="3146">
        <f>名簿入力!AK168</f>
        <v>0</v>
      </c>
      <c r="AK232" s="3147"/>
      <c r="AL232" s="3147"/>
      <c r="AM232" s="3147"/>
      <c r="AN232" s="3147"/>
      <c r="AO232" s="3148"/>
      <c r="AP232" s="3178"/>
      <c r="AQ232" s="3179"/>
      <c r="AR232" s="3179"/>
      <c r="AS232" s="3179"/>
      <c r="AT232" s="3180"/>
      <c r="AU232" s="113"/>
    </row>
    <row r="233" spans="2:47" ht="15" customHeight="1" x14ac:dyDescent="0.15">
      <c r="B233" s="3149">
        <v>78</v>
      </c>
      <c r="C233" s="3151">
        <f>名簿入力!D169</f>
        <v>0</v>
      </c>
      <c r="D233" s="3152"/>
      <c r="E233" s="3155">
        <f>名簿入力!E169</f>
        <v>0</v>
      </c>
      <c r="F233" s="3157">
        <f>名簿入力!G169</f>
        <v>0</v>
      </c>
      <c r="G233" s="3159">
        <f>名簿入力!H169</f>
        <v>0</v>
      </c>
      <c r="H233" s="3161">
        <f>名簿入力!I169</f>
        <v>0</v>
      </c>
      <c r="I233" s="3162"/>
      <c r="J233" s="3165">
        <f>名簿入力!K169</f>
        <v>0</v>
      </c>
      <c r="K233" s="3167">
        <f>名簿入力!L169</f>
        <v>0</v>
      </c>
      <c r="L233" s="3161">
        <f>名簿入力!M169</f>
        <v>0</v>
      </c>
      <c r="M233" s="3169"/>
      <c r="N233" s="3165">
        <f>名簿入力!O169</f>
        <v>0</v>
      </c>
      <c r="O233" s="3165">
        <f>名簿入力!P169</f>
        <v>0</v>
      </c>
      <c r="P233" s="3167">
        <f>名簿入力!Q169</f>
        <v>0</v>
      </c>
      <c r="Q233" s="3161">
        <f>名簿入力!R169</f>
        <v>0</v>
      </c>
      <c r="R233" s="3162"/>
      <c r="S233" s="3165">
        <f>名簿入力!T169</f>
        <v>0</v>
      </c>
      <c r="T233" s="3165">
        <f>名簿入力!U169</f>
        <v>0</v>
      </c>
      <c r="U233" s="3167">
        <f>名簿入力!V169</f>
        <v>0</v>
      </c>
      <c r="V233" s="3161">
        <f>名簿入力!W169</f>
        <v>0</v>
      </c>
      <c r="W233" s="3162"/>
      <c r="X233" s="3165">
        <f>名簿入力!Y169</f>
        <v>0</v>
      </c>
      <c r="Y233" s="3165">
        <f>名簿入力!Z169</f>
        <v>0</v>
      </c>
      <c r="Z233" s="3167">
        <f>名簿入力!AA169</f>
        <v>0</v>
      </c>
      <c r="AA233" s="3161">
        <f>名簿入力!AB169</f>
        <v>0</v>
      </c>
      <c r="AB233" s="3162"/>
      <c r="AC233" s="3165">
        <f>名簿入力!AD169</f>
        <v>0</v>
      </c>
      <c r="AD233" s="3165">
        <f>名簿入力!AE169</f>
        <v>0</v>
      </c>
      <c r="AE233" s="3167">
        <f>名簿入力!AF169</f>
        <v>0</v>
      </c>
      <c r="AF233" s="3161">
        <f>名簿入力!AG169</f>
        <v>0</v>
      </c>
      <c r="AG233" s="3162"/>
      <c r="AH233" s="3165">
        <f>名簿入力!AI169</f>
        <v>0</v>
      </c>
      <c r="AI233" s="3165">
        <f>名簿入力!AJ169</f>
        <v>0</v>
      </c>
      <c r="AJ233" s="3175">
        <f>名簿入力!AK169</f>
        <v>0</v>
      </c>
      <c r="AK233" s="3176"/>
      <c r="AL233" s="3176"/>
      <c r="AM233" s="3176"/>
      <c r="AN233" s="3176"/>
      <c r="AO233" s="3177"/>
      <c r="AP233" s="3137">
        <f>名簿入力!AO169</f>
        <v>0</v>
      </c>
      <c r="AQ233" s="3138"/>
      <c r="AR233" s="3138"/>
      <c r="AS233" s="3138"/>
      <c r="AT233" s="3139"/>
      <c r="AU233" s="113"/>
    </row>
    <row r="234" spans="2:47" ht="15" customHeight="1" x14ac:dyDescent="0.15">
      <c r="B234" s="3181"/>
      <c r="C234" s="3182"/>
      <c r="D234" s="3183"/>
      <c r="E234" s="3184"/>
      <c r="F234" s="3185"/>
      <c r="G234" s="3186"/>
      <c r="H234" s="3173"/>
      <c r="I234" s="3174"/>
      <c r="J234" s="3171"/>
      <c r="K234" s="3172"/>
      <c r="L234" s="3173"/>
      <c r="M234" s="3187"/>
      <c r="N234" s="3171"/>
      <c r="O234" s="3171"/>
      <c r="P234" s="3172"/>
      <c r="Q234" s="3173"/>
      <c r="R234" s="3174"/>
      <c r="S234" s="3171"/>
      <c r="T234" s="3171"/>
      <c r="U234" s="3172"/>
      <c r="V234" s="3173"/>
      <c r="W234" s="3174"/>
      <c r="X234" s="3171"/>
      <c r="Y234" s="3171"/>
      <c r="Z234" s="3172"/>
      <c r="AA234" s="3173"/>
      <c r="AB234" s="3174"/>
      <c r="AC234" s="3171"/>
      <c r="AD234" s="3171"/>
      <c r="AE234" s="3172"/>
      <c r="AF234" s="3173"/>
      <c r="AG234" s="3174"/>
      <c r="AH234" s="3171"/>
      <c r="AI234" s="3171"/>
      <c r="AJ234" s="3146">
        <f>名簿入力!AK170</f>
        <v>0</v>
      </c>
      <c r="AK234" s="3147"/>
      <c r="AL234" s="3147"/>
      <c r="AM234" s="3147"/>
      <c r="AN234" s="3147"/>
      <c r="AO234" s="3148"/>
      <c r="AP234" s="3178"/>
      <c r="AQ234" s="3179"/>
      <c r="AR234" s="3179"/>
      <c r="AS234" s="3179"/>
      <c r="AT234" s="3180"/>
      <c r="AU234" s="113"/>
    </row>
    <row r="235" spans="2:47" ht="15" customHeight="1" x14ac:dyDescent="0.15">
      <c r="B235" s="3149">
        <v>79</v>
      </c>
      <c r="C235" s="3151">
        <f>名簿入力!D171</f>
        <v>0</v>
      </c>
      <c r="D235" s="3152"/>
      <c r="E235" s="3155">
        <f>名簿入力!E171</f>
        <v>0</v>
      </c>
      <c r="F235" s="3157">
        <f>名簿入力!G171</f>
        <v>0</v>
      </c>
      <c r="G235" s="3159">
        <f>名簿入力!H171</f>
        <v>0</v>
      </c>
      <c r="H235" s="3161">
        <f>名簿入力!I171</f>
        <v>0</v>
      </c>
      <c r="I235" s="3162"/>
      <c r="J235" s="3165">
        <f>名簿入力!K171</f>
        <v>0</v>
      </c>
      <c r="K235" s="3167">
        <f>名簿入力!L171</f>
        <v>0</v>
      </c>
      <c r="L235" s="3161">
        <f>名簿入力!M171</f>
        <v>0</v>
      </c>
      <c r="M235" s="3169"/>
      <c r="N235" s="3165">
        <f>名簿入力!O171</f>
        <v>0</v>
      </c>
      <c r="O235" s="3165">
        <f>名簿入力!P171</f>
        <v>0</v>
      </c>
      <c r="P235" s="3167">
        <f>名簿入力!Q171</f>
        <v>0</v>
      </c>
      <c r="Q235" s="3161">
        <f>名簿入力!R171</f>
        <v>0</v>
      </c>
      <c r="R235" s="3162"/>
      <c r="S235" s="3165">
        <f>名簿入力!T171</f>
        <v>0</v>
      </c>
      <c r="T235" s="3165">
        <f>名簿入力!U171</f>
        <v>0</v>
      </c>
      <c r="U235" s="3167">
        <f>名簿入力!V171</f>
        <v>0</v>
      </c>
      <c r="V235" s="3161">
        <f>名簿入力!W171</f>
        <v>0</v>
      </c>
      <c r="W235" s="3162"/>
      <c r="X235" s="3165">
        <f>名簿入力!Y171</f>
        <v>0</v>
      </c>
      <c r="Y235" s="3165">
        <f>名簿入力!Z171</f>
        <v>0</v>
      </c>
      <c r="Z235" s="3167">
        <f>名簿入力!AA171</f>
        <v>0</v>
      </c>
      <c r="AA235" s="3161">
        <f>名簿入力!AB171</f>
        <v>0</v>
      </c>
      <c r="AB235" s="3162"/>
      <c r="AC235" s="3165">
        <f>名簿入力!AD171</f>
        <v>0</v>
      </c>
      <c r="AD235" s="3165">
        <f>名簿入力!AE171</f>
        <v>0</v>
      </c>
      <c r="AE235" s="3167">
        <f>名簿入力!AF171</f>
        <v>0</v>
      </c>
      <c r="AF235" s="3161">
        <f>名簿入力!AG171</f>
        <v>0</v>
      </c>
      <c r="AG235" s="3162"/>
      <c r="AH235" s="3165">
        <f>名簿入力!AI171</f>
        <v>0</v>
      </c>
      <c r="AI235" s="3165">
        <f>名簿入力!AJ171</f>
        <v>0</v>
      </c>
      <c r="AJ235" s="3175">
        <f>名簿入力!AK171</f>
        <v>0</v>
      </c>
      <c r="AK235" s="3176"/>
      <c r="AL235" s="3176"/>
      <c r="AM235" s="3176"/>
      <c r="AN235" s="3176"/>
      <c r="AO235" s="3177"/>
      <c r="AP235" s="3137">
        <f>名簿入力!AO171</f>
        <v>0</v>
      </c>
      <c r="AQ235" s="3138"/>
      <c r="AR235" s="3138"/>
      <c r="AS235" s="3138"/>
      <c r="AT235" s="3139"/>
      <c r="AU235" s="113"/>
    </row>
    <row r="236" spans="2:47" ht="15" customHeight="1" x14ac:dyDescent="0.15">
      <c r="B236" s="3181"/>
      <c r="C236" s="3182"/>
      <c r="D236" s="3183"/>
      <c r="E236" s="3184"/>
      <c r="F236" s="3185"/>
      <c r="G236" s="3186"/>
      <c r="H236" s="3173"/>
      <c r="I236" s="3174"/>
      <c r="J236" s="3171"/>
      <c r="K236" s="3172"/>
      <c r="L236" s="3173"/>
      <c r="M236" s="3187"/>
      <c r="N236" s="3171"/>
      <c r="O236" s="3171"/>
      <c r="P236" s="3172"/>
      <c r="Q236" s="3173"/>
      <c r="R236" s="3174"/>
      <c r="S236" s="3171"/>
      <c r="T236" s="3171"/>
      <c r="U236" s="3172"/>
      <c r="V236" s="3173"/>
      <c r="W236" s="3174"/>
      <c r="X236" s="3171"/>
      <c r="Y236" s="3171"/>
      <c r="Z236" s="3172"/>
      <c r="AA236" s="3173"/>
      <c r="AB236" s="3174"/>
      <c r="AC236" s="3171"/>
      <c r="AD236" s="3171"/>
      <c r="AE236" s="3172"/>
      <c r="AF236" s="3173"/>
      <c r="AG236" s="3174"/>
      <c r="AH236" s="3171"/>
      <c r="AI236" s="3171"/>
      <c r="AJ236" s="3146">
        <f>名簿入力!AK172</f>
        <v>0</v>
      </c>
      <c r="AK236" s="3147"/>
      <c r="AL236" s="3147"/>
      <c r="AM236" s="3147"/>
      <c r="AN236" s="3147"/>
      <c r="AO236" s="3148"/>
      <c r="AP236" s="3178"/>
      <c r="AQ236" s="3179"/>
      <c r="AR236" s="3179"/>
      <c r="AS236" s="3179"/>
      <c r="AT236" s="3180"/>
      <c r="AU236" s="113"/>
    </row>
    <row r="237" spans="2:47" ht="15" customHeight="1" x14ac:dyDescent="0.15">
      <c r="B237" s="3149">
        <v>80</v>
      </c>
      <c r="C237" s="3151">
        <f>名簿入力!D173</f>
        <v>0</v>
      </c>
      <c r="D237" s="3152"/>
      <c r="E237" s="3155">
        <f>名簿入力!E173</f>
        <v>0</v>
      </c>
      <c r="F237" s="3157">
        <f>名簿入力!G173</f>
        <v>0</v>
      </c>
      <c r="G237" s="3159">
        <f>名簿入力!H173</f>
        <v>0</v>
      </c>
      <c r="H237" s="3161">
        <f>名簿入力!I173</f>
        <v>0</v>
      </c>
      <c r="I237" s="3162"/>
      <c r="J237" s="3165">
        <f>名簿入力!K173</f>
        <v>0</v>
      </c>
      <c r="K237" s="3167">
        <f>名簿入力!L173</f>
        <v>0</v>
      </c>
      <c r="L237" s="3161">
        <f>名簿入力!M173</f>
        <v>0</v>
      </c>
      <c r="M237" s="3169"/>
      <c r="N237" s="3165">
        <f>名簿入力!O173</f>
        <v>0</v>
      </c>
      <c r="O237" s="3165">
        <f>名簿入力!P173</f>
        <v>0</v>
      </c>
      <c r="P237" s="3167">
        <f>名簿入力!Q173</f>
        <v>0</v>
      </c>
      <c r="Q237" s="3161">
        <f>名簿入力!R173</f>
        <v>0</v>
      </c>
      <c r="R237" s="3162"/>
      <c r="S237" s="3165">
        <f>名簿入力!T173</f>
        <v>0</v>
      </c>
      <c r="T237" s="3165">
        <f>名簿入力!U173</f>
        <v>0</v>
      </c>
      <c r="U237" s="3167">
        <f>名簿入力!V173</f>
        <v>0</v>
      </c>
      <c r="V237" s="3161">
        <f>名簿入力!W173</f>
        <v>0</v>
      </c>
      <c r="W237" s="3162"/>
      <c r="X237" s="3165">
        <f>名簿入力!Y173</f>
        <v>0</v>
      </c>
      <c r="Y237" s="3165">
        <f>名簿入力!Z173</f>
        <v>0</v>
      </c>
      <c r="Z237" s="3167">
        <f>名簿入力!AA173</f>
        <v>0</v>
      </c>
      <c r="AA237" s="3161">
        <f>名簿入力!AB173</f>
        <v>0</v>
      </c>
      <c r="AB237" s="3162"/>
      <c r="AC237" s="3165">
        <f>名簿入力!AD173</f>
        <v>0</v>
      </c>
      <c r="AD237" s="3165">
        <f>名簿入力!AE173</f>
        <v>0</v>
      </c>
      <c r="AE237" s="3167">
        <f>名簿入力!AF173</f>
        <v>0</v>
      </c>
      <c r="AF237" s="3161">
        <f>名簿入力!AG173</f>
        <v>0</v>
      </c>
      <c r="AG237" s="3162"/>
      <c r="AH237" s="3165">
        <f>名簿入力!AI173</f>
        <v>0</v>
      </c>
      <c r="AI237" s="3165">
        <f>名簿入力!AJ173</f>
        <v>0</v>
      </c>
      <c r="AJ237" s="3175">
        <f>名簿入力!AK173</f>
        <v>0</v>
      </c>
      <c r="AK237" s="3176"/>
      <c r="AL237" s="3176"/>
      <c r="AM237" s="3176"/>
      <c r="AN237" s="3176"/>
      <c r="AO237" s="3177"/>
      <c r="AP237" s="3137">
        <f>名簿入力!AO173</f>
        <v>0</v>
      </c>
      <c r="AQ237" s="3138"/>
      <c r="AR237" s="3138"/>
      <c r="AS237" s="3138"/>
      <c r="AT237" s="3139"/>
      <c r="AU237" s="113"/>
    </row>
    <row r="238" spans="2:47" ht="15" customHeight="1" x14ac:dyDescent="0.15">
      <c r="B238" s="3181"/>
      <c r="C238" s="3182"/>
      <c r="D238" s="3183"/>
      <c r="E238" s="3184"/>
      <c r="F238" s="3185"/>
      <c r="G238" s="3186"/>
      <c r="H238" s="3173"/>
      <c r="I238" s="3174"/>
      <c r="J238" s="3171"/>
      <c r="K238" s="3172"/>
      <c r="L238" s="3173"/>
      <c r="M238" s="3187"/>
      <c r="N238" s="3171"/>
      <c r="O238" s="3171"/>
      <c r="P238" s="3172"/>
      <c r="Q238" s="3173"/>
      <c r="R238" s="3174"/>
      <c r="S238" s="3171"/>
      <c r="T238" s="3171"/>
      <c r="U238" s="3172"/>
      <c r="V238" s="3173"/>
      <c r="W238" s="3174"/>
      <c r="X238" s="3171"/>
      <c r="Y238" s="3171"/>
      <c r="Z238" s="3172"/>
      <c r="AA238" s="3173"/>
      <c r="AB238" s="3174"/>
      <c r="AC238" s="3171"/>
      <c r="AD238" s="3171"/>
      <c r="AE238" s="3172"/>
      <c r="AF238" s="3173"/>
      <c r="AG238" s="3174"/>
      <c r="AH238" s="3171"/>
      <c r="AI238" s="3171"/>
      <c r="AJ238" s="3146">
        <f>名簿入力!AK174</f>
        <v>0</v>
      </c>
      <c r="AK238" s="3147"/>
      <c r="AL238" s="3147"/>
      <c r="AM238" s="3147"/>
      <c r="AN238" s="3147"/>
      <c r="AO238" s="3148"/>
      <c r="AP238" s="3178"/>
      <c r="AQ238" s="3179"/>
      <c r="AR238" s="3179"/>
      <c r="AS238" s="3179"/>
      <c r="AT238" s="3180"/>
      <c r="AU238" s="113"/>
    </row>
    <row r="239" spans="2:47" ht="15" customHeight="1" x14ac:dyDescent="0.15">
      <c r="B239" s="3149">
        <v>81</v>
      </c>
      <c r="C239" s="3151">
        <f>名簿入力!D175</f>
        <v>0</v>
      </c>
      <c r="D239" s="3152"/>
      <c r="E239" s="3155">
        <f>名簿入力!E175</f>
        <v>0</v>
      </c>
      <c r="F239" s="3157">
        <f>名簿入力!G175</f>
        <v>0</v>
      </c>
      <c r="G239" s="3159">
        <f>名簿入力!H175</f>
        <v>0</v>
      </c>
      <c r="H239" s="3161">
        <f>名簿入力!I175</f>
        <v>0</v>
      </c>
      <c r="I239" s="3162"/>
      <c r="J239" s="3165">
        <f>名簿入力!K175</f>
        <v>0</v>
      </c>
      <c r="K239" s="3167">
        <f>名簿入力!L175</f>
        <v>0</v>
      </c>
      <c r="L239" s="3161">
        <f>名簿入力!M175</f>
        <v>0</v>
      </c>
      <c r="M239" s="3169"/>
      <c r="N239" s="3165">
        <f>名簿入力!O175</f>
        <v>0</v>
      </c>
      <c r="O239" s="3165">
        <f>名簿入力!P175</f>
        <v>0</v>
      </c>
      <c r="P239" s="3167">
        <f>名簿入力!Q175</f>
        <v>0</v>
      </c>
      <c r="Q239" s="3161">
        <f>名簿入力!R175</f>
        <v>0</v>
      </c>
      <c r="R239" s="3162"/>
      <c r="S239" s="3165">
        <f>名簿入力!T175</f>
        <v>0</v>
      </c>
      <c r="T239" s="3165">
        <f>名簿入力!U175</f>
        <v>0</v>
      </c>
      <c r="U239" s="3167">
        <f>名簿入力!V175</f>
        <v>0</v>
      </c>
      <c r="V239" s="3161">
        <f>名簿入力!W175</f>
        <v>0</v>
      </c>
      <c r="W239" s="3162"/>
      <c r="X239" s="3165">
        <f>名簿入力!Y175</f>
        <v>0</v>
      </c>
      <c r="Y239" s="3165">
        <f>名簿入力!Z175</f>
        <v>0</v>
      </c>
      <c r="Z239" s="3167">
        <f>名簿入力!AA175</f>
        <v>0</v>
      </c>
      <c r="AA239" s="3161">
        <f>名簿入力!AB175</f>
        <v>0</v>
      </c>
      <c r="AB239" s="3162"/>
      <c r="AC239" s="3165">
        <f>名簿入力!AD175</f>
        <v>0</v>
      </c>
      <c r="AD239" s="3165">
        <f>名簿入力!AE175</f>
        <v>0</v>
      </c>
      <c r="AE239" s="3167">
        <f>名簿入力!AF175</f>
        <v>0</v>
      </c>
      <c r="AF239" s="3161">
        <f>名簿入力!AG175</f>
        <v>0</v>
      </c>
      <c r="AG239" s="3162"/>
      <c r="AH239" s="3165">
        <f>名簿入力!AI175</f>
        <v>0</v>
      </c>
      <c r="AI239" s="3165">
        <f>名簿入力!AJ175</f>
        <v>0</v>
      </c>
      <c r="AJ239" s="3175">
        <f>名簿入力!AK175</f>
        <v>0</v>
      </c>
      <c r="AK239" s="3176"/>
      <c r="AL239" s="3176"/>
      <c r="AM239" s="3176"/>
      <c r="AN239" s="3176"/>
      <c r="AO239" s="3177"/>
      <c r="AP239" s="3137">
        <f>名簿入力!AO175</f>
        <v>0</v>
      </c>
      <c r="AQ239" s="3138"/>
      <c r="AR239" s="3138"/>
      <c r="AS239" s="3138"/>
      <c r="AT239" s="3139"/>
      <c r="AU239" s="113"/>
    </row>
    <row r="240" spans="2:47" ht="15" customHeight="1" x14ac:dyDescent="0.15">
      <c r="B240" s="3181"/>
      <c r="C240" s="3182"/>
      <c r="D240" s="3183"/>
      <c r="E240" s="3184"/>
      <c r="F240" s="3185"/>
      <c r="G240" s="3186"/>
      <c r="H240" s="3173"/>
      <c r="I240" s="3174"/>
      <c r="J240" s="3171"/>
      <c r="K240" s="3172"/>
      <c r="L240" s="3173"/>
      <c r="M240" s="3187"/>
      <c r="N240" s="3171"/>
      <c r="O240" s="3171"/>
      <c r="P240" s="3172"/>
      <c r="Q240" s="3173"/>
      <c r="R240" s="3174"/>
      <c r="S240" s="3171"/>
      <c r="T240" s="3171"/>
      <c r="U240" s="3172"/>
      <c r="V240" s="3173"/>
      <c r="W240" s="3174"/>
      <c r="X240" s="3171"/>
      <c r="Y240" s="3171"/>
      <c r="Z240" s="3172"/>
      <c r="AA240" s="3173"/>
      <c r="AB240" s="3174"/>
      <c r="AC240" s="3171"/>
      <c r="AD240" s="3171"/>
      <c r="AE240" s="3172"/>
      <c r="AF240" s="3173"/>
      <c r="AG240" s="3174"/>
      <c r="AH240" s="3171"/>
      <c r="AI240" s="3171"/>
      <c r="AJ240" s="3146">
        <f>名簿入力!AK176</f>
        <v>0</v>
      </c>
      <c r="AK240" s="3147"/>
      <c r="AL240" s="3147"/>
      <c r="AM240" s="3147"/>
      <c r="AN240" s="3147"/>
      <c r="AO240" s="3148"/>
      <c r="AP240" s="3178"/>
      <c r="AQ240" s="3179"/>
      <c r="AR240" s="3179"/>
      <c r="AS240" s="3179"/>
      <c r="AT240" s="3180"/>
      <c r="AU240" s="113"/>
    </row>
    <row r="241" spans="2:47" ht="15" customHeight="1" x14ac:dyDescent="0.15">
      <c r="B241" s="3149">
        <v>82</v>
      </c>
      <c r="C241" s="3151">
        <f>名簿入力!D177</f>
        <v>0</v>
      </c>
      <c r="D241" s="3152"/>
      <c r="E241" s="3155">
        <f>名簿入力!E177</f>
        <v>0</v>
      </c>
      <c r="F241" s="3157">
        <f>名簿入力!G177</f>
        <v>0</v>
      </c>
      <c r="G241" s="3159">
        <f>名簿入力!H177</f>
        <v>0</v>
      </c>
      <c r="H241" s="3161">
        <f>名簿入力!I177</f>
        <v>0</v>
      </c>
      <c r="I241" s="3162"/>
      <c r="J241" s="3165">
        <f>名簿入力!K177</f>
        <v>0</v>
      </c>
      <c r="K241" s="3167">
        <f>名簿入力!L177</f>
        <v>0</v>
      </c>
      <c r="L241" s="3161">
        <f>名簿入力!M177</f>
        <v>0</v>
      </c>
      <c r="M241" s="3169"/>
      <c r="N241" s="3165">
        <f>名簿入力!O177</f>
        <v>0</v>
      </c>
      <c r="O241" s="3165">
        <f>名簿入力!P177</f>
        <v>0</v>
      </c>
      <c r="P241" s="3167">
        <f>名簿入力!Q177</f>
        <v>0</v>
      </c>
      <c r="Q241" s="3161">
        <f>名簿入力!R177</f>
        <v>0</v>
      </c>
      <c r="R241" s="3162"/>
      <c r="S241" s="3165">
        <f>名簿入力!T177</f>
        <v>0</v>
      </c>
      <c r="T241" s="3165">
        <f>名簿入力!U177</f>
        <v>0</v>
      </c>
      <c r="U241" s="3167">
        <f>名簿入力!V177</f>
        <v>0</v>
      </c>
      <c r="V241" s="3161">
        <f>名簿入力!W177</f>
        <v>0</v>
      </c>
      <c r="W241" s="3162"/>
      <c r="X241" s="3165">
        <f>名簿入力!Y177</f>
        <v>0</v>
      </c>
      <c r="Y241" s="3165">
        <f>名簿入力!Z177</f>
        <v>0</v>
      </c>
      <c r="Z241" s="3167">
        <f>名簿入力!AA177</f>
        <v>0</v>
      </c>
      <c r="AA241" s="3161">
        <f>名簿入力!AB177</f>
        <v>0</v>
      </c>
      <c r="AB241" s="3162"/>
      <c r="AC241" s="3165">
        <f>名簿入力!AD177</f>
        <v>0</v>
      </c>
      <c r="AD241" s="3165">
        <f>名簿入力!AE177</f>
        <v>0</v>
      </c>
      <c r="AE241" s="3167">
        <f>名簿入力!AF177</f>
        <v>0</v>
      </c>
      <c r="AF241" s="3161">
        <f>名簿入力!AG177</f>
        <v>0</v>
      </c>
      <c r="AG241" s="3162"/>
      <c r="AH241" s="3165">
        <f>名簿入力!AI177</f>
        <v>0</v>
      </c>
      <c r="AI241" s="3165">
        <f>名簿入力!AJ177</f>
        <v>0</v>
      </c>
      <c r="AJ241" s="3175">
        <f>名簿入力!AK177</f>
        <v>0</v>
      </c>
      <c r="AK241" s="3176"/>
      <c r="AL241" s="3176"/>
      <c r="AM241" s="3176"/>
      <c r="AN241" s="3176"/>
      <c r="AO241" s="3177"/>
      <c r="AP241" s="3137">
        <f>名簿入力!AO177</f>
        <v>0</v>
      </c>
      <c r="AQ241" s="3138"/>
      <c r="AR241" s="3138"/>
      <c r="AS241" s="3138"/>
      <c r="AT241" s="3139"/>
      <c r="AU241" s="113"/>
    </row>
    <row r="242" spans="2:47" ht="15" customHeight="1" x14ac:dyDescent="0.15">
      <c r="B242" s="3181"/>
      <c r="C242" s="3182"/>
      <c r="D242" s="3183"/>
      <c r="E242" s="3184"/>
      <c r="F242" s="3185"/>
      <c r="G242" s="3186"/>
      <c r="H242" s="3173"/>
      <c r="I242" s="3174"/>
      <c r="J242" s="3171"/>
      <c r="K242" s="3172"/>
      <c r="L242" s="3173"/>
      <c r="M242" s="3187"/>
      <c r="N242" s="3171"/>
      <c r="O242" s="3171"/>
      <c r="P242" s="3172"/>
      <c r="Q242" s="3173"/>
      <c r="R242" s="3174"/>
      <c r="S242" s="3171"/>
      <c r="T242" s="3171"/>
      <c r="U242" s="3172"/>
      <c r="V242" s="3173"/>
      <c r="W242" s="3174"/>
      <c r="X242" s="3171"/>
      <c r="Y242" s="3171"/>
      <c r="Z242" s="3172"/>
      <c r="AA242" s="3173"/>
      <c r="AB242" s="3174"/>
      <c r="AC242" s="3171"/>
      <c r="AD242" s="3171"/>
      <c r="AE242" s="3172"/>
      <c r="AF242" s="3173"/>
      <c r="AG242" s="3174"/>
      <c r="AH242" s="3171"/>
      <c r="AI242" s="3171"/>
      <c r="AJ242" s="3146">
        <f>名簿入力!AK178</f>
        <v>0</v>
      </c>
      <c r="AK242" s="3147"/>
      <c r="AL242" s="3147"/>
      <c r="AM242" s="3147"/>
      <c r="AN242" s="3147"/>
      <c r="AO242" s="3148"/>
      <c r="AP242" s="3178"/>
      <c r="AQ242" s="3179"/>
      <c r="AR242" s="3179"/>
      <c r="AS242" s="3179"/>
      <c r="AT242" s="3180"/>
      <c r="AU242" s="113"/>
    </row>
    <row r="243" spans="2:47" ht="15" customHeight="1" x14ac:dyDescent="0.15">
      <c r="B243" s="3149">
        <v>83</v>
      </c>
      <c r="C243" s="3151">
        <f>名簿入力!D179</f>
        <v>0</v>
      </c>
      <c r="D243" s="3152"/>
      <c r="E243" s="3155">
        <f>名簿入力!E179</f>
        <v>0</v>
      </c>
      <c r="F243" s="3157">
        <f>名簿入力!G179</f>
        <v>0</v>
      </c>
      <c r="G243" s="3159">
        <f>名簿入力!H179</f>
        <v>0</v>
      </c>
      <c r="H243" s="3161">
        <f>名簿入力!I179</f>
        <v>0</v>
      </c>
      <c r="I243" s="3162"/>
      <c r="J243" s="3165">
        <f>名簿入力!K179</f>
        <v>0</v>
      </c>
      <c r="K243" s="3167">
        <f>名簿入力!L179</f>
        <v>0</v>
      </c>
      <c r="L243" s="3161">
        <f>名簿入力!M179</f>
        <v>0</v>
      </c>
      <c r="M243" s="3169"/>
      <c r="N243" s="3165">
        <f>名簿入力!O179</f>
        <v>0</v>
      </c>
      <c r="O243" s="3165">
        <f>名簿入力!P179</f>
        <v>0</v>
      </c>
      <c r="P243" s="3167">
        <f>名簿入力!Q179</f>
        <v>0</v>
      </c>
      <c r="Q243" s="3161">
        <f>名簿入力!R179</f>
        <v>0</v>
      </c>
      <c r="R243" s="3162"/>
      <c r="S243" s="3165">
        <f>名簿入力!T179</f>
        <v>0</v>
      </c>
      <c r="T243" s="3165">
        <f>名簿入力!U179</f>
        <v>0</v>
      </c>
      <c r="U243" s="3167">
        <f>名簿入力!V179</f>
        <v>0</v>
      </c>
      <c r="V243" s="3161">
        <f>名簿入力!W179</f>
        <v>0</v>
      </c>
      <c r="W243" s="3162"/>
      <c r="X243" s="3165">
        <f>名簿入力!Y179</f>
        <v>0</v>
      </c>
      <c r="Y243" s="3165">
        <f>名簿入力!Z179</f>
        <v>0</v>
      </c>
      <c r="Z243" s="3167">
        <f>名簿入力!AA179</f>
        <v>0</v>
      </c>
      <c r="AA243" s="3161">
        <f>名簿入力!AB179</f>
        <v>0</v>
      </c>
      <c r="AB243" s="3162"/>
      <c r="AC243" s="3165">
        <f>名簿入力!AD179</f>
        <v>0</v>
      </c>
      <c r="AD243" s="3165">
        <f>名簿入力!AE179</f>
        <v>0</v>
      </c>
      <c r="AE243" s="3167">
        <f>名簿入力!AF179</f>
        <v>0</v>
      </c>
      <c r="AF243" s="3161">
        <f>名簿入力!AG179</f>
        <v>0</v>
      </c>
      <c r="AG243" s="3162"/>
      <c r="AH243" s="3165">
        <f>名簿入力!AI179</f>
        <v>0</v>
      </c>
      <c r="AI243" s="3165">
        <f>名簿入力!AJ179</f>
        <v>0</v>
      </c>
      <c r="AJ243" s="3175">
        <f>名簿入力!AK179</f>
        <v>0</v>
      </c>
      <c r="AK243" s="3176"/>
      <c r="AL243" s="3176"/>
      <c r="AM243" s="3176"/>
      <c r="AN243" s="3176"/>
      <c r="AO243" s="3177"/>
      <c r="AP243" s="3137">
        <f>名簿入力!AO179</f>
        <v>0</v>
      </c>
      <c r="AQ243" s="3138"/>
      <c r="AR243" s="3138"/>
      <c r="AS243" s="3138"/>
      <c r="AT243" s="3139"/>
      <c r="AU243" s="113"/>
    </row>
    <row r="244" spans="2:47" ht="15" customHeight="1" x14ac:dyDescent="0.15">
      <c r="B244" s="3181"/>
      <c r="C244" s="3182"/>
      <c r="D244" s="3183"/>
      <c r="E244" s="3184"/>
      <c r="F244" s="3185"/>
      <c r="G244" s="3186"/>
      <c r="H244" s="3173"/>
      <c r="I244" s="3174"/>
      <c r="J244" s="3171"/>
      <c r="K244" s="3172"/>
      <c r="L244" s="3173"/>
      <c r="M244" s="3187"/>
      <c r="N244" s="3171"/>
      <c r="O244" s="3171"/>
      <c r="P244" s="3172"/>
      <c r="Q244" s="3173"/>
      <c r="R244" s="3174"/>
      <c r="S244" s="3171"/>
      <c r="T244" s="3171"/>
      <c r="U244" s="3172"/>
      <c r="V244" s="3173"/>
      <c r="W244" s="3174"/>
      <c r="X244" s="3171"/>
      <c r="Y244" s="3171"/>
      <c r="Z244" s="3172"/>
      <c r="AA244" s="3173"/>
      <c r="AB244" s="3174"/>
      <c r="AC244" s="3171"/>
      <c r="AD244" s="3171"/>
      <c r="AE244" s="3172"/>
      <c r="AF244" s="3173"/>
      <c r="AG244" s="3174"/>
      <c r="AH244" s="3171"/>
      <c r="AI244" s="3171"/>
      <c r="AJ244" s="3146">
        <f>名簿入力!AK180</f>
        <v>0</v>
      </c>
      <c r="AK244" s="3147"/>
      <c r="AL244" s="3147"/>
      <c r="AM244" s="3147"/>
      <c r="AN244" s="3147"/>
      <c r="AO244" s="3148"/>
      <c r="AP244" s="3178"/>
      <c r="AQ244" s="3179"/>
      <c r="AR244" s="3179"/>
      <c r="AS244" s="3179"/>
      <c r="AT244" s="3180"/>
      <c r="AU244" s="113"/>
    </row>
    <row r="245" spans="2:47" ht="15" customHeight="1" x14ac:dyDescent="0.15">
      <c r="B245" s="3149">
        <v>84</v>
      </c>
      <c r="C245" s="3151">
        <f>名簿入力!D181</f>
        <v>0</v>
      </c>
      <c r="D245" s="3152"/>
      <c r="E245" s="3155">
        <f>名簿入力!E181</f>
        <v>0</v>
      </c>
      <c r="F245" s="3157">
        <f>名簿入力!G181</f>
        <v>0</v>
      </c>
      <c r="G245" s="3159">
        <f>名簿入力!H181</f>
        <v>0</v>
      </c>
      <c r="H245" s="3161">
        <f>名簿入力!I181</f>
        <v>0</v>
      </c>
      <c r="I245" s="3162"/>
      <c r="J245" s="3165">
        <f>名簿入力!K181</f>
        <v>0</v>
      </c>
      <c r="K245" s="3167">
        <f>名簿入力!L181</f>
        <v>0</v>
      </c>
      <c r="L245" s="3161">
        <f>名簿入力!M181</f>
        <v>0</v>
      </c>
      <c r="M245" s="3169"/>
      <c r="N245" s="3165">
        <f>名簿入力!O181</f>
        <v>0</v>
      </c>
      <c r="O245" s="3165">
        <f>名簿入力!P181</f>
        <v>0</v>
      </c>
      <c r="P245" s="3167">
        <f>名簿入力!Q181</f>
        <v>0</v>
      </c>
      <c r="Q245" s="3161">
        <f>名簿入力!R181</f>
        <v>0</v>
      </c>
      <c r="R245" s="3162"/>
      <c r="S245" s="3165">
        <f>名簿入力!T181</f>
        <v>0</v>
      </c>
      <c r="T245" s="3165">
        <f>名簿入力!U181</f>
        <v>0</v>
      </c>
      <c r="U245" s="3167">
        <f>名簿入力!V181</f>
        <v>0</v>
      </c>
      <c r="V245" s="3161">
        <f>名簿入力!W181</f>
        <v>0</v>
      </c>
      <c r="W245" s="3162"/>
      <c r="X245" s="3165">
        <f>名簿入力!Y181</f>
        <v>0</v>
      </c>
      <c r="Y245" s="3165">
        <f>名簿入力!Z181</f>
        <v>0</v>
      </c>
      <c r="Z245" s="3167">
        <f>名簿入力!AA181</f>
        <v>0</v>
      </c>
      <c r="AA245" s="3161">
        <f>名簿入力!AB181</f>
        <v>0</v>
      </c>
      <c r="AB245" s="3162"/>
      <c r="AC245" s="3165">
        <f>名簿入力!AD181</f>
        <v>0</v>
      </c>
      <c r="AD245" s="3165">
        <f>名簿入力!AE181</f>
        <v>0</v>
      </c>
      <c r="AE245" s="3167">
        <f>名簿入力!AF181</f>
        <v>0</v>
      </c>
      <c r="AF245" s="3161">
        <f>名簿入力!AG181</f>
        <v>0</v>
      </c>
      <c r="AG245" s="3162"/>
      <c r="AH245" s="3165">
        <f>名簿入力!AI181</f>
        <v>0</v>
      </c>
      <c r="AI245" s="3165">
        <f>名簿入力!AJ181</f>
        <v>0</v>
      </c>
      <c r="AJ245" s="3175">
        <f>名簿入力!AK181</f>
        <v>0</v>
      </c>
      <c r="AK245" s="3176"/>
      <c r="AL245" s="3176"/>
      <c r="AM245" s="3176"/>
      <c r="AN245" s="3176"/>
      <c r="AO245" s="3177"/>
      <c r="AP245" s="3137">
        <f>名簿入力!AO181</f>
        <v>0</v>
      </c>
      <c r="AQ245" s="3138"/>
      <c r="AR245" s="3138"/>
      <c r="AS245" s="3138"/>
      <c r="AT245" s="3139"/>
      <c r="AU245" s="113"/>
    </row>
    <row r="246" spans="2:47" ht="15" customHeight="1" x14ac:dyDescent="0.15">
      <c r="B246" s="3181"/>
      <c r="C246" s="3182"/>
      <c r="D246" s="3183"/>
      <c r="E246" s="3184"/>
      <c r="F246" s="3185"/>
      <c r="G246" s="3186"/>
      <c r="H246" s="3173"/>
      <c r="I246" s="3174"/>
      <c r="J246" s="3171"/>
      <c r="K246" s="3172"/>
      <c r="L246" s="3173"/>
      <c r="M246" s="3187"/>
      <c r="N246" s="3171"/>
      <c r="O246" s="3171"/>
      <c r="P246" s="3172"/>
      <c r="Q246" s="3173"/>
      <c r="R246" s="3174"/>
      <c r="S246" s="3171"/>
      <c r="T246" s="3171"/>
      <c r="U246" s="3172"/>
      <c r="V246" s="3173"/>
      <c r="W246" s="3174"/>
      <c r="X246" s="3171"/>
      <c r="Y246" s="3171"/>
      <c r="Z246" s="3172"/>
      <c r="AA246" s="3173"/>
      <c r="AB246" s="3174"/>
      <c r="AC246" s="3171"/>
      <c r="AD246" s="3171"/>
      <c r="AE246" s="3172"/>
      <c r="AF246" s="3173"/>
      <c r="AG246" s="3174"/>
      <c r="AH246" s="3171"/>
      <c r="AI246" s="3171"/>
      <c r="AJ246" s="3146">
        <f>名簿入力!AK182</f>
        <v>0</v>
      </c>
      <c r="AK246" s="3147"/>
      <c r="AL246" s="3147"/>
      <c r="AM246" s="3147"/>
      <c r="AN246" s="3147"/>
      <c r="AO246" s="3148"/>
      <c r="AP246" s="3178"/>
      <c r="AQ246" s="3179"/>
      <c r="AR246" s="3179"/>
      <c r="AS246" s="3179"/>
      <c r="AT246" s="3180"/>
      <c r="AU246" s="113"/>
    </row>
    <row r="247" spans="2:47" ht="15" customHeight="1" x14ac:dyDescent="0.15">
      <c r="B247" s="3149">
        <v>85</v>
      </c>
      <c r="C247" s="3151">
        <f>名簿入力!D183</f>
        <v>0</v>
      </c>
      <c r="D247" s="3152"/>
      <c r="E247" s="3155">
        <f>名簿入力!E183</f>
        <v>0</v>
      </c>
      <c r="F247" s="3157">
        <f>名簿入力!G183</f>
        <v>0</v>
      </c>
      <c r="G247" s="3159">
        <f>名簿入力!H183</f>
        <v>0</v>
      </c>
      <c r="H247" s="3161">
        <f>名簿入力!I183</f>
        <v>0</v>
      </c>
      <c r="I247" s="3162"/>
      <c r="J247" s="3165">
        <f>名簿入力!K183</f>
        <v>0</v>
      </c>
      <c r="K247" s="3167">
        <f>名簿入力!L183</f>
        <v>0</v>
      </c>
      <c r="L247" s="3161">
        <f>名簿入力!M183</f>
        <v>0</v>
      </c>
      <c r="M247" s="3169"/>
      <c r="N247" s="3165">
        <f>名簿入力!O183</f>
        <v>0</v>
      </c>
      <c r="O247" s="3165">
        <f>名簿入力!P183</f>
        <v>0</v>
      </c>
      <c r="P247" s="3167">
        <f>名簿入力!Q183</f>
        <v>0</v>
      </c>
      <c r="Q247" s="3161">
        <f>名簿入力!R183</f>
        <v>0</v>
      </c>
      <c r="R247" s="3162"/>
      <c r="S247" s="3165">
        <f>名簿入力!T183</f>
        <v>0</v>
      </c>
      <c r="T247" s="3165">
        <f>名簿入力!U183</f>
        <v>0</v>
      </c>
      <c r="U247" s="3167">
        <f>名簿入力!V183</f>
        <v>0</v>
      </c>
      <c r="V247" s="3161">
        <f>名簿入力!W183</f>
        <v>0</v>
      </c>
      <c r="W247" s="3162"/>
      <c r="X247" s="3165">
        <f>名簿入力!Y183</f>
        <v>0</v>
      </c>
      <c r="Y247" s="3165">
        <f>名簿入力!Z183</f>
        <v>0</v>
      </c>
      <c r="Z247" s="3167">
        <f>名簿入力!AA183</f>
        <v>0</v>
      </c>
      <c r="AA247" s="3161">
        <f>名簿入力!AB183</f>
        <v>0</v>
      </c>
      <c r="AB247" s="3162"/>
      <c r="AC247" s="3165">
        <f>名簿入力!AD183</f>
        <v>0</v>
      </c>
      <c r="AD247" s="3165">
        <f>名簿入力!AE183</f>
        <v>0</v>
      </c>
      <c r="AE247" s="3167">
        <f>名簿入力!AF183</f>
        <v>0</v>
      </c>
      <c r="AF247" s="3161">
        <f>名簿入力!AG183</f>
        <v>0</v>
      </c>
      <c r="AG247" s="3162"/>
      <c r="AH247" s="3165">
        <f>名簿入力!AI183</f>
        <v>0</v>
      </c>
      <c r="AI247" s="3165">
        <f>名簿入力!AJ183</f>
        <v>0</v>
      </c>
      <c r="AJ247" s="3175">
        <f>名簿入力!AK183</f>
        <v>0</v>
      </c>
      <c r="AK247" s="3176"/>
      <c r="AL247" s="3176"/>
      <c r="AM247" s="3176"/>
      <c r="AN247" s="3176"/>
      <c r="AO247" s="3177"/>
      <c r="AP247" s="3137">
        <f>名簿入力!AO183</f>
        <v>0</v>
      </c>
      <c r="AQ247" s="3138"/>
      <c r="AR247" s="3138"/>
      <c r="AS247" s="3138"/>
      <c r="AT247" s="3139"/>
      <c r="AU247" s="113"/>
    </row>
    <row r="248" spans="2:47" ht="15" customHeight="1" x14ac:dyDescent="0.15">
      <c r="B248" s="3181"/>
      <c r="C248" s="3182"/>
      <c r="D248" s="3183"/>
      <c r="E248" s="3184"/>
      <c r="F248" s="3185"/>
      <c r="G248" s="3186"/>
      <c r="H248" s="3173"/>
      <c r="I248" s="3174"/>
      <c r="J248" s="3171"/>
      <c r="K248" s="3172"/>
      <c r="L248" s="3173"/>
      <c r="M248" s="3187"/>
      <c r="N248" s="3171"/>
      <c r="O248" s="3171"/>
      <c r="P248" s="3172"/>
      <c r="Q248" s="3173"/>
      <c r="R248" s="3174"/>
      <c r="S248" s="3171"/>
      <c r="T248" s="3171"/>
      <c r="U248" s="3172"/>
      <c r="V248" s="3173"/>
      <c r="W248" s="3174"/>
      <c r="X248" s="3171"/>
      <c r="Y248" s="3171"/>
      <c r="Z248" s="3172"/>
      <c r="AA248" s="3173"/>
      <c r="AB248" s="3174"/>
      <c r="AC248" s="3171"/>
      <c r="AD248" s="3171"/>
      <c r="AE248" s="3172"/>
      <c r="AF248" s="3173"/>
      <c r="AG248" s="3174"/>
      <c r="AH248" s="3171"/>
      <c r="AI248" s="3171"/>
      <c r="AJ248" s="3146">
        <f>名簿入力!AK184</f>
        <v>0</v>
      </c>
      <c r="AK248" s="3147"/>
      <c r="AL248" s="3147"/>
      <c r="AM248" s="3147"/>
      <c r="AN248" s="3147"/>
      <c r="AO248" s="3148"/>
      <c r="AP248" s="3178"/>
      <c r="AQ248" s="3179"/>
      <c r="AR248" s="3179"/>
      <c r="AS248" s="3179"/>
      <c r="AT248" s="3180"/>
      <c r="AU248" s="113"/>
    </row>
    <row r="249" spans="2:47" ht="15" customHeight="1" x14ac:dyDescent="0.15">
      <c r="B249" s="3149">
        <v>86</v>
      </c>
      <c r="C249" s="3151">
        <f>名簿入力!D185</f>
        <v>0</v>
      </c>
      <c r="D249" s="3152"/>
      <c r="E249" s="3155">
        <f>名簿入力!E185</f>
        <v>0</v>
      </c>
      <c r="F249" s="3157">
        <f>名簿入力!G185</f>
        <v>0</v>
      </c>
      <c r="G249" s="3159">
        <f>名簿入力!H185</f>
        <v>0</v>
      </c>
      <c r="H249" s="3161">
        <f>名簿入力!I185</f>
        <v>0</v>
      </c>
      <c r="I249" s="3162"/>
      <c r="J249" s="3165">
        <f>名簿入力!K185</f>
        <v>0</v>
      </c>
      <c r="K249" s="3167">
        <f>名簿入力!L185</f>
        <v>0</v>
      </c>
      <c r="L249" s="3161">
        <f>名簿入力!M185</f>
        <v>0</v>
      </c>
      <c r="M249" s="3169"/>
      <c r="N249" s="3165">
        <f>名簿入力!O185</f>
        <v>0</v>
      </c>
      <c r="O249" s="3165">
        <f>名簿入力!P185</f>
        <v>0</v>
      </c>
      <c r="P249" s="3167">
        <f>名簿入力!Q185</f>
        <v>0</v>
      </c>
      <c r="Q249" s="3161">
        <f>名簿入力!R185</f>
        <v>0</v>
      </c>
      <c r="R249" s="3162"/>
      <c r="S249" s="3165">
        <f>名簿入力!T185</f>
        <v>0</v>
      </c>
      <c r="T249" s="3165">
        <f>名簿入力!U185</f>
        <v>0</v>
      </c>
      <c r="U249" s="3167">
        <f>名簿入力!V185</f>
        <v>0</v>
      </c>
      <c r="V249" s="3161">
        <f>名簿入力!W185</f>
        <v>0</v>
      </c>
      <c r="W249" s="3162"/>
      <c r="X249" s="3165">
        <f>名簿入力!Y185</f>
        <v>0</v>
      </c>
      <c r="Y249" s="3165">
        <f>名簿入力!Z185</f>
        <v>0</v>
      </c>
      <c r="Z249" s="3167">
        <f>名簿入力!AA185</f>
        <v>0</v>
      </c>
      <c r="AA249" s="3161">
        <f>名簿入力!AB185</f>
        <v>0</v>
      </c>
      <c r="AB249" s="3162"/>
      <c r="AC249" s="3165">
        <f>名簿入力!AD185</f>
        <v>0</v>
      </c>
      <c r="AD249" s="3165">
        <f>名簿入力!AE185</f>
        <v>0</v>
      </c>
      <c r="AE249" s="3167">
        <f>名簿入力!AF185</f>
        <v>0</v>
      </c>
      <c r="AF249" s="3161">
        <f>名簿入力!AG185</f>
        <v>0</v>
      </c>
      <c r="AG249" s="3162"/>
      <c r="AH249" s="3165">
        <f>名簿入力!AI185</f>
        <v>0</v>
      </c>
      <c r="AI249" s="3165">
        <f>名簿入力!AJ185</f>
        <v>0</v>
      </c>
      <c r="AJ249" s="3175">
        <f>名簿入力!AK185</f>
        <v>0</v>
      </c>
      <c r="AK249" s="3176"/>
      <c r="AL249" s="3176"/>
      <c r="AM249" s="3176"/>
      <c r="AN249" s="3176"/>
      <c r="AO249" s="3177"/>
      <c r="AP249" s="3137">
        <f>名簿入力!AO185</f>
        <v>0</v>
      </c>
      <c r="AQ249" s="3138"/>
      <c r="AR249" s="3138"/>
      <c r="AS249" s="3138"/>
      <c r="AT249" s="3139"/>
      <c r="AU249" s="113"/>
    </row>
    <row r="250" spans="2:47" ht="15" customHeight="1" x14ac:dyDescent="0.15">
      <c r="B250" s="3181"/>
      <c r="C250" s="3182"/>
      <c r="D250" s="3183"/>
      <c r="E250" s="3184"/>
      <c r="F250" s="3185"/>
      <c r="G250" s="3186"/>
      <c r="H250" s="3173"/>
      <c r="I250" s="3174"/>
      <c r="J250" s="3171"/>
      <c r="K250" s="3172"/>
      <c r="L250" s="3173"/>
      <c r="M250" s="3187"/>
      <c r="N250" s="3171"/>
      <c r="O250" s="3171"/>
      <c r="P250" s="3172"/>
      <c r="Q250" s="3173"/>
      <c r="R250" s="3174"/>
      <c r="S250" s="3171"/>
      <c r="T250" s="3171"/>
      <c r="U250" s="3172"/>
      <c r="V250" s="3173"/>
      <c r="W250" s="3174"/>
      <c r="X250" s="3171"/>
      <c r="Y250" s="3171"/>
      <c r="Z250" s="3172"/>
      <c r="AA250" s="3173"/>
      <c r="AB250" s="3174"/>
      <c r="AC250" s="3171"/>
      <c r="AD250" s="3171"/>
      <c r="AE250" s="3172"/>
      <c r="AF250" s="3173"/>
      <c r="AG250" s="3174"/>
      <c r="AH250" s="3171"/>
      <c r="AI250" s="3171"/>
      <c r="AJ250" s="3146">
        <f>名簿入力!AK186</f>
        <v>0</v>
      </c>
      <c r="AK250" s="3147"/>
      <c r="AL250" s="3147"/>
      <c r="AM250" s="3147"/>
      <c r="AN250" s="3147"/>
      <c r="AO250" s="3148"/>
      <c r="AP250" s="3178"/>
      <c r="AQ250" s="3179"/>
      <c r="AR250" s="3179"/>
      <c r="AS250" s="3179"/>
      <c r="AT250" s="3180"/>
      <c r="AU250" s="113"/>
    </row>
    <row r="251" spans="2:47" ht="15" customHeight="1" x14ac:dyDescent="0.15">
      <c r="B251" s="3149">
        <v>87</v>
      </c>
      <c r="C251" s="3151">
        <f>名簿入力!D187</f>
        <v>0</v>
      </c>
      <c r="D251" s="3152"/>
      <c r="E251" s="3155">
        <f>名簿入力!E187</f>
        <v>0</v>
      </c>
      <c r="F251" s="3157">
        <f>名簿入力!G187</f>
        <v>0</v>
      </c>
      <c r="G251" s="3159">
        <f>名簿入力!H187</f>
        <v>0</v>
      </c>
      <c r="H251" s="3161">
        <f>名簿入力!I187</f>
        <v>0</v>
      </c>
      <c r="I251" s="3162"/>
      <c r="J251" s="3165">
        <f>名簿入力!K187</f>
        <v>0</v>
      </c>
      <c r="K251" s="3167">
        <f>名簿入力!L187</f>
        <v>0</v>
      </c>
      <c r="L251" s="3161">
        <f>名簿入力!M187</f>
        <v>0</v>
      </c>
      <c r="M251" s="3169"/>
      <c r="N251" s="3165">
        <f>名簿入力!O187</f>
        <v>0</v>
      </c>
      <c r="O251" s="3165">
        <f>名簿入力!P187</f>
        <v>0</v>
      </c>
      <c r="P251" s="3167">
        <f>名簿入力!Q187</f>
        <v>0</v>
      </c>
      <c r="Q251" s="3161">
        <f>名簿入力!R187</f>
        <v>0</v>
      </c>
      <c r="R251" s="3162"/>
      <c r="S251" s="3165">
        <f>名簿入力!T187</f>
        <v>0</v>
      </c>
      <c r="T251" s="3165">
        <f>名簿入力!U187</f>
        <v>0</v>
      </c>
      <c r="U251" s="3167">
        <f>名簿入力!V187</f>
        <v>0</v>
      </c>
      <c r="V251" s="3161">
        <f>名簿入力!W187</f>
        <v>0</v>
      </c>
      <c r="W251" s="3162"/>
      <c r="X251" s="3165">
        <f>名簿入力!Y187</f>
        <v>0</v>
      </c>
      <c r="Y251" s="3165">
        <f>名簿入力!Z187</f>
        <v>0</v>
      </c>
      <c r="Z251" s="3167">
        <f>名簿入力!AA187</f>
        <v>0</v>
      </c>
      <c r="AA251" s="3161">
        <f>名簿入力!AB187</f>
        <v>0</v>
      </c>
      <c r="AB251" s="3162"/>
      <c r="AC251" s="3165">
        <f>名簿入力!AD187</f>
        <v>0</v>
      </c>
      <c r="AD251" s="3165">
        <f>名簿入力!AE187</f>
        <v>0</v>
      </c>
      <c r="AE251" s="3167">
        <f>名簿入力!AF187</f>
        <v>0</v>
      </c>
      <c r="AF251" s="3161">
        <f>名簿入力!AG187</f>
        <v>0</v>
      </c>
      <c r="AG251" s="3162"/>
      <c r="AH251" s="3165">
        <f>名簿入力!AI187</f>
        <v>0</v>
      </c>
      <c r="AI251" s="3165">
        <f>名簿入力!AJ187</f>
        <v>0</v>
      </c>
      <c r="AJ251" s="3175">
        <f>名簿入力!AK187</f>
        <v>0</v>
      </c>
      <c r="AK251" s="3176"/>
      <c r="AL251" s="3176"/>
      <c r="AM251" s="3176"/>
      <c r="AN251" s="3176"/>
      <c r="AO251" s="3177"/>
      <c r="AP251" s="3137">
        <f>名簿入力!AO187</f>
        <v>0</v>
      </c>
      <c r="AQ251" s="3138"/>
      <c r="AR251" s="3138"/>
      <c r="AS251" s="3138"/>
      <c r="AT251" s="3139"/>
      <c r="AU251" s="113"/>
    </row>
    <row r="252" spans="2:47" ht="15" customHeight="1" x14ac:dyDescent="0.15">
      <c r="B252" s="3181"/>
      <c r="C252" s="3182"/>
      <c r="D252" s="3183"/>
      <c r="E252" s="3184"/>
      <c r="F252" s="3185"/>
      <c r="G252" s="3186"/>
      <c r="H252" s="3173"/>
      <c r="I252" s="3174"/>
      <c r="J252" s="3171"/>
      <c r="K252" s="3172"/>
      <c r="L252" s="3173"/>
      <c r="M252" s="3187"/>
      <c r="N252" s="3171"/>
      <c r="O252" s="3171"/>
      <c r="P252" s="3172"/>
      <c r="Q252" s="3173"/>
      <c r="R252" s="3174"/>
      <c r="S252" s="3171"/>
      <c r="T252" s="3171"/>
      <c r="U252" s="3172"/>
      <c r="V252" s="3173"/>
      <c r="W252" s="3174"/>
      <c r="X252" s="3171"/>
      <c r="Y252" s="3171"/>
      <c r="Z252" s="3172"/>
      <c r="AA252" s="3173"/>
      <c r="AB252" s="3174"/>
      <c r="AC252" s="3171"/>
      <c r="AD252" s="3171"/>
      <c r="AE252" s="3172"/>
      <c r="AF252" s="3173"/>
      <c r="AG252" s="3174"/>
      <c r="AH252" s="3171"/>
      <c r="AI252" s="3171"/>
      <c r="AJ252" s="3146">
        <f>名簿入力!AK188</f>
        <v>0</v>
      </c>
      <c r="AK252" s="3147"/>
      <c r="AL252" s="3147"/>
      <c r="AM252" s="3147"/>
      <c r="AN252" s="3147"/>
      <c r="AO252" s="3148"/>
      <c r="AP252" s="3178"/>
      <c r="AQ252" s="3179"/>
      <c r="AR252" s="3179"/>
      <c r="AS252" s="3179"/>
      <c r="AT252" s="3180"/>
      <c r="AU252" s="113"/>
    </row>
    <row r="253" spans="2:47" ht="15" customHeight="1" x14ac:dyDescent="0.15">
      <c r="B253" s="3149">
        <v>88</v>
      </c>
      <c r="C253" s="3151">
        <f>名簿入力!D189</f>
        <v>0</v>
      </c>
      <c r="D253" s="3152"/>
      <c r="E253" s="3155">
        <f>名簿入力!E189</f>
        <v>0</v>
      </c>
      <c r="F253" s="3157">
        <f>名簿入力!G189</f>
        <v>0</v>
      </c>
      <c r="G253" s="3159">
        <f>名簿入力!H189</f>
        <v>0</v>
      </c>
      <c r="H253" s="3161">
        <f>名簿入力!I189</f>
        <v>0</v>
      </c>
      <c r="I253" s="3162"/>
      <c r="J253" s="3165">
        <f>名簿入力!K189</f>
        <v>0</v>
      </c>
      <c r="K253" s="3167">
        <f>名簿入力!L189</f>
        <v>0</v>
      </c>
      <c r="L253" s="3161">
        <f>名簿入力!M189</f>
        <v>0</v>
      </c>
      <c r="M253" s="3169"/>
      <c r="N253" s="3165">
        <f>名簿入力!O189</f>
        <v>0</v>
      </c>
      <c r="O253" s="3165">
        <f>名簿入力!P189</f>
        <v>0</v>
      </c>
      <c r="P253" s="3167">
        <f>名簿入力!Q189</f>
        <v>0</v>
      </c>
      <c r="Q253" s="3161">
        <f>名簿入力!R189</f>
        <v>0</v>
      </c>
      <c r="R253" s="3162"/>
      <c r="S253" s="3165">
        <f>名簿入力!T189</f>
        <v>0</v>
      </c>
      <c r="T253" s="3165">
        <f>名簿入力!U189</f>
        <v>0</v>
      </c>
      <c r="U253" s="3167">
        <f>名簿入力!V189</f>
        <v>0</v>
      </c>
      <c r="V253" s="3161">
        <f>名簿入力!W189</f>
        <v>0</v>
      </c>
      <c r="W253" s="3162"/>
      <c r="X253" s="3165">
        <f>名簿入力!Y189</f>
        <v>0</v>
      </c>
      <c r="Y253" s="3165">
        <f>名簿入力!Z189</f>
        <v>0</v>
      </c>
      <c r="Z253" s="3167">
        <f>名簿入力!AA189</f>
        <v>0</v>
      </c>
      <c r="AA253" s="3161">
        <f>名簿入力!AB189</f>
        <v>0</v>
      </c>
      <c r="AB253" s="3162"/>
      <c r="AC253" s="3165">
        <f>名簿入力!AD189</f>
        <v>0</v>
      </c>
      <c r="AD253" s="3165">
        <f>名簿入力!AE189</f>
        <v>0</v>
      </c>
      <c r="AE253" s="3167">
        <f>名簿入力!AF189</f>
        <v>0</v>
      </c>
      <c r="AF253" s="3161">
        <f>名簿入力!AG189</f>
        <v>0</v>
      </c>
      <c r="AG253" s="3162"/>
      <c r="AH253" s="3165">
        <f>名簿入力!AI189</f>
        <v>0</v>
      </c>
      <c r="AI253" s="3165">
        <f>名簿入力!AJ189</f>
        <v>0</v>
      </c>
      <c r="AJ253" s="3175">
        <f>名簿入力!AK189</f>
        <v>0</v>
      </c>
      <c r="AK253" s="3176"/>
      <c r="AL253" s="3176"/>
      <c r="AM253" s="3176"/>
      <c r="AN253" s="3176"/>
      <c r="AO253" s="3177"/>
      <c r="AP253" s="3137">
        <f>名簿入力!AO189</f>
        <v>0</v>
      </c>
      <c r="AQ253" s="3138"/>
      <c r="AR253" s="3138"/>
      <c r="AS253" s="3138"/>
      <c r="AT253" s="3139"/>
      <c r="AU253" s="113"/>
    </row>
    <row r="254" spans="2:47" ht="15" customHeight="1" x14ac:dyDescent="0.15">
      <c r="B254" s="3181"/>
      <c r="C254" s="3182"/>
      <c r="D254" s="3183"/>
      <c r="E254" s="3184"/>
      <c r="F254" s="3185"/>
      <c r="G254" s="3186"/>
      <c r="H254" s="3173"/>
      <c r="I254" s="3174"/>
      <c r="J254" s="3171"/>
      <c r="K254" s="3172"/>
      <c r="L254" s="3173"/>
      <c r="M254" s="3187"/>
      <c r="N254" s="3171"/>
      <c r="O254" s="3171"/>
      <c r="P254" s="3172"/>
      <c r="Q254" s="3173"/>
      <c r="R254" s="3174"/>
      <c r="S254" s="3171"/>
      <c r="T254" s="3171"/>
      <c r="U254" s="3172"/>
      <c r="V254" s="3173"/>
      <c r="W254" s="3174"/>
      <c r="X254" s="3171"/>
      <c r="Y254" s="3171"/>
      <c r="Z254" s="3172"/>
      <c r="AA254" s="3173"/>
      <c r="AB254" s="3174"/>
      <c r="AC254" s="3171"/>
      <c r="AD254" s="3171"/>
      <c r="AE254" s="3172"/>
      <c r="AF254" s="3173"/>
      <c r="AG254" s="3174"/>
      <c r="AH254" s="3171"/>
      <c r="AI254" s="3171"/>
      <c r="AJ254" s="3146">
        <f>名簿入力!AK190</f>
        <v>0</v>
      </c>
      <c r="AK254" s="3147"/>
      <c r="AL254" s="3147"/>
      <c r="AM254" s="3147"/>
      <c r="AN254" s="3147"/>
      <c r="AO254" s="3148"/>
      <c r="AP254" s="3178"/>
      <c r="AQ254" s="3179"/>
      <c r="AR254" s="3179"/>
      <c r="AS254" s="3179"/>
      <c r="AT254" s="3180"/>
      <c r="AU254" s="113"/>
    </row>
    <row r="255" spans="2:47" ht="15" customHeight="1" x14ac:dyDescent="0.15">
      <c r="B255" s="3149">
        <v>89</v>
      </c>
      <c r="C255" s="3151">
        <f>名簿入力!D191</f>
        <v>0</v>
      </c>
      <c r="D255" s="3152"/>
      <c r="E255" s="3155">
        <f>名簿入力!E191</f>
        <v>0</v>
      </c>
      <c r="F255" s="3157">
        <f>名簿入力!G191</f>
        <v>0</v>
      </c>
      <c r="G255" s="3159">
        <f>名簿入力!H191</f>
        <v>0</v>
      </c>
      <c r="H255" s="3161">
        <f>名簿入力!I191</f>
        <v>0</v>
      </c>
      <c r="I255" s="3162"/>
      <c r="J255" s="3165">
        <f>名簿入力!K191</f>
        <v>0</v>
      </c>
      <c r="K255" s="3167">
        <f>名簿入力!L191</f>
        <v>0</v>
      </c>
      <c r="L255" s="3161">
        <f>名簿入力!M191</f>
        <v>0</v>
      </c>
      <c r="M255" s="3169"/>
      <c r="N255" s="3165">
        <f>名簿入力!O191</f>
        <v>0</v>
      </c>
      <c r="O255" s="3165">
        <f>名簿入力!P191</f>
        <v>0</v>
      </c>
      <c r="P255" s="3167">
        <f>名簿入力!Q191</f>
        <v>0</v>
      </c>
      <c r="Q255" s="3161">
        <f>名簿入力!R191</f>
        <v>0</v>
      </c>
      <c r="R255" s="3162"/>
      <c r="S255" s="3165">
        <f>名簿入力!T191</f>
        <v>0</v>
      </c>
      <c r="T255" s="3165">
        <f>名簿入力!U191</f>
        <v>0</v>
      </c>
      <c r="U255" s="3167">
        <f>名簿入力!V191</f>
        <v>0</v>
      </c>
      <c r="V255" s="3161">
        <f>名簿入力!W191</f>
        <v>0</v>
      </c>
      <c r="W255" s="3162"/>
      <c r="X255" s="3165">
        <f>名簿入力!Y191</f>
        <v>0</v>
      </c>
      <c r="Y255" s="3165">
        <f>名簿入力!Z191</f>
        <v>0</v>
      </c>
      <c r="Z255" s="3167">
        <f>名簿入力!AA191</f>
        <v>0</v>
      </c>
      <c r="AA255" s="3161">
        <f>名簿入力!AB191</f>
        <v>0</v>
      </c>
      <c r="AB255" s="3162"/>
      <c r="AC255" s="3165">
        <f>名簿入力!AD191</f>
        <v>0</v>
      </c>
      <c r="AD255" s="3165">
        <f>名簿入力!AE191</f>
        <v>0</v>
      </c>
      <c r="AE255" s="3167">
        <f>名簿入力!AF191</f>
        <v>0</v>
      </c>
      <c r="AF255" s="3161">
        <f>名簿入力!AG191</f>
        <v>0</v>
      </c>
      <c r="AG255" s="3162"/>
      <c r="AH255" s="3165">
        <f>名簿入力!AI191</f>
        <v>0</v>
      </c>
      <c r="AI255" s="3165">
        <f>名簿入力!AJ191</f>
        <v>0</v>
      </c>
      <c r="AJ255" s="3175">
        <f>名簿入力!AK191</f>
        <v>0</v>
      </c>
      <c r="AK255" s="3176"/>
      <c r="AL255" s="3176"/>
      <c r="AM255" s="3176"/>
      <c r="AN255" s="3176"/>
      <c r="AO255" s="3177"/>
      <c r="AP255" s="3137">
        <f>名簿入力!AO191</f>
        <v>0</v>
      </c>
      <c r="AQ255" s="3138"/>
      <c r="AR255" s="3138"/>
      <c r="AS255" s="3138"/>
      <c r="AT255" s="3139"/>
      <c r="AU255" s="113"/>
    </row>
    <row r="256" spans="2:47" ht="15" customHeight="1" x14ac:dyDescent="0.15">
      <c r="B256" s="3181"/>
      <c r="C256" s="3182"/>
      <c r="D256" s="3183"/>
      <c r="E256" s="3184"/>
      <c r="F256" s="3185"/>
      <c r="G256" s="3186"/>
      <c r="H256" s="3173"/>
      <c r="I256" s="3174"/>
      <c r="J256" s="3171"/>
      <c r="K256" s="3172"/>
      <c r="L256" s="3173"/>
      <c r="M256" s="3187"/>
      <c r="N256" s="3171"/>
      <c r="O256" s="3171"/>
      <c r="P256" s="3172"/>
      <c r="Q256" s="3173"/>
      <c r="R256" s="3174"/>
      <c r="S256" s="3171"/>
      <c r="T256" s="3171"/>
      <c r="U256" s="3172"/>
      <c r="V256" s="3173"/>
      <c r="W256" s="3174"/>
      <c r="X256" s="3171"/>
      <c r="Y256" s="3171"/>
      <c r="Z256" s="3172"/>
      <c r="AA256" s="3173"/>
      <c r="AB256" s="3174"/>
      <c r="AC256" s="3171"/>
      <c r="AD256" s="3171"/>
      <c r="AE256" s="3172"/>
      <c r="AF256" s="3173"/>
      <c r="AG256" s="3174"/>
      <c r="AH256" s="3171"/>
      <c r="AI256" s="3171"/>
      <c r="AJ256" s="3146">
        <f>名簿入力!AK192</f>
        <v>0</v>
      </c>
      <c r="AK256" s="3147"/>
      <c r="AL256" s="3147"/>
      <c r="AM256" s="3147"/>
      <c r="AN256" s="3147"/>
      <c r="AO256" s="3148"/>
      <c r="AP256" s="3178"/>
      <c r="AQ256" s="3179"/>
      <c r="AR256" s="3179"/>
      <c r="AS256" s="3179"/>
      <c r="AT256" s="3180"/>
      <c r="AU256" s="113"/>
    </row>
    <row r="257" spans="2:50" ht="15" customHeight="1" x14ac:dyDescent="0.15">
      <c r="B257" s="3149">
        <v>90</v>
      </c>
      <c r="C257" s="3151">
        <f>名簿入力!D193</f>
        <v>0</v>
      </c>
      <c r="D257" s="3152"/>
      <c r="E257" s="3155">
        <f>名簿入力!E193</f>
        <v>0</v>
      </c>
      <c r="F257" s="3157">
        <f>名簿入力!G193</f>
        <v>0</v>
      </c>
      <c r="G257" s="3159">
        <f>名簿入力!H193</f>
        <v>0</v>
      </c>
      <c r="H257" s="3161">
        <f>名簿入力!I193</f>
        <v>0</v>
      </c>
      <c r="I257" s="3162"/>
      <c r="J257" s="3165">
        <f>名簿入力!K193</f>
        <v>0</v>
      </c>
      <c r="K257" s="3167">
        <f>名簿入力!L193</f>
        <v>0</v>
      </c>
      <c r="L257" s="3161">
        <f>名簿入力!M193</f>
        <v>0</v>
      </c>
      <c r="M257" s="3169"/>
      <c r="N257" s="3165">
        <f>名簿入力!O193</f>
        <v>0</v>
      </c>
      <c r="O257" s="3165">
        <f>名簿入力!P193</f>
        <v>0</v>
      </c>
      <c r="P257" s="3167">
        <f>名簿入力!Q193</f>
        <v>0</v>
      </c>
      <c r="Q257" s="3161">
        <f>名簿入力!R193</f>
        <v>0</v>
      </c>
      <c r="R257" s="3162"/>
      <c r="S257" s="3165">
        <f>名簿入力!T193</f>
        <v>0</v>
      </c>
      <c r="T257" s="3165">
        <f>名簿入力!U193</f>
        <v>0</v>
      </c>
      <c r="U257" s="3167">
        <f>名簿入力!V193</f>
        <v>0</v>
      </c>
      <c r="V257" s="3161">
        <f>名簿入力!W193</f>
        <v>0</v>
      </c>
      <c r="W257" s="3162"/>
      <c r="X257" s="3165">
        <f>名簿入力!Y193</f>
        <v>0</v>
      </c>
      <c r="Y257" s="3165">
        <f>名簿入力!Z193</f>
        <v>0</v>
      </c>
      <c r="Z257" s="3167">
        <f>名簿入力!AA193</f>
        <v>0</v>
      </c>
      <c r="AA257" s="3161">
        <f>名簿入力!AB193</f>
        <v>0</v>
      </c>
      <c r="AB257" s="3162"/>
      <c r="AC257" s="3165">
        <f>名簿入力!AD193</f>
        <v>0</v>
      </c>
      <c r="AD257" s="3165">
        <f>名簿入力!AE193</f>
        <v>0</v>
      </c>
      <c r="AE257" s="3167">
        <f>名簿入力!AF193</f>
        <v>0</v>
      </c>
      <c r="AF257" s="3161">
        <f>名簿入力!AG193</f>
        <v>0</v>
      </c>
      <c r="AG257" s="3162"/>
      <c r="AH257" s="3165">
        <f>名簿入力!AI193</f>
        <v>0</v>
      </c>
      <c r="AI257" s="3165">
        <f>名簿入力!AJ193</f>
        <v>0</v>
      </c>
      <c r="AJ257" s="3175">
        <f>名簿入力!AK193</f>
        <v>0</v>
      </c>
      <c r="AK257" s="3176"/>
      <c r="AL257" s="3176"/>
      <c r="AM257" s="3176"/>
      <c r="AN257" s="3176"/>
      <c r="AO257" s="3177"/>
      <c r="AP257" s="3137">
        <f>名簿入力!AO193</f>
        <v>0</v>
      </c>
      <c r="AQ257" s="3138"/>
      <c r="AR257" s="3138"/>
      <c r="AS257" s="3138"/>
      <c r="AT257" s="3139"/>
      <c r="AU257" s="113"/>
    </row>
    <row r="258" spans="2:50" ht="15" customHeight="1" thickBot="1" x14ac:dyDescent="0.2">
      <c r="B258" s="3150"/>
      <c r="C258" s="3153"/>
      <c r="D258" s="3154"/>
      <c r="E258" s="3156"/>
      <c r="F258" s="3158"/>
      <c r="G258" s="3160"/>
      <c r="H258" s="3163"/>
      <c r="I258" s="3164"/>
      <c r="J258" s="3166"/>
      <c r="K258" s="3168"/>
      <c r="L258" s="3163"/>
      <c r="M258" s="3170"/>
      <c r="N258" s="3166"/>
      <c r="O258" s="3166"/>
      <c r="P258" s="3168"/>
      <c r="Q258" s="3163"/>
      <c r="R258" s="3164"/>
      <c r="S258" s="3166"/>
      <c r="T258" s="3166"/>
      <c r="U258" s="3168"/>
      <c r="V258" s="3163"/>
      <c r="W258" s="3164"/>
      <c r="X258" s="3166"/>
      <c r="Y258" s="3166"/>
      <c r="Z258" s="3168"/>
      <c r="AA258" s="3163"/>
      <c r="AB258" s="3164"/>
      <c r="AC258" s="3166"/>
      <c r="AD258" s="3166"/>
      <c r="AE258" s="3168"/>
      <c r="AF258" s="3163"/>
      <c r="AG258" s="3164"/>
      <c r="AH258" s="3166"/>
      <c r="AI258" s="3166"/>
      <c r="AJ258" s="3143">
        <f>名簿入力!AK194</f>
        <v>0</v>
      </c>
      <c r="AK258" s="3144"/>
      <c r="AL258" s="3144"/>
      <c r="AM258" s="3144"/>
      <c r="AN258" s="3144"/>
      <c r="AO258" s="3145"/>
      <c r="AP258" s="3140"/>
      <c r="AQ258" s="3141"/>
      <c r="AR258" s="3141"/>
      <c r="AS258" s="3141"/>
      <c r="AT258" s="3142"/>
      <c r="AU258" s="113"/>
    </row>
    <row r="259" spans="2:50" ht="46.5" customHeight="1" x14ac:dyDescent="0.15">
      <c r="B259" s="524"/>
      <c r="C259" s="525"/>
      <c r="D259" s="525"/>
      <c r="E259" s="526"/>
      <c r="F259" s="527"/>
      <c r="G259" s="527"/>
      <c r="H259" s="528"/>
      <c r="I259" s="528"/>
      <c r="J259" s="529"/>
      <c r="K259" s="529"/>
      <c r="L259" s="528"/>
      <c r="M259" s="528"/>
      <c r="N259" s="529"/>
      <c r="O259" s="529"/>
      <c r="P259" s="529"/>
      <c r="Q259" s="528"/>
      <c r="R259" s="528"/>
      <c r="S259" s="529"/>
      <c r="T259" s="529"/>
      <c r="U259" s="529"/>
      <c r="V259" s="528"/>
      <c r="W259" s="528"/>
      <c r="X259" s="529"/>
      <c r="Y259" s="529"/>
      <c r="Z259" s="529"/>
      <c r="AA259" s="528"/>
      <c r="AB259" s="528"/>
      <c r="AC259" s="529"/>
      <c r="AD259" s="529"/>
      <c r="AE259" s="529"/>
      <c r="AF259" s="528"/>
      <c r="AG259" s="528"/>
      <c r="AH259" s="529"/>
      <c r="AI259" s="529"/>
      <c r="AJ259" s="1113"/>
      <c r="AK259" s="1113"/>
      <c r="AL259" s="1113"/>
      <c r="AM259" s="1113"/>
      <c r="AN259" s="1113"/>
      <c r="AO259" s="1113"/>
      <c r="AP259" s="1114"/>
      <c r="AQ259" s="1114"/>
      <c r="AR259" s="1114"/>
      <c r="AS259" s="1114"/>
      <c r="AT259" s="1114"/>
      <c r="AU259" s="113"/>
    </row>
    <row r="260" spans="2:50" ht="26.25" customHeight="1" x14ac:dyDescent="0.15">
      <c r="C260" s="3279" t="s">
        <v>282</v>
      </c>
      <c r="D260" s="3279"/>
      <c r="E260" s="3279"/>
      <c r="F260" s="3279"/>
      <c r="G260" s="3279"/>
      <c r="H260" s="3279"/>
      <c r="I260" s="3279"/>
      <c r="J260" s="3279"/>
      <c r="K260" s="3279"/>
      <c r="L260" s="3279"/>
      <c r="M260" s="3279"/>
      <c r="N260" s="3279"/>
      <c r="O260" s="3279"/>
      <c r="P260" s="3279"/>
      <c r="Q260" s="3279"/>
      <c r="R260" s="3279"/>
      <c r="S260" s="3279"/>
      <c r="T260" s="3279"/>
      <c r="U260" s="3279"/>
      <c r="V260" s="3279"/>
      <c r="W260" s="3279"/>
      <c r="X260" s="3279"/>
      <c r="Y260" s="3279"/>
      <c r="Z260" s="3279"/>
      <c r="AA260" s="1014"/>
      <c r="AB260" s="1014"/>
      <c r="AC260" s="1014"/>
      <c r="AD260" s="1014"/>
      <c r="AE260" s="1014"/>
      <c r="AF260" s="1014"/>
      <c r="AG260" s="1014"/>
      <c r="AH260" s="1014"/>
      <c r="AI260" s="1014"/>
      <c r="AJ260" s="1014"/>
      <c r="AK260" s="1014"/>
      <c r="AL260" s="1014"/>
      <c r="AM260" s="1014"/>
      <c r="AN260" s="1014"/>
      <c r="AP260" s="499"/>
      <c r="AQ260" s="3230" t="s">
        <v>175</v>
      </c>
      <c r="AR260" s="3230"/>
      <c r="AS260" s="3230">
        <v>7</v>
      </c>
      <c r="AT260" s="3230"/>
    </row>
    <row r="261" spans="2:50" ht="3.75" customHeight="1" thickBot="1" x14ac:dyDescent="0.2">
      <c r="B261" s="854"/>
      <c r="C261" s="854"/>
      <c r="D261" s="854"/>
      <c r="E261" s="854"/>
      <c r="F261" s="854"/>
      <c r="G261" s="854"/>
      <c r="H261" s="854"/>
      <c r="I261" s="854"/>
      <c r="J261" s="854"/>
      <c r="K261" s="854"/>
      <c r="L261" s="854"/>
      <c r="M261" s="854"/>
      <c r="N261" s="854"/>
      <c r="O261" s="854"/>
      <c r="P261" s="854"/>
      <c r="Q261" s="854"/>
      <c r="R261" s="854"/>
      <c r="S261" s="854"/>
      <c r="T261" s="854"/>
      <c r="U261" s="854"/>
      <c r="V261" s="854"/>
      <c r="W261" s="854"/>
      <c r="X261" s="854"/>
      <c r="Y261" s="854"/>
      <c r="Z261" s="854"/>
      <c r="AA261" s="854"/>
      <c r="AB261" s="854"/>
      <c r="AC261" s="854"/>
      <c r="AD261" s="854"/>
      <c r="AE261" s="854"/>
      <c r="AF261" s="854"/>
      <c r="AG261" s="854"/>
      <c r="AH261" s="854"/>
      <c r="AI261" s="854"/>
      <c r="AJ261" s="854"/>
      <c r="AK261" s="854"/>
      <c r="AL261" s="854"/>
      <c r="AM261" s="854"/>
      <c r="AN261" s="854"/>
      <c r="AP261" s="499"/>
      <c r="AQ261" s="855"/>
      <c r="AR261" s="855"/>
      <c r="AS261" s="855"/>
      <c r="AT261" s="855"/>
    </row>
    <row r="262" spans="2:50" ht="15" customHeight="1" x14ac:dyDescent="0.15">
      <c r="B262" s="3231" t="s">
        <v>174</v>
      </c>
      <c r="C262" s="3232"/>
      <c r="D262" s="3235" t="str">
        <f>$D$4</f>
        <v xml:space="preserve"> </v>
      </c>
      <c r="E262" s="3235"/>
      <c r="F262" s="3235"/>
      <c r="G262" s="3235"/>
      <c r="H262" s="3235"/>
      <c r="I262" s="3235"/>
      <c r="J262" s="3235"/>
      <c r="K262" s="3235"/>
      <c r="L262" s="3235"/>
      <c r="M262" s="3235"/>
      <c r="N262" s="3235"/>
      <c r="O262" s="3235"/>
      <c r="P262" s="3235"/>
      <c r="Q262" s="3235"/>
      <c r="R262" s="3235"/>
      <c r="S262" s="3235"/>
      <c r="T262" s="3235"/>
      <c r="U262" s="3235"/>
      <c r="V262" s="3235"/>
      <c r="W262" s="3235"/>
      <c r="X262" s="3235"/>
      <c r="Y262" s="3235"/>
      <c r="Z262" s="3236"/>
      <c r="AA262" s="502"/>
      <c r="AB262" s="503"/>
      <c r="AC262" s="497"/>
      <c r="AD262" s="497"/>
      <c r="AE262" s="497"/>
      <c r="AF262" s="48"/>
      <c r="AG262" s="48"/>
      <c r="AJ262" s="48"/>
      <c r="AK262" s="48"/>
    </row>
    <row r="263" spans="2:50" ht="22.5" customHeight="1" x14ac:dyDescent="0.15">
      <c r="B263" s="3233"/>
      <c r="C263" s="3234"/>
      <c r="D263" s="3237"/>
      <c r="E263" s="3237"/>
      <c r="F263" s="3237"/>
      <c r="G263" s="3237"/>
      <c r="H263" s="3237"/>
      <c r="I263" s="3237"/>
      <c r="J263" s="3237"/>
      <c r="K263" s="3237"/>
      <c r="L263" s="3237"/>
      <c r="M263" s="3237"/>
      <c r="N263" s="3237"/>
      <c r="O263" s="3237"/>
      <c r="P263" s="3237"/>
      <c r="Q263" s="3237"/>
      <c r="R263" s="3237"/>
      <c r="S263" s="3237"/>
      <c r="T263" s="3237"/>
      <c r="U263" s="3237"/>
      <c r="V263" s="3237"/>
      <c r="W263" s="3237"/>
      <c r="X263" s="3237"/>
      <c r="Y263" s="3237"/>
      <c r="Z263" s="3238"/>
      <c r="AA263" s="502"/>
      <c r="AB263" s="504"/>
      <c r="AC263" s="497"/>
      <c r="AD263" s="497"/>
      <c r="AE263" s="497"/>
      <c r="AF263" s="497"/>
      <c r="AG263" s="48"/>
      <c r="AJ263" s="48"/>
      <c r="AK263" s="48"/>
    </row>
    <row r="264" spans="2:50" ht="24.75" customHeight="1" thickBot="1" x14ac:dyDescent="0.2">
      <c r="B264" s="3239" t="s">
        <v>173</v>
      </c>
      <c r="C264" s="3240"/>
      <c r="D264" s="3241">
        <f>$D$6</f>
        <v>0</v>
      </c>
      <c r="E264" s="3241"/>
      <c r="F264" s="513" t="s">
        <v>60</v>
      </c>
      <c r="G264" s="3241">
        <f>$G$6</f>
        <v>0</v>
      </c>
      <c r="H264" s="3241"/>
      <c r="I264" s="514" t="s">
        <v>61</v>
      </c>
      <c r="J264" s="3241">
        <f>$J$6</f>
        <v>0</v>
      </c>
      <c r="K264" s="3241"/>
      <c r="L264" s="514" t="s">
        <v>62</v>
      </c>
      <c r="M264" s="515" t="s">
        <v>96</v>
      </c>
      <c r="N264" s="514" t="str">
        <f>$N$6</f>
        <v/>
      </c>
      <c r="O264" s="514" t="s">
        <v>104</v>
      </c>
      <c r="P264" s="3242" t="s">
        <v>110</v>
      </c>
      <c r="Q264" s="3242"/>
      <c r="R264" s="3243" t="str">
        <f>$R$6</f>
        <v/>
      </c>
      <c r="S264" s="3243"/>
      <c r="T264" s="514" t="s">
        <v>61</v>
      </c>
      <c r="U264" s="3244" t="str">
        <f>$U$6</f>
        <v/>
      </c>
      <c r="V264" s="3244"/>
      <c r="W264" s="514" t="s">
        <v>62</v>
      </c>
      <c r="X264" s="515" t="s">
        <v>96</v>
      </c>
      <c r="Y264" s="516" t="str">
        <f>$Y$6</f>
        <v/>
      </c>
      <c r="Z264" s="517" t="s">
        <v>104</v>
      </c>
      <c r="AA264" s="507"/>
      <c r="AB264" s="48"/>
      <c r="AF264" s="48"/>
      <c r="AG264" s="48"/>
      <c r="AJ264" s="48"/>
      <c r="AK264" s="48"/>
    </row>
    <row r="265" spans="2:50" ht="13.5" customHeight="1" thickBot="1" x14ac:dyDescent="0.2">
      <c r="B265" s="508"/>
      <c r="C265" s="508"/>
      <c r="D265" s="509"/>
      <c r="E265" s="509"/>
      <c r="F265" s="509"/>
      <c r="G265" s="509"/>
      <c r="H265" s="509"/>
      <c r="I265" s="509"/>
      <c r="J265" s="509"/>
      <c r="K265" s="509"/>
      <c r="L265" s="509"/>
      <c r="M265" s="509"/>
      <c r="N265" s="509"/>
      <c r="O265" s="509"/>
      <c r="P265" s="509"/>
      <c r="Q265" s="509"/>
      <c r="R265" s="509"/>
      <c r="S265" s="509"/>
      <c r="T265" s="509"/>
      <c r="U265" s="509"/>
      <c r="V265" s="509"/>
      <c r="W265" s="509"/>
      <c r="X265" s="510"/>
      <c r="Y265" s="510"/>
      <c r="Z265" s="510"/>
      <c r="AA265" s="511"/>
      <c r="AB265" s="48"/>
      <c r="AF265" s="48"/>
      <c r="AG265" s="48"/>
      <c r="AJ265" s="48"/>
      <c r="AK265" s="48"/>
    </row>
    <row r="266" spans="2:50" ht="15" customHeight="1" x14ac:dyDescent="0.15">
      <c r="B266" s="3200" t="s">
        <v>287</v>
      </c>
      <c r="C266" s="3203" t="s">
        <v>167</v>
      </c>
      <c r="D266" s="1959"/>
      <c r="E266" s="1962" t="s">
        <v>341</v>
      </c>
      <c r="F266" s="2097" t="s">
        <v>166</v>
      </c>
      <c r="G266" s="2098"/>
      <c r="H266" s="3245" t="s">
        <v>165</v>
      </c>
      <c r="I266" s="3246"/>
      <c r="J266" s="3246"/>
      <c r="K266" s="3247"/>
      <c r="L266" s="3245" t="s">
        <v>164</v>
      </c>
      <c r="M266" s="3246"/>
      <c r="N266" s="3246"/>
      <c r="O266" s="3246"/>
      <c r="P266" s="3247"/>
      <c r="Q266" s="3245" t="s">
        <v>163</v>
      </c>
      <c r="R266" s="3246"/>
      <c r="S266" s="3246"/>
      <c r="T266" s="3246"/>
      <c r="U266" s="3247"/>
      <c r="V266" s="3245" t="s">
        <v>249</v>
      </c>
      <c r="W266" s="3246"/>
      <c r="X266" s="3246"/>
      <c r="Y266" s="3246"/>
      <c r="Z266" s="3247"/>
      <c r="AA266" s="3245" t="s">
        <v>250</v>
      </c>
      <c r="AB266" s="3246"/>
      <c r="AC266" s="3246"/>
      <c r="AD266" s="3246"/>
      <c r="AE266" s="3247"/>
      <c r="AF266" s="3245" t="s">
        <v>251</v>
      </c>
      <c r="AG266" s="3246"/>
      <c r="AH266" s="3246"/>
      <c r="AI266" s="3246"/>
      <c r="AJ266" s="3248" t="s">
        <v>438</v>
      </c>
      <c r="AK266" s="3249"/>
      <c r="AL266" s="3249"/>
      <c r="AM266" s="3249"/>
      <c r="AN266" s="3249"/>
      <c r="AO266" s="3250"/>
      <c r="AP266" s="3248" t="s">
        <v>162</v>
      </c>
      <c r="AQ266" s="3249"/>
      <c r="AR266" s="3249"/>
      <c r="AS266" s="3249"/>
      <c r="AT266" s="3250"/>
      <c r="AU266" s="117"/>
      <c r="AW266" s="501"/>
      <c r="AX266" s="501"/>
    </row>
    <row r="267" spans="2:50" ht="26.25" customHeight="1" x14ac:dyDescent="0.15">
      <c r="B267" s="3201"/>
      <c r="C267" s="3204"/>
      <c r="D267" s="1960"/>
      <c r="E267" s="1963"/>
      <c r="F267" s="2099"/>
      <c r="G267" s="1972"/>
      <c r="H267" s="3251" t="str">
        <f>$H$9</f>
        <v/>
      </c>
      <c r="I267" s="3252"/>
      <c r="J267" s="3252"/>
      <c r="K267" s="3253"/>
      <c r="L267" s="3254" t="str">
        <f>$L$9</f>
        <v/>
      </c>
      <c r="M267" s="3255"/>
      <c r="N267" s="3255"/>
      <c r="O267" s="3255"/>
      <c r="P267" s="3256"/>
      <c r="Q267" s="3254" t="str">
        <f>$Q$9</f>
        <v/>
      </c>
      <c r="R267" s="3255"/>
      <c r="S267" s="3255"/>
      <c r="T267" s="3255"/>
      <c r="U267" s="3256"/>
      <c r="V267" s="3254" t="str">
        <f>$V$9</f>
        <v/>
      </c>
      <c r="W267" s="3255"/>
      <c r="X267" s="3255"/>
      <c r="Y267" s="3255"/>
      <c r="Z267" s="3256"/>
      <c r="AA267" s="3254" t="str">
        <f>$AA$9</f>
        <v/>
      </c>
      <c r="AB267" s="3255"/>
      <c r="AC267" s="3255"/>
      <c r="AD267" s="3255"/>
      <c r="AE267" s="3256"/>
      <c r="AF267" s="3254" t="str">
        <f>$AF$9</f>
        <v/>
      </c>
      <c r="AG267" s="3255"/>
      <c r="AH267" s="3255"/>
      <c r="AI267" s="3255"/>
      <c r="AJ267" s="3257" t="s">
        <v>441</v>
      </c>
      <c r="AK267" s="3258"/>
      <c r="AL267" s="3258"/>
      <c r="AM267" s="3258"/>
      <c r="AN267" s="3258"/>
      <c r="AO267" s="3259"/>
      <c r="AP267" s="3263" t="s">
        <v>442</v>
      </c>
      <c r="AQ267" s="3264"/>
      <c r="AR267" s="3264"/>
      <c r="AS267" s="3264"/>
      <c r="AT267" s="3265"/>
      <c r="AU267" s="116"/>
    </row>
    <row r="268" spans="2:50" ht="16.5" customHeight="1" x14ac:dyDescent="0.15">
      <c r="B268" s="3201"/>
      <c r="C268" s="3204"/>
      <c r="D268" s="1960"/>
      <c r="E268" s="1963"/>
      <c r="F268" s="3266" t="s">
        <v>78</v>
      </c>
      <c r="G268" s="3206" t="s">
        <v>79</v>
      </c>
      <c r="H268" s="1974" t="s">
        <v>176</v>
      </c>
      <c r="I268" s="3208"/>
      <c r="J268" s="3210" t="s">
        <v>161</v>
      </c>
      <c r="K268" s="3211"/>
      <c r="L268" s="1974" t="s">
        <v>176</v>
      </c>
      <c r="M268" s="3208"/>
      <c r="N268" s="3210" t="s">
        <v>160</v>
      </c>
      <c r="O268" s="3213"/>
      <c r="P268" s="3211"/>
      <c r="Q268" s="1974" t="s">
        <v>176</v>
      </c>
      <c r="R268" s="3208"/>
      <c r="S268" s="3210" t="s">
        <v>160</v>
      </c>
      <c r="T268" s="3213"/>
      <c r="U268" s="3211"/>
      <c r="V268" s="1974" t="s">
        <v>176</v>
      </c>
      <c r="W268" s="3208"/>
      <c r="X268" s="3210" t="s">
        <v>160</v>
      </c>
      <c r="Y268" s="3213"/>
      <c r="Z268" s="3211"/>
      <c r="AA268" s="1974" t="s">
        <v>176</v>
      </c>
      <c r="AB268" s="3208"/>
      <c r="AC268" s="3210" t="s">
        <v>160</v>
      </c>
      <c r="AD268" s="3213"/>
      <c r="AE268" s="3211"/>
      <c r="AF268" s="1974" t="s">
        <v>176</v>
      </c>
      <c r="AG268" s="3208"/>
      <c r="AH268" s="3210" t="s">
        <v>160</v>
      </c>
      <c r="AI268" s="3213"/>
      <c r="AJ268" s="3257"/>
      <c r="AK268" s="3258"/>
      <c r="AL268" s="3258"/>
      <c r="AM268" s="3258"/>
      <c r="AN268" s="3258"/>
      <c r="AO268" s="3259"/>
      <c r="AP268" s="3257"/>
      <c r="AQ268" s="3258"/>
      <c r="AR268" s="3258"/>
      <c r="AS268" s="3258"/>
      <c r="AT268" s="3259"/>
      <c r="AU268" s="115"/>
    </row>
    <row r="269" spans="2:50" ht="19.5" customHeight="1" thickBot="1" x14ac:dyDescent="0.2">
      <c r="B269" s="3202"/>
      <c r="C269" s="3205"/>
      <c r="D269" s="1961"/>
      <c r="E269" s="1964"/>
      <c r="F269" s="3267"/>
      <c r="G269" s="3207"/>
      <c r="H269" s="1978"/>
      <c r="I269" s="3209"/>
      <c r="J269" s="523" t="s">
        <v>153</v>
      </c>
      <c r="K269" s="522" t="s">
        <v>280</v>
      </c>
      <c r="L269" s="1978"/>
      <c r="M269" s="3212"/>
      <c r="N269" s="523" t="s">
        <v>154</v>
      </c>
      <c r="O269" s="523" t="s">
        <v>153</v>
      </c>
      <c r="P269" s="522" t="s">
        <v>280</v>
      </c>
      <c r="Q269" s="1978"/>
      <c r="R269" s="3209"/>
      <c r="S269" s="523" t="s">
        <v>154</v>
      </c>
      <c r="T269" s="523" t="s">
        <v>153</v>
      </c>
      <c r="U269" s="522" t="s">
        <v>280</v>
      </c>
      <c r="V269" s="1978"/>
      <c r="W269" s="3209"/>
      <c r="X269" s="523" t="s">
        <v>154</v>
      </c>
      <c r="Y269" s="523" t="s">
        <v>153</v>
      </c>
      <c r="Z269" s="522" t="s">
        <v>280</v>
      </c>
      <c r="AA269" s="1978"/>
      <c r="AB269" s="3209"/>
      <c r="AC269" s="523" t="s">
        <v>154</v>
      </c>
      <c r="AD269" s="523" t="s">
        <v>153</v>
      </c>
      <c r="AE269" s="522" t="s">
        <v>280</v>
      </c>
      <c r="AF269" s="1978"/>
      <c r="AG269" s="3209"/>
      <c r="AH269" s="523" t="s">
        <v>154</v>
      </c>
      <c r="AI269" s="523" t="s">
        <v>153</v>
      </c>
      <c r="AJ269" s="3260"/>
      <c r="AK269" s="3261"/>
      <c r="AL269" s="3261"/>
      <c r="AM269" s="3261"/>
      <c r="AN269" s="3261"/>
      <c r="AO269" s="3262"/>
      <c r="AP269" s="3260"/>
      <c r="AQ269" s="3261"/>
      <c r="AR269" s="3261"/>
      <c r="AS269" s="3261"/>
      <c r="AT269" s="3262"/>
      <c r="AU269" s="114"/>
    </row>
    <row r="270" spans="2:50" ht="15" customHeight="1" x14ac:dyDescent="0.15">
      <c r="B270" s="3214" t="s">
        <v>159</v>
      </c>
      <c r="C270" s="3216" t="s">
        <v>158</v>
      </c>
      <c r="D270" s="3217"/>
      <c r="E270" s="3220" t="s">
        <v>157</v>
      </c>
      <c r="F270" s="3222" t="s">
        <v>98</v>
      </c>
      <c r="G270" s="3224"/>
      <c r="H270" s="3190" t="s">
        <v>155</v>
      </c>
      <c r="I270" s="3191"/>
      <c r="J270" s="3194" t="s">
        <v>98</v>
      </c>
      <c r="K270" s="3188" t="s">
        <v>98</v>
      </c>
      <c r="L270" s="3190" t="s">
        <v>155</v>
      </c>
      <c r="M270" s="3226"/>
      <c r="N270" s="3194" t="s">
        <v>98</v>
      </c>
      <c r="O270" s="3194" t="s">
        <v>98</v>
      </c>
      <c r="P270" s="3188" t="s">
        <v>98</v>
      </c>
      <c r="Q270" s="2087" t="s">
        <v>414</v>
      </c>
      <c r="R270" s="3196"/>
      <c r="S270" s="3194" t="s">
        <v>98</v>
      </c>
      <c r="T270" s="3198"/>
      <c r="U270" s="3228"/>
      <c r="V270" s="3190"/>
      <c r="W270" s="3191"/>
      <c r="X270" s="3194"/>
      <c r="Y270" s="3194"/>
      <c r="Z270" s="3188"/>
      <c r="AA270" s="3190"/>
      <c r="AB270" s="3191"/>
      <c r="AC270" s="3194"/>
      <c r="AD270" s="3194"/>
      <c r="AE270" s="3188"/>
      <c r="AF270" s="2087"/>
      <c r="AG270" s="3196"/>
      <c r="AH270" s="3194"/>
      <c r="AI270" s="3198"/>
      <c r="AJ270" s="2032" t="s">
        <v>433</v>
      </c>
      <c r="AK270" s="2033"/>
      <c r="AL270" s="2033"/>
      <c r="AM270" s="2033"/>
      <c r="AN270" s="2033"/>
      <c r="AO270" s="2034"/>
      <c r="AP270" s="2026" t="s">
        <v>342</v>
      </c>
      <c r="AQ270" s="2027"/>
      <c r="AR270" s="2027"/>
      <c r="AS270" s="2027"/>
      <c r="AT270" s="2028"/>
      <c r="AU270" s="113"/>
    </row>
    <row r="271" spans="2:50" ht="15" customHeight="1" x14ac:dyDescent="0.15">
      <c r="B271" s="3215"/>
      <c r="C271" s="3218"/>
      <c r="D271" s="3219"/>
      <c r="E271" s="3221"/>
      <c r="F271" s="3223"/>
      <c r="G271" s="3225"/>
      <c r="H271" s="3192"/>
      <c r="I271" s="3193"/>
      <c r="J271" s="3195"/>
      <c r="K271" s="3189"/>
      <c r="L271" s="3192"/>
      <c r="M271" s="3227"/>
      <c r="N271" s="3195"/>
      <c r="O271" s="3195"/>
      <c r="P271" s="3189"/>
      <c r="Q271" s="2089"/>
      <c r="R271" s="3197"/>
      <c r="S271" s="3195"/>
      <c r="T271" s="3199"/>
      <c r="U271" s="3229"/>
      <c r="V271" s="3192"/>
      <c r="W271" s="3193"/>
      <c r="X271" s="3195"/>
      <c r="Y271" s="3195"/>
      <c r="Z271" s="3189"/>
      <c r="AA271" s="3192"/>
      <c r="AB271" s="3193"/>
      <c r="AC271" s="3195"/>
      <c r="AD271" s="3195"/>
      <c r="AE271" s="3189"/>
      <c r="AF271" s="2089"/>
      <c r="AG271" s="3197"/>
      <c r="AH271" s="3195"/>
      <c r="AI271" s="3199"/>
      <c r="AJ271" s="2035" t="s">
        <v>434</v>
      </c>
      <c r="AK271" s="2036"/>
      <c r="AL271" s="2036"/>
      <c r="AM271" s="2036"/>
      <c r="AN271" s="2036"/>
      <c r="AO271" s="2037"/>
      <c r="AP271" s="2029"/>
      <c r="AQ271" s="2030"/>
      <c r="AR271" s="2030"/>
      <c r="AS271" s="2030"/>
      <c r="AT271" s="2031"/>
      <c r="AU271" s="113"/>
    </row>
    <row r="272" spans="2:50" ht="15" customHeight="1" x14ac:dyDescent="0.15">
      <c r="B272" s="3149">
        <v>91</v>
      </c>
      <c r="C272" s="3151">
        <f>名簿入力!D195</f>
        <v>0</v>
      </c>
      <c r="D272" s="3152"/>
      <c r="E272" s="3155">
        <f>名簿入力!E195</f>
        <v>0</v>
      </c>
      <c r="F272" s="3157">
        <f>名簿入力!G195</f>
        <v>0</v>
      </c>
      <c r="G272" s="3159">
        <f>名簿入力!H195</f>
        <v>0</v>
      </c>
      <c r="H272" s="3161">
        <f>名簿入力!I195</f>
        <v>0</v>
      </c>
      <c r="I272" s="3162"/>
      <c r="J272" s="3165">
        <f>名簿入力!K195</f>
        <v>0</v>
      </c>
      <c r="K272" s="3167">
        <f>名簿入力!L195</f>
        <v>0</v>
      </c>
      <c r="L272" s="3161">
        <f>名簿入力!M195</f>
        <v>0</v>
      </c>
      <c r="M272" s="3169"/>
      <c r="N272" s="3165">
        <f>名簿入力!O195</f>
        <v>0</v>
      </c>
      <c r="O272" s="3165">
        <f>名簿入力!P195</f>
        <v>0</v>
      </c>
      <c r="P272" s="3167">
        <f>名簿入力!Q195</f>
        <v>0</v>
      </c>
      <c r="Q272" s="3161">
        <f>名簿入力!R195</f>
        <v>0</v>
      </c>
      <c r="R272" s="3162"/>
      <c r="S272" s="3165">
        <f>名簿入力!T195</f>
        <v>0</v>
      </c>
      <c r="T272" s="3165">
        <f>名簿入力!U195</f>
        <v>0</v>
      </c>
      <c r="U272" s="3167">
        <f>名簿入力!V195</f>
        <v>0</v>
      </c>
      <c r="V272" s="3161">
        <f>名簿入力!W195</f>
        <v>0</v>
      </c>
      <c r="W272" s="3162"/>
      <c r="X272" s="3165">
        <f>名簿入力!Y195</f>
        <v>0</v>
      </c>
      <c r="Y272" s="3165">
        <f>名簿入力!Z195</f>
        <v>0</v>
      </c>
      <c r="Z272" s="3167">
        <f>名簿入力!AA195</f>
        <v>0</v>
      </c>
      <c r="AA272" s="3161">
        <f>名簿入力!AB195</f>
        <v>0</v>
      </c>
      <c r="AB272" s="3162"/>
      <c r="AC272" s="3165">
        <f>名簿入力!AD195</f>
        <v>0</v>
      </c>
      <c r="AD272" s="3165">
        <f>名簿入力!AE195</f>
        <v>0</v>
      </c>
      <c r="AE272" s="3167">
        <f>名簿入力!AF195</f>
        <v>0</v>
      </c>
      <c r="AF272" s="3161">
        <f>名簿入力!AG195</f>
        <v>0</v>
      </c>
      <c r="AG272" s="3162"/>
      <c r="AH272" s="3165">
        <f>名簿入力!AI195</f>
        <v>0</v>
      </c>
      <c r="AI272" s="3165">
        <f>名簿入力!AJ195</f>
        <v>0</v>
      </c>
      <c r="AJ272" s="3175">
        <f>名簿入力!AK195</f>
        <v>0</v>
      </c>
      <c r="AK272" s="3176"/>
      <c r="AL272" s="3176"/>
      <c r="AM272" s="3176"/>
      <c r="AN272" s="3176"/>
      <c r="AO272" s="3177"/>
      <c r="AP272" s="3137">
        <f>名簿入力!AO195</f>
        <v>0</v>
      </c>
      <c r="AQ272" s="3138"/>
      <c r="AR272" s="3138"/>
      <c r="AS272" s="3138"/>
      <c r="AT272" s="3139"/>
      <c r="AU272" s="113"/>
    </row>
    <row r="273" spans="2:47" ht="15" customHeight="1" x14ac:dyDescent="0.15">
      <c r="B273" s="3181"/>
      <c r="C273" s="3182"/>
      <c r="D273" s="3183"/>
      <c r="E273" s="3184"/>
      <c r="F273" s="3185"/>
      <c r="G273" s="3186"/>
      <c r="H273" s="3173"/>
      <c r="I273" s="3174"/>
      <c r="J273" s="3171"/>
      <c r="K273" s="3172"/>
      <c r="L273" s="3173"/>
      <c r="M273" s="3187"/>
      <c r="N273" s="3171"/>
      <c r="O273" s="3171"/>
      <c r="P273" s="3172"/>
      <c r="Q273" s="3173"/>
      <c r="R273" s="3174"/>
      <c r="S273" s="3171"/>
      <c r="T273" s="3171"/>
      <c r="U273" s="3172"/>
      <c r="V273" s="3173"/>
      <c r="W273" s="3174"/>
      <c r="X273" s="3171"/>
      <c r="Y273" s="3171"/>
      <c r="Z273" s="3172"/>
      <c r="AA273" s="3173"/>
      <c r="AB273" s="3174"/>
      <c r="AC273" s="3171"/>
      <c r="AD273" s="3171"/>
      <c r="AE273" s="3172"/>
      <c r="AF273" s="3173"/>
      <c r="AG273" s="3174"/>
      <c r="AH273" s="3171"/>
      <c r="AI273" s="3171"/>
      <c r="AJ273" s="3146">
        <f>名簿入力!AK196</f>
        <v>0</v>
      </c>
      <c r="AK273" s="3147"/>
      <c r="AL273" s="3147"/>
      <c r="AM273" s="3147"/>
      <c r="AN273" s="3147"/>
      <c r="AO273" s="3148"/>
      <c r="AP273" s="3178"/>
      <c r="AQ273" s="3179"/>
      <c r="AR273" s="3179"/>
      <c r="AS273" s="3179"/>
      <c r="AT273" s="3180"/>
      <c r="AU273" s="113"/>
    </row>
    <row r="274" spans="2:47" ht="15" customHeight="1" x14ac:dyDescent="0.15">
      <c r="B274" s="3149">
        <v>92</v>
      </c>
      <c r="C274" s="3151">
        <f>名簿入力!D197</f>
        <v>0</v>
      </c>
      <c r="D274" s="3152"/>
      <c r="E274" s="3155">
        <f>名簿入力!E197</f>
        <v>0</v>
      </c>
      <c r="F274" s="3157">
        <f>名簿入力!G197</f>
        <v>0</v>
      </c>
      <c r="G274" s="3159">
        <f>名簿入力!H197</f>
        <v>0</v>
      </c>
      <c r="H274" s="3161">
        <f>名簿入力!I197</f>
        <v>0</v>
      </c>
      <c r="I274" s="3162"/>
      <c r="J274" s="3165">
        <f>名簿入力!K197</f>
        <v>0</v>
      </c>
      <c r="K274" s="3167">
        <f>名簿入力!L197</f>
        <v>0</v>
      </c>
      <c r="L274" s="3161">
        <f>名簿入力!M197</f>
        <v>0</v>
      </c>
      <c r="M274" s="3169"/>
      <c r="N274" s="3165">
        <f>名簿入力!O197</f>
        <v>0</v>
      </c>
      <c r="O274" s="3165">
        <f>名簿入力!P197</f>
        <v>0</v>
      </c>
      <c r="P274" s="3167">
        <f>名簿入力!Q197</f>
        <v>0</v>
      </c>
      <c r="Q274" s="3161">
        <f>名簿入力!R197</f>
        <v>0</v>
      </c>
      <c r="R274" s="3162"/>
      <c r="S274" s="3165">
        <f>名簿入力!T197</f>
        <v>0</v>
      </c>
      <c r="T274" s="3165">
        <f>名簿入力!U197</f>
        <v>0</v>
      </c>
      <c r="U274" s="3167">
        <f>名簿入力!V197</f>
        <v>0</v>
      </c>
      <c r="V274" s="3161">
        <f>名簿入力!W197</f>
        <v>0</v>
      </c>
      <c r="W274" s="3162"/>
      <c r="X274" s="3165">
        <f>名簿入力!Y197</f>
        <v>0</v>
      </c>
      <c r="Y274" s="3165">
        <f>名簿入力!Z197</f>
        <v>0</v>
      </c>
      <c r="Z274" s="3167">
        <f>名簿入力!AA197</f>
        <v>0</v>
      </c>
      <c r="AA274" s="3161">
        <f>名簿入力!AB197</f>
        <v>0</v>
      </c>
      <c r="AB274" s="3162"/>
      <c r="AC274" s="3165">
        <f>名簿入力!AD197</f>
        <v>0</v>
      </c>
      <c r="AD274" s="3165">
        <f>名簿入力!AE197</f>
        <v>0</v>
      </c>
      <c r="AE274" s="3167">
        <f>名簿入力!AF197</f>
        <v>0</v>
      </c>
      <c r="AF274" s="3161">
        <f>名簿入力!AG197</f>
        <v>0</v>
      </c>
      <c r="AG274" s="3162"/>
      <c r="AH274" s="3165">
        <f>名簿入力!AI197</f>
        <v>0</v>
      </c>
      <c r="AI274" s="3165">
        <f>名簿入力!AJ197</f>
        <v>0</v>
      </c>
      <c r="AJ274" s="3175">
        <f>名簿入力!AK197</f>
        <v>0</v>
      </c>
      <c r="AK274" s="3176"/>
      <c r="AL274" s="3176"/>
      <c r="AM274" s="3176"/>
      <c r="AN274" s="3176"/>
      <c r="AO274" s="3177"/>
      <c r="AP274" s="3137">
        <f>名簿入力!AO197</f>
        <v>0</v>
      </c>
      <c r="AQ274" s="3138"/>
      <c r="AR274" s="3138"/>
      <c r="AS274" s="3138"/>
      <c r="AT274" s="3139"/>
      <c r="AU274" s="113"/>
    </row>
    <row r="275" spans="2:47" ht="15" customHeight="1" x14ac:dyDescent="0.15">
      <c r="B275" s="3181"/>
      <c r="C275" s="3182"/>
      <c r="D275" s="3183"/>
      <c r="E275" s="3184"/>
      <c r="F275" s="3185"/>
      <c r="G275" s="3186"/>
      <c r="H275" s="3173"/>
      <c r="I275" s="3174"/>
      <c r="J275" s="3171"/>
      <c r="K275" s="3172"/>
      <c r="L275" s="3173"/>
      <c r="M275" s="3187"/>
      <c r="N275" s="3171"/>
      <c r="O275" s="3171"/>
      <c r="P275" s="3172"/>
      <c r="Q275" s="3173"/>
      <c r="R275" s="3174"/>
      <c r="S275" s="3171"/>
      <c r="T275" s="3171"/>
      <c r="U275" s="3172"/>
      <c r="V275" s="3173"/>
      <c r="W275" s="3174"/>
      <c r="X275" s="3171"/>
      <c r="Y275" s="3171"/>
      <c r="Z275" s="3172"/>
      <c r="AA275" s="3173"/>
      <c r="AB275" s="3174"/>
      <c r="AC275" s="3171"/>
      <c r="AD275" s="3171"/>
      <c r="AE275" s="3172"/>
      <c r="AF275" s="3173"/>
      <c r="AG275" s="3174"/>
      <c r="AH275" s="3171"/>
      <c r="AI275" s="3171"/>
      <c r="AJ275" s="3146">
        <f>名簿入力!AK198</f>
        <v>0</v>
      </c>
      <c r="AK275" s="3147"/>
      <c r="AL275" s="3147"/>
      <c r="AM275" s="3147"/>
      <c r="AN275" s="3147"/>
      <c r="AO275" s="3148"/>
      <c r="AP275" s="3178"/>
      <c r="AQ275" s="3179"/>
      <c r="AR275" s="3179"/>
      <c r="AS275" s="3179"/>
      <c r="AT275" s="3180"/>
      <c r="AU275" s="113"/>
    </row>
    <row r="276" spans="2:47" ht="15" customHeight="1" x14ac:dyDescent="0.15">
      <c r="B276" s="3149">
        <v>93</v>
      </c>
      <c r="C276" s="3151">
        <f>名簿入力!D199</f>
        <v>0</v>
      </c>
      <c r="D276" s="3152"/>
      <c r="E276" s="3155">
        <f>名簿入力!E199</f>
        <v>0</v>
      </c>
      <c r="F276" s="3157">
        <f>名簿入力!G199</f>
        <v>0</v>
      </c>
      <c r="G276" s="3159">
        <f>名簿入力!H199</f>
        <v>0</v>
      </c>
      <c r="H276" s="3161">
        <f>名簿入力!I199</f>
        <v>0</v>
      </c>
      <c r="I276" s="3162"/>
      <c r="J276" s="3165">
        <f>名簿入力!K199</f>
        <v>0</v>
      </c>
      <c r="K276" s="3167">
        <f>名簿入力!L199</f>
        <v>0</v>
      </c>
      <c r="L276" s="3161">
        <f>名簿入力!M199</f>
        <v>0</v>
      </c>
      <c r="M276" s="3169"/>
      <c r="N276" s="3165">
        <f>名簿入力!O199</f>
        <v>0</v>
      </c>
      <c r="O276" s="3165">
        <f>名簿入力!P199</f>
        <v>0</v>
      </c>
      <c r="P276" s="3167">
        <f>名簿入力!Q199</f>
        <v>0</v>
      </c>
      <c r="Q276" s="3161">
        <f>名簿入力!R199</f>
        <v>0</v>
      </c>
      <c r="R276" s="3162"/>
      <c r="S276" s="3165">
        <f>名簿入力!T199</f>
        <v>0</v>
      </c>
      <c r="T276" s="3165">
        <f>名簿入力!U199</f>
        <v>0</v>
      </c>
      <c r="U276" s="3167">
        <f>名簿入力!V199</f>
        <v>0</v>
      </c>
      <c r="V276" s="3161">
        <f>名簿入力!W199</f>
        <v>0</v>
      </c>
      <c r="W276" s="3162"/>
      <c r="X276" s="3165">
        <f>名簿入力!Y199</f>
        <v>0</v>
      </c>
      <c r="Y276" s="3165">
        <f>名簿入力!Z199</f>
        <v>0</v>
      </c>
      <c r="Z276" s="3167">
        <f>名簿入力!AA199</f>
        <v>0</v>
      </c>
      <c r="AA276" s="3161">
        <f>名簿入力!AB199</f>
        <v>0</v>
      </c>
      <c r="AB276" s="3162"/>
      <c r="AC276" s="3165">
        <f>名簿入力!AD199</f>
        <v>0</v>
      </c>
      <c r="AD276" s="3165">
        <f>名簿入力!AE199</f>
        <v>0</v>
      </c>
      <c r="AE276" s="3167">
        <f>名簿入力!AF199</f>
        <v>0</v>
      </c>
      <c r="AF276" s="3161">
        <f>名簿入力!AG199</f>
        <v>0</v>
      </c>
      <c r="AG276" s="3162"/>
      <c r="AH276" s="3165">
        <f>名簿入力!AI199</f>
        <v>0</v>
      </c>
      <c r="AI276" s="3165">
        <f>名簿入力!AJ199</f>
        <v>0</v>
      </c>
      <c r="AJ276" s="3175">
        <f>名簿入力!AK199</f>
        <v>0</v>
      </c>
      <c r="AK276" s="3176"/>
      <c r="AL276" s="3176"/>
      <c r="AM276" s="3176"/>
      <c r="AN276" s="3176"/>
      <c r="AO276" s="3177"/>
      <c r="AP276" s="3137">
        <f>名簿入力!AO199</f>
        <v>0</v>
      </c>
      <c r="AQ276" s="3138"/>
      <c r="AR276" s="3138"/>
      <c r="AS276" s="3138"/>
      <c r="AT276" s="3139"/>
      <c r="AU276" s="113"/>
    </row>
    <row r="277" spans="2:47" ht="15" customHeight="1" x14ac:dyDescent="0.15">
      <c r="B277" s="3181"/>
      <c r="C277" s="3182"/>
      <c r="D277" s="3183"/>
      <c r="E277" s="3184"/>
      <c r="F277" s="3185"/>
      <c r="G277" s="3186"/>
      <c r="H277" s="3173"/>
      <c r="I277" s="3174"/>
      <c r="J277" s="3171"/>
      <c r="K277" s="3172"/>
      <c r="L277" s="3173"/>
      <c r="M277" s="3187"/>
      <c r="N277" s="3171"/>
      <c r="O277" s="3171"/>
      <c r="P277" s="3172"/>
      <c r="Q277" s="3173"/>
      <c r="R277" s="3174"/>
      <c r="S277" s="3171"/>
      <c r="T277" s="3171"/>
      <c r="U277" s="3172"/>
      <c r="V277" s="3173"/>
      <c r="W277" s="3174"/>
      <c r="X277" s="3171"/>
      <c r="Y277" s="3171"/>
      <c r="Z277" s="3172"/>
      <c r="AA277" s="3173"/>
      <c r="AB277" s="3174"/>
      <c r="AC277" s="3171"/>
      <c r="AD277" s="3171"/>
      <c r="AE277" s="3172"/>
      <c r="AF277" s="3173"/>
      <c r="AG277" s="3174"/>
      <c r="AH277" s="3171"/>
      <c r="AI277" s="3171"/>
      <c r="AJ277" s="3146">
        <f>名簿入力!AK200</f>
        <v>0</v>
      </c>
      <c r="AK277" s="3147"/>
      <c r="AL277" s="3147"/>
      <c r="AM277" s="3147"/>
      <c r="AN277" s="3147"/>
      <c r="AO277" s="3148"/>
      <c r="AP277" s="3178"/>
      <c r="AQ277" s="3179"/>
      <c r="AR277" s="3179"/>
      <c r="AS277" s="3179"/>
      <c r="AT277" s="3180"/>
      <c r="AU277" s="113"/>
    </row>
    <row r="278" spans="2:47" ht="15" customHeight="1" x14ac:dyDescent="0.15">
      <c r="B278" s="3149">
        <v>94</v>
      </c>
      <c r="C278" s="3151">
        <f>名簿入力!D201</f>
        <v>0</v>
      </c>
      <c r="D278" s="3152"/>
      <c r="E278" s="3155">
        <f>名簿入力!E201</f>
        <v>0</v>
      </c>
      <c r="F278" s="3157">
        <f>名簿入力!G201</f>
        <v>0</v>
      </c>
      <c r="G278" s="3159">
        <f>名簿入力!H201</f>
        <v>0</v>
      </c>
      <c r="H278" s="3161">
        <f>名簿入力!I201</f>
        <v>0</v>
      </c>
      <c r="I278" s="3162"/>
      <c r="J278" s="3165">
        <f>名簿入力!K201</f>
        <v>0</v>
      </c>
      <c r="K278" s="3167">
        <f>名簿入力!L201</f>
        <v>0</v>
      </c>
      <c r="L278" s="3161">
        <f>名簿入力!M201</f>
        <v>0</v>
      </c>
      <c r="M278" s="3169"/>
      <c r="N278" s="3165">
        <f>名簿入力!O201</f>
        <v>0</v>
      </c>
      <c r="O278" s="3165">
        <f>名簿入力!P201</f>
        <v>0</v>
      </c>
      <c r="P278" s="3167">
        <f>名簿入力!Q201</f>
        <v>0</v>
      </c>
      <c r="Q278" s="3161">
        <f>名簿入力!R201</f>
        <v>0</v>
      </c>
      <c r="R278" s="3162"/>
      <c r="S278" s="3165">
        <f>名簿入力!T201</f>
        <v>0</v>
      </c>
      <c r="T278" s="3165">
        <f>名簿入力!U201</f>
        <v>0</v>
      </c>
      <c r="U278" s="3167">
        <f>名簿入力!V201</f>
        <v>0</v>
      </c>
      <c r="V278" s="3161">
        <f>名簿入力!W201</f>
        <v>0</v>
      </c>
      <c r="W278" s="3162"/>
      <c r="X278" s="3165">
        <f>名簿入力!Y201</f>
        <v>0</v>
      </c>
      <c r="Y278" s="3165">
        <f>名簿入力!Z201</f>
        <v>0</v>
      </c>
      <c r="Z278" s="3167">
        <f>名簿入力!AA201</f>
        <v>0</v>
      </c>
      <c r="AA278" s="3161">
        <f>名簿入力!AB201</f>
        <v>0</v>
      </c>
      <c r="AB278" s="3162"/>
      <c r="AC278" s="3165">
        <f>名簿入力!AD201</f>
        <v>0</v>
      </c>
      <c r="AD278" s="3165">
        <f>名簿入力!AE201</f>
        <v>0</v>
      </c>
      <c r="AE278" s="3167">
        <f>名簿入力!AF201</f>
        <v>0</v>
      </c>
      <c r="AF278" s="3161">
        <f>名簿入力!AG201</f>
        <v>0</v>
      </c>
      <c r="AG278" s="3162"/>
      <c r="AH278" s="3165">
        <f>名簿入力!AI201</f>
        <v>0</v>
      </c>
      <c r="AI278" s="3165">
        <f>名簿入力!AJ201</f>
        <v>0</v>
      </c>
      <c r="AJ278" s="3175">
        <f>名簿入力!AK201</f>
        <v>0</v>
      </c>
      <c r="AK278" s="3176"/>
      <c r="AL278" s="3176"/>
      <c r="AM278" s="3176"/>
      <c r="AN278" s="3176"/>
      <c r="AO278" s="3177"/>
      <c r="AP278" s="3137">
        <f>名簿入力!AO201</f>
        <v>0</v>
      </c>
      <c r="AQ278" s="3138"/>
      <c r="AR278" s="3138"/>
      <c r="AS278" s="3138"/>
      <c r="AT278" s="3139"/>
      <c r="AU278" s="113"/>
    </row>
    <row r="279" spans="2:47" ht="15" customHeight="1" x14ac:dyDescent="0.15">
      <c r="B279" s="3181"/>
      <c r="C279" s="3182"/>
      <c r="D279" s="3183"/>
      <c r="E279" s="3184"/>
      <c r="F279" s="3185"/>
      <c r="G279" s="3186"/>
      <c r="H279" s="3173"/>
      <c r="I279" s="3174"/>
      <c r="J279" s="3171"/>
      <c r="K279" s="3172"/>
      <c r="L279" s="3173"/>
      <c r="M279" s="3187"/>
      <c r="N279" s="3171"/>
      <c r="O279" s="3171"/>
      <c r="P279" s="3172"/>
      <c r="Q279" s="3173"/>
      <c r="R279" s="3174"/>
      <c r="S279" s="3171"/>
      <c r="T279" s="3171"/>
      <c r="U279" s="3172"/>
      <c r="V279" s="3173"/>
      <c r="W279" s="3174"/>
      <c r="X279" s="3171"/>
      <c r="Y279" s="3171"/>
      <c r="Z279" s="3172"/>
      <c r="AA279" s="3173"/>
      <c r="AB279" s="3174"/>
      <c r="AC279" s="3171"/>
      <c r="AD279" s="3171"/>
      <c r="AE279" s="3172"/>
      <c r="AF279" s="3173"/>
      <c r="AG279" s="3174"/>
      <c r="AH279" s="3171"/>
      <c r="AI279" s="3171"/>
      <c r="AJ279" s="3146">
        <f>名簿入力!AK202</f>
        <v>0</v>
      </c>
      <c r="AK279" s="3147"/>
      <c r="AL279" s="3147"/>
      <c r="AM279" s="3147"/>
      <c r="AN279" s="3147"/>
      <c r="AO279" s="3148"/>
      <c r="AP279" s="3178"/>
      <c r="AQ279" s="3179"/>
      <c r="AR279" s="3179"/>
      <c r="AS279" s="3179"/>
      <c r="AT279" s="3180"/>
      <c r="AU279" s="113"/>
    </row>
    <row r="280" spans="2:47" ht="15" customHeight="1" x14ac:dyDescent="0.15">
      <c r="B280" s="3149">
        <v>95</v>
      </c>
      <c r="C280" s="3151">
        <f>名簿入力!D203</f>
        <v>0</v>
      </c>
      <c r="D280" s="3152"/>
      <c r="E280" s="3155">
        <f>名簿入力!E203</f>
        <v>0</v>
      </c>
      <c r="F280" s="3157">
        <f>名簿入力!G203</f>
        <v>0</v>
      </c>
      <c r="G280" s="3159">
        <f>名簿入力!H203</f>
        <v>0</v>
      </c>
      <c r="H280" s="3161">
        <f>名簿入力!I203</f>
        <v>0</v>
      </c>
      <c r="I280" s="3162"/>
      <c r="J280" s="3165">
        <f>名簿入力!K203</f>
        <v>0</v>
      </c>
      <c r="K280" s="3167">
        <f>名簿入力!L203</f>
        <v>0</v>
      </c>
      <c r="L280" s="3161">
        <f>名簿入力!M203</f>
        <v>0</v>
      </c>
      <c r="M280" s="3169"/>
      <c r="N280" s="3165">
        <f>名簿入力!O203</f>
        <v>0</v>
      </c>
      <c r="O280" s="3165">
        <f>名簿入力!P203</f>
        <v>0</v>
      </c>
      <c r="P280" s="3167">
        <f>名簿入力!Q203</f>
        <v>0</v>
      </c>
      <c r="Q280" s="3161">
        <f>名簿入力!R203</f>
        <v>0</v>
      </c>
      <c r="R280" s="3162"/>
      <c r="S280" s="3165">
        <f>名簿入力!T203</f>
        <v>0</v>
      </c>
      <c r="T280" s="3165">
        <f>名簿入力!U203</f>
        <v>0</v>
      </c>
      <c r="U280" s="3167">
        <f>名簿入力!V203</f>
        <v>0</v>
      </c>
      <c r="V280" s="3161">
        <f>名簿入力!W203</f>
        <v>0</v>
      </c>
      <c r="W280" s="3162"/>
      <c r="X280" s="3165">
        <f>名簿入力!Y203</f>
        <v>0</v>
      </c>
      <c r="Y280" s="3165">
        <f>名簿入力!Z203</f>
        <v>0</v>
      </c>
      <c r="Z280" s="3167">
        <f>名簿入力!AA203</f>
        <v>0</v>
      </c>
      <c r="AA280" s="3161">
        <f>名簿入力!AB203</f>
        <v>0</v>
      </c>
      <c r="AB280" s="3162"/>
      <c r="AC280" s="3165">
        <f>名簿入力!AD203</f>
        <v>0</v>
      </c>
      <c r="AD280" s="3165">
        <f>名簿入力!AE203</f>
        <v>0</v>
      </c>
      <c r="AE280" s="3167">
        <f>名簿入力!AF203</f>
        <v>0</v>
      </c>
      <c r="AF280" s="3161">
        <f>名簿入力!AG203</f>
        <v>0</v>
      </c>
      <c r="AG280" s="3162"/>
      <c r="AH280" s="3165">
        <f>名簿入力!AI203</f>
        <v>0</v>
      </c>
      <c r="AI280" s="3165">
        <f>名簿入力!AJ203</f>
        <v>0</v>
      </c>
      <c r="AJ280" s="3175">
        <f>名簿入力!AK203</f>
        <v>0</v>
      </c>
      <c r="AK280" s="3176"/>
      <c r="AL280" s="3176"/>
      <c r="AM280" s="3176"/>
      <c r="AN280" s="3176"/>
      <c r="AO280" s="3177"/>
      <c r="AP280" s="3137">
        <f>名簿入力!AO203</f>
        <v>0</v>
      </c>
      <c r="AQ280" s="3138"/>
      <c r="AR280" s="3138"/>
      <c r="AS280" s="3138"/>
      <c r="AT280" s="3139"/>
      <c r="AU280" s="113"/>
    </row>
    <row r="281" spans="2:47" ht="15" customHeight="1" x14ac:dyDescent="0.15">
      <c r="B281" s="3181"/>
      <c r="C281" s="3182"/>
      <c r="D281" s="3183"/>
      <c r="E281" s="3184"/>
      <c r="F281" s="3185"/>
      <c r="G281" s="3186"/>
      <c r="H281" s="3173"/>
      <c r="I281" s="3174"/>
      <c r="J281" s="3171"/>
      <c r="K281" s="3172"/>
      <c r="L281" s="3173"/>
      <c r="M281" s="3187"/>
      <c r="N281" s="3171"/>
      <c r="O281" s="3171"/>
      <c r="P281" s="3172"/>
      <c r="Q281" s="3173"/>
      <c r="R281" s="3174"/>
      <c r="S281" s="3171"/>
      <c r="T281" s="3171"/>
      <c r="U281" s="3172"/>
      <c r="V281" s="3173"/>
      <c r="W281" s="3174"/>
      <c r="X281" s="3171"/>
      <c r="Y281" s="3171"/>
      <c r="Z281" s="3172"/>
      <c r="AA281" s="3173"/>
      <c r="AB281" s="3174"/>
      <c r="AC281" s="3171"/>
      <c r="AD281" s="3171"/>
      <c r="AE281" s="3172"/>
      <c r="AF281" s="3173"/>
      <c r="AG281" s="3174"/>
      <c r="AH281" s="3171"/>
      <c r="AI281" s="3171"/>
      <c r="AJ281" s="3146">
        <f>名簿入力!AK204</f>
        <v>0</v>
      </c>
      <c r="AK281" s="3147"/>
      <c r="AL281" s="3147"/>
      <c r="AM281" s="3147"/>
      <c r="AN281" s="3147"/>
      <c r="AO281" s="3148"/>
      <c r="AP281" s="3178"/>
      <c r="AQ281" s="3179"/>
      <c r="AR281" s="3179"/>
      <c r="AS281" s="3179"/>
      <c r="AT281" s="3180"/>
      <c r="AU281" s="113"/>
    </row>
    <row r="282" spans="2:47" ht="15" customHeight="1" x14ac:dyDescent="0.15">
      <c r="B282" s="3149">
        <v>96</v>
      </c>
      <c r="C282" s="3151">
        <f>名簿入力!D205</f>
        <v>0</v>
      </c>
      <c r="D282" s="3152"/>
      <c r="E282" s="3155">
        <f>名簿入力!E205</f>
        <v>0</v>
      </c>
      <c r="F282" s="3157">
        <f>名簿入力!G205</f>
        <v>0</v>
      </c>
      <c r="G282" s="3159">
        <f>名簿入力!H205</f>
        <v>0</v>
      </c>
      <c r="H282" s="3161">
        <f>名簿入力!I205</f>
        <v>0</v>
      </c>
      <c r="I282" s="3162"/>
      <c r="J282" s="3165">
        <f>名簿入力!K205</f>
        <v>0</v>
      </c>
      <c r="K282" s="3167">
        <f>名簿入力!L205</f>
        <v>0</v>
      </c>
      <c r="L282" s="3161">
        <f>名簿入力!M205</f>
        <v>0</v>
      </c>
      <c r="M282" s="3169"/>
      <c r="N282" s="3165">
        <f>名簿入力!O205</f>
        <v>0</v>
      </c>
      <c r="O282" s="3165">
        <f>名簿入力!P205</f>
        <v>0</v>
      </c>
      <c r="P282" s="3167">
        <f>名簿入力!Q205</f>
        <v>0</v>
      </c>
      <c r="Q282" s="3161">
        <f>名簿入力!R205</f>
        <v>0</v>
      </c>
      <c r="R282" s="3162"/>
      <c r="S282" s="3165">
        <f>名簿入力!T205</f>
        <v>0</v>
      </c>
      <c r="T282" s="3165">
        <f>名簿入力!U205</f>
        <v>0</v>
      </c>
      <c r="U282" s="3167">
        <f>名簿入力!V205</f>
        <v>0</v>
      </c>
      <c r="V282" s="3161">
        <f>名簿入力!W205</f>
        <v>0</v>
      </c>
      <c r="W282" s="3162"/>
      <c r="X282" s="3165">
        <f>名簿入力!Y205</f>
        <v>0</v>
      </c>
      <c r="Y282" s="3165">
        <f>名簿入力!Z205</f>
        <v>0</v>
      </c>
      <c r="Z282" s="3167">
        <f>名簿入力!AA205</f>
        <v>0</v>
      </c>
      <c r="AA282" s="3161">
        <f>名簿入力!AB205</f>
        <v>0</v>
      </c>
      <c r="AB282" s="3162"/>
      <c r="AC282" s="3165">
        <f>名簿入力!AD205</f>
        <v>0</v>
      </c>
      <c r="AD282" s="3165">
        <f>名簿入力!AE205</f>
        <v>0</v>
      </c>
      <c r="AE282" s="3167">
        <f>名簿入力!AF205</f>
        <v>0</v>
      </c>
      <c r="AF282" s="3161">
        <f>名簿入力!AG205</f>
        <v>0</v>
      </c>
      <c r="AG282" s="3162"/>
      <c r="AH282" s="3165">
        <f>名簿入力!AI205</f>
        <v>0</v>
      </c>
      <c r="AI282" s="3165">
        <f>名簿入力!AJ205</f>
        <v>0</v>
      </c>
      <c r="AJ282" s="3175">
        <f>名簿入力!AK205</f>
        <v>0</v>
      </c>
      <c r="AK282" s="3176"/>
      <c r="AL282" s="3176"/>
      <c r="AM282" s="3176"/>
      <c r="AN282" s="3176"/>
      <c r="AO282" s="3177"/>
      <c r="AP282" s="3137">
        <f>名簿入力!AO205</f>
        <v>0</v>
      </c>
      <c r="AQ282" s="3138"/>
      <c r="AR282" s="3138"/>
      <c r="AS282" s="3138"/>
      <c r="AT282" s="3139"/>
      <c r="AU282" s="113"/>
    </row>
    <row r="283" spans="2:47" ht="15" customHeight="1" x14ac:dyDescent="0.15">
      <c r="B283" s="3181"/>
      <c r="C283" s="3182"/>
      <c r="D283" s="3183"/>
      <c r="E283" s="3184"/>
      <c r="F283" s="3185"/>
      <c r="G283" s="3186"/>
      <c r="H283" s="3173"/>
      <c r="I283" s="3174"/>
      <c r="J283" s="3171"/>
      <c r="K283" s="3172"/>
      <c r="L283" s="3173"/>
      <c r="M283" s="3187"/>
      <c r="N283" s="3171"/>
      <c r="O283" s="3171"/>
      <c r="P283" s="3172"/>
      <c r="Q283" s="3173"/>
      <c r="R283" s="3174"/>
      <c r="S283" s="3171"/>
      <c r="T283" s="3171"/>
      <c r="U283" s="3172"/>
      <c r="V283" s="3173"/>
      <c r="W283" s="3174"/>
      <c r="X283" s="3171"/>
      <c r="Y283" s="3171"/>
      <c r="Z283" s="3172"/>
      <c r="AA283" s="3173"/>
      <c r="AB283" s="3174"/>
      <c r="AC283" s="3171"/>
      <c r="AD283" s="3171"/>
      <c r="AE283" s="3172"/>
      <c r="AF283" s="3173"/>
      <c r="AG283" s="3174"/>
      <c r="AH283" s="3171"/>
      <c r="AI283" s="3171"/>
      <c r="AJ283" s="3146">
        <f>名簿入力!AK206</f>
        <v>0</v>
      </c>
      <c r="AK283" s="3147"/>
      <c r="AL283" s="3147"/>
      <c r="AM283" s="3147"/>
      <c r="AN283" s="3147"/>
      <c r="AO283" s="3148"/>
      <c r="AP283" s="3178"/>
      <c r="AQ283" s="3179"/>
      <c r="AR283" s="3179"/>
      <c r="AS283" s="3179"/>
      <c r="AT283" s="3180"/>
      <c r="AU283" s="113"/>
    </row>
    <row r="284" spans="2:47" ht="15" customHeight="1" x14ac:dyDescent="0.15">
      <c r="B284" s="3149">
        <v>97</v>
      </c>
      <c r="C284" s="3151">
        <f>名簿入力!D207</f>
        <v>0</v>
      </c>
      <c r="D284" s="3152"/>
      <c r="E284" s="3155">
        <f>名簿入力!E207</f>
        <v>0</v>
      </c>
      <c r="F284" s="3157">
        <f>名簿入力!G207</f>
        <v>0</v>
      </c>
      <c r="G284" s="3159">
        <f>名簿入力!H207</f>
        <v>0</v>
      </c>
      <c r="H284" s="3161">
        <f>名簿入力!I207</f>
        <v>0</v>
      </c>
      <c r="I284" s="3162"/>
      <c r="J284" s="3165">
        <f>名簿入力!K207</f>
        <v>0</v>
      </c>
      <c r="K284" s="3167">
        <f>名簿入力!L207</f>
        <v>0</v>
      </c>
      <c r="L284" s="3161">
        <f>名簿入力!M207</f>
        <v>0</v>
      </c>
      <c r="M284" s="3169"/>
      <c r="N284" s="3165">
        <f>名簿入力!O207</f>
        <v>0</v>
      </c>
      <c r="O284" s="3165">
        <f>名簿入力!P207</f>
        <v>0</v>
      </c>
      <c r="P284" s="3167">
        <f>名簿入力!Q207</f>
        <v>0</v>
      </c>
      <c r="Q284" s="3161">
        <f>名簿入力!R207</f>
        <v>0</v>
      </c>
      <c r="R284" s="3162"/>
      <c r="S284" s="3165">
        <f>名簿入力!T207</f>
        <v>0</v>
      </c>
      <c r="T284" s="3165">
        <f>名簿入力!U207</f>
        <v>0</v>
      </c>
      <c r="U284" s="3167">
        <f>名簿入力!V207</f>
        <v>0</v>
      </c>
      <c r="V284" s="3161">
        <f>名簿入力!W207</f>
        <v>0</v>
      </c>
      <c r="W284" s="3162"/>
      <c r="X284" s="3165">
        <f>名簿入力!Y207</f>
        <v>0</v>
      </c>
      <c r="Y284" s="3165">
        <f>名簿入力!Z207</f>
        <v>0</v>
      </c>
      <c r="Z284" s="3167">
        <f>名簿入力!AA207</f>
        <v>0</v>
      </c>
      <c r="AA284" s="3161">
        <f>名簿入力!AB207</f>
        <v>0</v>
      </c>
      <c r="AB284" s="3162"/>
      <c r="AC284" s="3165">
        <f>名簿入力!AD207</f>
        <v>0</v>
      </c>
      <c r="AD284" s="3165">
        <f>名簿入力!AE207</f>
        <v>0</v>
      </c>
      <c r="AE284" s="3167">
        <f>名簿入力!AF207</f>
        <v>0</v>
      </c>
      <c r="AF284" s="3161">
        <f>名簿入力!AG207</f>
        <v>0</v>
      </c>
      <c r="AG284" s="3162"/>
      <c r="AH284" s="3165">
        <f>名簿入力!AI207</f>
        <v>0</v>
      </c>
      <c r="AI284" s="3165">
        <f>名簿入力!AJ207</f>
        <v>0</v>
      </c>
      <c r="AJ284" s="3175">
        <f>名簿入力!AK207</f>
        <v>0</v>
      </c>
      <c r="AK284" s="3176"/>
      <c r="AL284" s="3176"/>
      <c r="AM284" s="3176"/>
      <c r="AN284" s="3176"/>
      <c r="AO284" s="3177"/>
      <c r="AP284" s="3137">
        <f>名簿入力!AO207</f>
        <v>0</v>
      </c>
      <c r="AQ284" s="3138"/>
      <c r="AR284" s="3138"/>
      <c r="AS284" s="3138"/>
      <c r="AT284" s="3139"/>
      <c r="AU284" s="113"/>
    </row>
    <row r="285" spans="2:47" ht="15" customHeight="1" x14ac:dyDescent="0.15">
      <c r="B285" s="3181"/>
      <c r="C285" s="3182"/>
      <c r="D285" s="3183"/>
      <c r="E285" s="3184"/>
      <c r="F285" s="3185"/>
      <c r="G285" s="3186"/>
      <c r="H285" s="3173"/>
      <c r="I285" s="3174"/>
      <c r="J285" s="3171"/>
      <c r="K285" s="3172"/>
      <c r="L285" s="3173"/>
      <c r="M285" s="3187"/>
      <c r="N285" s="3171"/>
      <c r="O285" s="3171"/>
      <c r="P285" s="3172"/>
      <c r="Q285" s="3173"/>
      <c r="R285" s="3174"/>
      <c r="S285" s="3171"/>
      <c r="T285" s="3171"/>
      <c r="U285" s="3172"/>
      <c r="V285" s="3173"/>
      <c r="W285" s="3174"/>
      <c r="X285" s="3171"/>
      <c r="Y285" s="3171"/>
      <c r="Z285" s="3172"/>
      <c r="AA285" s="3173"/>
      <c r="AB285" s="3174"/>
      <c r="AC285" s="3171"/>
      <c r="AD285" s="3171"/>
      <c r="AE285" s="3172"/>
      <c r="AF285" s="3173"/>
      <c r="AG285" s="3174"/>
      <c r="AH285" s="3171"/>
      <c r="AI285" s="3171"/>
      <c r="AJ285" s="3146">
        <f>名簿入力!AK208</f>
        <v>0</v>
      </c>
      <c r="AK285" s="3147"/>
      <c r="AL285" s="3147"/>
      <c r="AM285" s="3147"/>
      <c r="AN285" s="3147"/>
      <c r="AO285" s="3148"/>
      <c r="AP285" s="3178"/>
      <c r="AQ285" s="3179"/>
      <c r="AR285" s="3179"/>
      <c r="AS285" s="3179"/>
      <c r="AT285" s="3180"/>
      <c r="AU285" s="113"/>
    </row>
    <row r="286" spans="2:47" ht="15" customHeight="1" x14ac:dyDescent="0.15">
      <c r="B286" s="3149">
        <v>98</v>
      </c>
      <c r="C286" s="3151">
        <f>名簿入力!D209</f>
        <v>0</v>
      </c>
      <c r="D286" s="3152"/>
      <c r="E286" s="3155">
        <f>名簿入力!E209</f>
        <v>0</v>
      </c>
      <c r="F286" s="3157">
        <f>名簿入力!G209</f>
        <v>0</v>
      </c>
      <c r="G286" s="3159">
        <f>名簿入力!H209</f>
        <v>0</v>
      </c>
      <c r="H286" s="3161">
        <f>名簿入力!I209</f>
        <v>0</v>
      </c>
      <c r="I286" s="3162"/>
      <c r="J286" s="3165">
        <f>名簿入力!K209</f>
        <v>0</v>
      </c>
      <c r="K286" s="3167">
        <f>名簿入力!L209</f>
        <v>0</v>
      </c>
      <c r="L286" s="3161">
        <f>名簿入力!M209</f>
        <v>0</v>
      </c>
      <c r="M286" s="3169"/>
      <c r="N286" s="3165">
        <f>名簿入力!O209</f>
        <v>0</v>
      </c>
      <c r="O286" s="3165">
        <f>名簿入力!P209</f>
        <v>0</v>
      </c>
      <c r="P286" s="3167">
        <f>名簿入力!Q209</f>
        <v>0</v>
      </c>
      <c r="Q286" s="3161">
        <f>名簿入力!R209</f>
        <v>0</v>
      </c>
      <c r="R286" s="3162"/>
      <c r="S286" s="3165">
        <f>名簿入力!T209</f>
        <v>0</v>
      </c>
      <c r="T286" s="3165">
        <f>名簿入力!U209</f>
        <v>0</v>
      </c>
      <c r="U286" s="3167">
        <f>名簿入力!V209</f>
        <v>0</v>
      </c>
      <c r="V286" s="3161">
        <f>名簿入力!W209</f>
        <v>0</v>
      </c>
      <c r="W286" s="3162"/>
      <c r="X286" s="3165">
        <f>名簿入力!Y209</f>
        <v>0</v>
      </c>
      <c r="Y286" s="3165">
        <f>名簿入力!Z209</f>
        <v>0</v>
      </c>
      <c r="Z286" s="3167">
        <f>名簿入力!AA209</f>
        <v>0</v>
      </c>
      <c r="AA286" s="3161">
        <f>名簿入力!AB209</f>
        <v>0</v>
      </c>
      <c r="AB286" s="3162"/>
      <c r="AC286" s="3165">
        <f>名簿入力!AD209</f>
        <v>0</v>
      </c>
      <c r="AD286" s="3165">
        <f>名簿入力!AE209</f>
        <v>0</v>
      </c>
      <c r="AE286" s="3167">
        <f>名簿入力!AF209</f>
        <v>0</v>
      </c>
      <c r="AF286" s="3161">
        <f>名簿入力!AG209</f>
        <v>0</v>
      </c>
      <c r="AG286" s="3162"/>
      <c r="AH286" s="3165">
        <f>名簿入力!AI209</f>
        <v>0</v>
      </c>
      <c r="AI286" s="3165">
        <f>名簿入力!AJ209</f>
        <v>0</v>
      </c>
      <c r="AJ286" s="3175">
        <f>名簿入力!AK209</f>
        <v>0</v>
      </c>
      <c r="AK286" s="3176"/>
      <c r="AL286" s="3176"/>
      <c r="AM286" s="3176"/>
      <c r="AN286" s="3176"/>
      <c r="AO286" s="3177"/>
      <c r="AP286" s="3137">
        <f>名簿入力!AO209</f>
        <v>0</v>
      </c>
      <c r="AQ286" s="3138"/>
      <c r="AR286" s="3138"/>
      <c r="AS286" s="3138"/>
      <c r="AT286" s="3139"/>
      <c r="AU286" s="113"/>
    </row>
    <row r="287" spans="2:47" ht="15" customHeight="1" x14ac:dyDescent="0.15">
      <c r="B287" s="3181"/>
      <c r="C287" s="3182"/>
      <c r="D287" s="3183"/>
      <c r="E287" s="3184"/>
      <c r="F287" s="3185"/>
      <c r="G287" s="3186"/>
      <c r="H287" s="3173"/>
      <c r="I287" s="3174"/>
      <c r="J287" s="3171"/>
      <c r="K287" s="3172"/>
      <c r="L287" s="3173"/>
      <c r="M287" s="3187"/>
      <c r="N287" s="3171"/>
      <c r="O287" s="3171"/>
      <c r="P287" s="3172"/>
      <c r="Q287" s="3173"/>
      <c r="R287" s="3174"/>
      <c r="S287" s="3171"/>
      <c r="T287" s="3171"/>
      <c r="U287" s="3172"/>
      <c r="V287" s="3173"/>
      <c r="W287" s="3174"/>
      <c r="X287" s="3171"/>
      <c r="Y287" s="3171"/>
      <c r="Z287" s="3172"/>
      <c r="AA287" s="3173"/>
      <c r="AB287" s="3174"/>
      <c r="AC287" s="3171"/>
      <c r="AD287" s="3171"/>
      <c r="AE287" s="3172"/>
      <c r="AF287" s="3173"/>
      <c r="AG287" s="3174"/>
      <c r="AH287" s="3171"/>
      <c r="AI287" s="3171"/>
      <c r="AJ287" s="3146">
        <f>名簿入力!AK210</f>
        <v>0</v>
      </c>
      <c r="AK287" s="3147"/>
      <c r="AL287" s="3147"/>
      <c r="AM287" s="3147"/>
      <c r="AN287" s="3147"/>
      <c r="AO287" s="3148"/>
      <c r="AP287" s="3178"/>
      <c r="AQ287" s="3179"/>
      <c r="AR287" s="3179"/>
      <c r="AS287" s="3179"/>
      <c r="AT287" s="3180"/>
      <c r="AU287" s="113"/>
    </row>
    <row r="288" spans="2:47" ht="15" customHeight="1" x14ac:dyDescent="0.15">
      <c r="B288" s="3149">
        <v>99</v>
      </c>
      <c r="C288" s="3151">
        <f>名簿入力!D211</f>
        <v>0</v>
      </c>
      <c r="D288" s="3152"/>
      <c r="E288" s="3155">
        <f>名簿入力!E211</f>
        <v>0</v>
      </c>
      <c r="F288" s="3157">
        <f>名簿入力!G211</f>
        <v>0</v>
      </c>
      <c r="G288" s="3159">
        <f>名簿入力!H211</f>
        <v>0</v>
      </c>
      <c r="H288" s="3161">
        <f>名簿入力!I211</f>
        <v>0</v>
      </c>
      <c r="I288" s="3162"/>
      <c r="J288" s="3165">
        <f>名簿入力!K211</f>
        <v>0</v>
      </c>
      <c r="K288" s="3167">
        <f>名簿入力!L211</f>
        <v>0</v>
      </c>
      <c r="L288" s="3161">
        <f>名簿入力!M211</f>
        <v>0</v>
      </c>
      <c r="M288" s="3169"/>
      <c r="N288" s="3165">
        <f>名簿入力!O211</f>
        <v>0</v>
      </c>
      <c r="O288" s="3165">
        <f>名簿入力!P211</f>
        <v>0</v>
      </c>
      <c r="P288" s="3167">
        <f>名簿入力!Q211</f>
        <v>0</v>
      </c>
      <c r="Q288" s="3161">
        <f>名簿入力!R211</f>
        <v>0</v>
      </c>
      <c r="R288" s="3162"/>
      <c r="S288" s="3165">
        <f>名簿入力!T211</f>
        <v>0</v>
      </c>
      <c r="T288" s="3165">
        <f>名簿入力!U211</f>
        <v>0</v>
      </c>
      <c r="U288" s="3167">
        <f>名簿入力!V211</f>
        <v>0</v>
      </c>
      <c r="V288" s="3161">
        <f>名簿入力!W211</f>
        <v>0</v>
      </c>
      <c r="W288" s="3162"/>
      <c r="X288" s="3165">
        <f>名簿入力!Y211</f>
        <v>0</v>
      </c>
      <c r="Y288" s="3165">
        <f>名簿入力!Z211</f>
        <v>0</v>
      </c>
      <c r="Z288" s="3167">
        <f>名簿入力!AA211</f>
        <v>0</v>
      </c>
      <c r="AA288" s="3161">
        <f>名簿入力!AB211</f>
        <v>0</v>
      </c>
      <c r="AB288" s="3162"/>
      <c r="AC288" s="3165">
        <f>名簿入力!AD211</f>
        <v>0</v>
      </c>
      <c r="AD288" s="3165">
        <f>名簿入力!AE211</f>
        <v>0</v>
      </c>
      <c r="AE288" s="3167">
        <f>名簿入力!AF211</f>
        <v>0</v>
      </c>
      <c r="AF288" s="3161">
        <f>名簿入力!AG211</f>
        <v>0</v>
      </c>
      <c r="AG288" s="3162"/>
      <c r="AH288" s="3165">
        <f>名簿入力!AI211</f>
        <v>0</v>
      </c>
      <c r="AI288" s="3165">
        <f>名簿入力!AJ211</f>
        <v>0</v>
      </c>
      <c r="AJ288" s="3175">
        <f>名簿入力!AK211</f>
        <v>0</v>
      </c>
      <c r="AK288" s="3176"/>
      <c r="AL288" s="3176"/>
      <c r="AM288" s="3176"/>
      <c r="AN288" s="3176"/>
      <c r="AO288" s="3177"/>
      <c r="AP288" s="3137">
        <f>名簿入力!AO211</f>
        <v>0</v>
      </c>
      <c r="AQ288" s="3138"/>
      <c r="AR288" s="3138"/>
      <c r="AS288" s="3138"/>
      <c r="AT288" s="3139"/>
      <c r="AU288" s="113"/>
    </row>
    <row r="289" spans="2:47" ht="15" customHeight="1" x14ac:dyDescent="0.15">
      <c r="B289" s="3181"/>
      <c r="C289" s="3182"/>
      <c r="D289" s="3183"/>
      <c r="E289" s="3184"/>
      <c r="F289" s="3185"/>
      <c r="G289" s="3186"/>
      <c r="H289" s="3173"/>
      <c r="I289" s="3174"/>
      <c r="J289" s="3171"/>
      <c r="K289" s="3172"/>
      <c r="L289" s="3173"/>
      <c r="M289" s="3187"/>
      <c r="N289" s="3171"/>
      <c r="O289" s="3171"/>
      <c r="P289" s="3172"/>
      <c r="Q289" s="3173"/>
      <c r="R289" s="3174"/>
      <c r="S289" s="3171"/>
      <c r="T289" s="3171"/>
      <c r="U289" s="3172"/>
      <c r="V289" s="3173"/>
      <c r="W289" s="3174"/>
      <c r="X289" s="3171"/>
      <c r="Y289" s="3171"/>
      <c r="Z289" s="3172"/>
      <c r="AA289" s="3173"/>
      <c r="AB289" s="3174"/>
      <c r="AC289" s="3171"/>
      <c r="AD289" s="3171"/>
      <c r="AE289" s="3172"/>
      <c r="AF289" s="3173"/>
      <c r="AG289" s="3174"/>
      <c r="AH289" s="3171"/>
      <c r="AI289" s="3171"/>
      <c r="AJ289" s="3146">
        <f>名簿入力!AK212</f>
        <v>0</v>
      </c>
      <c r="AK289" s="3147"/>
      <c r="AL289" s="3147"/>
      <c r="AM289" s="3147"/>
      <c r="AN289" s="3147"/>
      <c r="AO289" s="3148"/>
      <c r="AP289" s="3178"/>
      <c r="AQ289" s="3179"/>
      <c r="AR289" s="3179"/>
      <c r="AS289" s="3179"/>
      <c r="AT289" s="3180"/>
      <c r="AU289" s="113"/>
    </row>
    <row r="290" spans="2:47" ht="15" customHeight="1" x14ac:dyDescent="0.15">
      <c r="B290" s="3149">
        <v>100</v>
      </c>
      <c r="C290" s="3151">
        <f>名簿入力!D213</f>
        <v>0</v>
      </c>
      <c r="D290" s="3152"/>
      <c r="E290" s="3155">
        <f>名簿入力!E213</f>
        <v>0</v>
      </c>
      <c r="F290" s="3157">
        <f>名簿入力!G213</f>
        <v>0</v>
      </c>
      <c r="G290" s="3159">
        <f>名簿入力!H213</f>
        <v>0</v>
      </c>
      <c r="H290" s="3161">
        <f>名簿入力!I213</f>
        <v>0</v>
      </c>
      <c r="I290" s="3162"/>
      <c r="J290" s="3165">
        <f>名簿入力!K213</f>
        <v>0</v>
      </c>
      <c r="K290" s="3167">
        <f>名簿入力!L213</f>
        <v>0</v>
      </c>
      <c r="L290" s="3161">
        <f>名簿入力!M213</f>
        <v>0</v>
      </c>
      <c r="M290" s="3169"/>
      <c r="N290" s="3165">
        <f>名簿入力!O213</f>
        <v>0</v>
      </c>
      <c r="O290" s="3165">
        <f>名簿入力!P213</f>
        <v>0</v>
      </c>
      <c r="P290" s="3167">
        <f>名簿入力!Q213</f>
        <v>0</v>
      </c>
      <c r="Q290" s="3161">
        <f>名簿入力!R213</f>
        <v>0</v>
      </c>
      <c r="R290" s="3162"/>
      <c r="S290" s="3165">
        <f>名簿入力!T213</f>
        <v>0</v>
      </c>
      <c r="T290" s="3165">
        <f>名簿入力!U213</f>
        <v>0</v>
      </c>
      <c r="U290" s="3167">
        <f>名簿入力!V213</f>
        <v>0</v>
      </c>
      <c r="V290" s="3161">
        <f>名簿入力!W213</f>
        <v>0</v>
      </c>
      <c r="W290" s="3162"/>
      <c r="X290" s="3165">
        <f>名簿入力!Y213</f>
        <v>0</v>
      </c>
      <c r="Y290" s="3165">
        <f>名簿入力!Z213</f>
        <v>0</v>
      </c>
      <c r="Z290" s="3167">
        <f>名簿入力!AA213</f>
        <v>0</v>
      </c>
      <c r="AA290" s="3161">
        <f>名簿入力!AB213</f>
        <v>0</v>
      </c>
      <c r="AB290" s="3162"/>
      <c r="AC290" s="3165">
        <f>名簿入力!AD213</f>
        <v>0</v>
      </c>
      <c r="AD290" s="3165">
        <f>名簿入力!AE213</f>
        <v>0</v>
      </c>
      <c r="AE290" s="3167">
        <f>名簿入力!AF213</f>
        <v>0</v>
      </c>
      <c r="AF290" s="3161">
        <f>名簿入力!AG213</f>
        <v>0</v>
      </c>
      <c r="AG290" s="3162"/>
      <c r="AH290" s="3165">
        <f>名簿入力!AI213</f>
        <v>0</v>
      </c>
      <c r="AI290" s="3165">
        <f>名簿入力!AJ213</f>
        <v>0</v>
      </c>
      <c r="AJ290" s="3175">
        <f>名簿入力!AK213</f>
        <v>0</v>
      </c>
      <c r="AK290" s="3176"/>
      <c r="AL290" s="3176"/>
      <c r="AM290" s="3176"/>
      <c r="AN290" s="3176"/>
      <c r="AO290" s="3177"/>
      <c r="AP290" s="3137">
        <f>名簿入力!AO213</f>
        <v>0</v>
      </c>
      <c r="AQ290" s="3138"/>
      <c r="AR290" s="3138"/>
      <c r="AS290" s="3138"/>
      <c r="AT290" s="3139"/>
      <c r="AU290" s="113"/>
    </row>
    <row r="291" spans="2:47" ht="15" customHeight="1" x14ac:dyDescent="0.15">
      <c r="B291" s="3181"/>
      <c r="C291" s="3182"/>
      <c r="D291" s="3183"/>
      <c r="E291" s="3184"/>
      <c r="F291" s="3185"/>
      <c r="G291" s="3186"/>
      <c r="H291" s="3173"/>
      <c r="I291" s="3174"/>
      <c r="J291" s="3171"/>
      <c r="K291" s="3172"/>
      <c r="L291" s="3173"/>
      <c r="M291" s="3187"/>
      <c r="N291" s="3171"/>
      <c r="O291" s="3171"/>
      <c r="P291" s="3172"/>
      <c r="Q291" s="3173"/>
      <c r="R291" s="3174"/>
      <c r="S291" s="3171"/>
      <c r="T291" s="3171"/>
      <c r="U291" s="3172"/>
      <c r="V291" s="3173"/>
      <c r="W291" s="3174"/>
      <c r="X291" s="3171"/>
      <c r="Y291" s="3171"/>
      <c r="Z291" s="3172"/>
      <c r="AA291" s="3173"/>
      <c r="AB291" s="3174"/>
      <c r="AC291" s="3171"/>
      <c r="AD291" s="3171"/>
      <c r="AE291" s="3172"/>
      <c r="AF291" s="3173"/>
      <c r="AG291" s="3174"/>
      <c r="AH291" s="3171"/>
      <c r="AI291" s="3171"/>
      <c r="AJ291" s="3146">
        <f>名簿入力!AK214</f>
        <v>0</v>
      </c>
      <c r="AK291" s="3147"/>
      <c r="AL291" s="3147"/>
      <c r="AM291" s="3147"/>
      <c r="AN291" s="3147"/>
      <c r="AO291" s="3148"/>
      <c r="AP291" s="3178"/>
      <c r="AQ291" s="3179"/>
      <c r="AR291" s="3179"/>
      <c r="AS291" s="3179"/>
      <c r="AT291" s="3180"/>
      <c r="AU291" s="113"/>
    </row>
    <row r="292" spans="2:47" ht="15" customHeight="1" x14ac:dyDescent="0.15">
      <c r="B292" s="3149">
        <v>101</v>
      </c>
      <c r="C292" s="3151">
        <f>名簿入力!D215</f>
        <v>0</v>
      </c>
      <c r="D292" s="3152"/>
      <c r="E292" s="3155">
        <f>名簿入力!E215</f>
        <v>0</v>
      </c>
      <c r="F292" s="3157">
        <f>名簿入力!G215</f>
        <v>0</v>
      </c>
      <c r="G292" s="3159">
        <f>名簿入力!H215</f>
        <v>0</v>
      </c>
      <c r="H292" s="3161">
        <f>名簿入力!I215</f>
        <v>0</v>
      </c>
      <c r="I292" s="3162"/>
      <c r="J292" s="3165">
        <f>名簿入力!K215</f>
        <v>0</v>
      </c>
      <c r="K292" s="3167">
        <f>名簿入力!L215</f>
        <v>0</v>
      </c>
      <c r="L292" s="3161">
        <f>名簿入力!M215</f>
        <v>0</v>
      </c>
      <c r="M292" s="3169"/>
      <c r="N292" s="3165">
        <f>名簿入力!O215</f>
        <v>0</v>
      </c>
      <c r="O292" s="3165">
        <f>名簿入力!P215</f>
        <v>0</v>
      </c>
      <c r="P292" s="3167">
        <f>名簿入力!Q215</f>
        <v>0</v>
      </c>
      <c r="Q292" s="3161">
        <f>名簿入力!R215</f>
        <v>0</v>
      </c>
      <c r="R292" s="3162"/>
      <c r="S292" s="3165">
        <f>名簿入力!T215</f>
        <v>0</v>
      </c>
      <c r="T292" s="3165">
        <f>名簿入力!U215</f>
        <v>0</v>
      </c>
      <c r="U292" s="3167">
        <f>名簿入力!V215</f>
        <v>0</v>
      </c>
      <c r="V292" s="3161">
        <f>名簿入力!W215</f>
        <v>0</v>
      </c>
      <c r="W292" s="3162"/>
      <c r="X292" s="3165">
        <f>名簿入力!Y215</f>
        <v>0</v>
      </c>
      <c r="Y292" s="3165">
        <f>名簿入力!Z215</f>
        <v>0</v>
      </c>
      <c r="Z292" s="3167">
        <f>名簿入力!AA215</f>
        <v>0</v>
      </c>
      <c r="AA292" s="3161">
        <f>名簿入力!AB215</f>
        <v>0</v>
      </c>
      <c r="AB292" s="3162"/>
      <c r="AC292" s="3165">
        <f>名簿入力!AD215</f>
        <v>0</v>
      </c>
      <c r="AD292" s="3165">
        <f>名簿入力!AE215</f>
        <v>0</v>
      </c>
      <c r="AE292" s="3167">
        <f>名簿入力!AF215</f>
        <v>0</v>
      </c>
      <c r="AF292" s="3161">
        <f>名簿入力!AG215</f>
        <v>0</v>
      </c>
      <c r="AG292" s="3162"/>
      <c r="AH292" s="3165">
        <f>名簿入力!AI215</f>
        <v>0</v>
      </c>
      <c r="AI292" s="3165">
        <f>名簿入力!AJ215</f>
        <v>0</v>
      </c>
      <c r="AJ292" s="3175">
        <f>名簿入力!AK215</f>
        <v>0</v>
      </c>
      <c r="AK292" s="3176"/>
      <c r="AL292" s="3176"/>
      <c r="AM292" s="3176"/>
      <c r="AN292" s="3176"/>
      <c r="AO292" s="3177"/>
      <c r="AP292" s="3137">
        <f>名簿入力!AO215</f>
        <v>0</v>
      </c>
      <c r="AQ292" s="3138"/>
      <c r="AR292" s="3138"/>
      <c r="AS292" s="3138"/>
      <c r="AT292" s="3139"/>
      <c r="AU292" s="113"/>
    </row>
    <row r="293" spans="2:47" ht="15" customHeight="1" x14ac:dyDescent="0.15">
      <c r="B293" s="3181"/>
      <c r="C293" s="3182"/>
      <c r="D293" s="3183"/>
      <c r="E293" s="3184"/>
      <c r="F293" s="3185"/>
      <c r="G293" s="3186"/>
      <c r="H293" s="3173"/>
      <c r="I293" s="3174"/>
      <c r="J293" s="3171"/>
      <c r="K293" s="3172"/>
      <c r="L293" s="3173"/>
      <c r="M293" s="3187"/>
      <c r="N293" s="3171"/>
      <c r="O293" s="3171"/>
      <c r="P293" s="3172"/>
      <c r="Q293" s="3173"/>
      <c r="R293" s="3174"/>
      <c r="S293" s="3171"/>
      <c r="T293" s="3171"/>
      <c r="U293" s="3172"/>
      <c r="V293" s="3173"/>
      <c r="W293" s="3174"/>
      <c r="X293" s="3171"/>
      <c r="Y293" s="3171"/>
      <c r="Z293" s="3172"/>
      <c r="AA293" s="3173"/>
      <c r="AB293" s="3174"/>
      <c r="AC293" s="3171"/>
      <c r="AD293" s="3171"/>
      <c r="AE293" s="3172"/>
      <c r="AF293" s="3173"/>
      <c r="AG293" s="3174"/>
      <c r="AH293" s="3171"/>
      <c r="AI293" s="3171"/>
      <c r="AJ293" s="3146">
        <f>名簿入力!AK216</f>
        <v>0</v>
      </c>
      <c r="AK293" s="3147"/>
      <c r="AL293" s="3147"/>
      <c r="AM293" s="3147"/>
      <c r="AN293" s="3147"/>
      <c r="AO293" s="3148"/>
      <c r="AP293" s="3178"/>
      <c r="AQ293" s="3179"/>
      <c r="AR293" s="3179"/>
      <c r="AS293" s="3179"/>
      <c r="AT293" s="3180"/>
      <c r="AU293" s="113"/>
    </row>
    <row r="294" spans="2:47" ht="15" customHeight="1" x14ac:dyDescent="0.15">
      <c r="B294" s="3149">
        <v>102</v>
      </c>
      <c r="C294" s="3151">
        <f>名簿入力!D217</f>
        <v>0</v>
      </c>
      <c r="D294" s="3152"/>
      <c r="E294" s="3155">
        <f>名簿入力!E217</f>
        <v>0</v>
      </c>
      <c r="F294" s="3157">
        <f>名簿入力!G217</f>
        <v>0</v>
      </c>
      <c r="G294" s="3159">
        <f>名簿入力!H217</f>
        <v>0</v>
      </c>
      <c r="H294" s="3161">
        <f>名簿入力!I217</f>
        <v>0</v>
      </c>
      <c r="I294" s="3162"/>
      <c r="J294" s="3165">
        <f>名簿入力!K217</f>
        <v>0</v>
      </c>
      <c r="K294" s="3167">
        <f>名簿入力!L217</f>
        <v>0</v>
      </c>
      <c r="L294" s="3161">
        <f>名簿入力!M217</f>
        <v>0</v>
      </c>
      <c r="M294" s="3169"/>
      <c r="N294" s="3165">
        <f>名簿入力!O217</f>
        <v>0</v>
      </c>
      <c r="O294" s="3165">
        <f>名簿入力!P217</f>
        <v>0</v>
      </c>
      <c r="P294" s="3167">
        <f>名簿入力!Q217</f>
        <v>0</v>
      </c>
      <c r="Q294" s="3161">
        <f>名簿入力!R217</f>
        <v>0</v>
      </c>
      <c r="R294" s="3162"/>
      <c r="S294" s="3165">
        <f>名簿入力!T217</f>
        <v>0</v>
      </c>
      <c r="T294" s="3165">
        <f>名簿入力!U217</f>
        <v>0</v>
      </c>
      <c r="U294" s="3167">
        <f>名簿入力!V217</f>
        <v>0</v>
      </c>
      <c r="V294" s="3161">
        <f>名簿入力!W217</f>
        <v>0</v>
      </c>
      <c r="W294" s="3162"/>
      <c r="X294" s="3165">
        <f>名簿入力!Y217</f>
        <v>0</v>
      </c>
      <c r="Y294" s="3165">
        <f>名簿入力!Z217</f>
        <v>0</v>
      </c>
      <c r="Z294" s="3167">
        <f>名簿入力!AA217</f>
        <v>0</v>
      </c>
      <c r="AA294" s="3161">
        <f>名簿入力!AB217</f>
        <v>0</v>
      </c>
      <c r="AB294" s="3162"/>
      <c r="AC294" s="3165">
        <f>名簿入力!AD217</f>
        <v>0</v>
      </c>
      <c r="AD294" s="3165">
        <f>名簿入力!AE217</f>
        <v>0</v>
      </c>
      <c r="AE294" s="3167">
        <f>名簿入力!AF217</f>
        <v>0</v>
      </c>
      <c r="AF294" s="3161">
        <f>名簿入力!AG217</f>
        <v>0</v>
      </c>
      <c r="AG294" s="3162"/>
      <c r="AH294" s="3165">
        <f>名簿入力!AI217</f>
        <v>0</v>
      </c>
      <c r="AI294" s="3165">
        <f>名簿入力!AJ217</f>
        <v>0</v>
      </c>
      <c r="AJ294" s="3175">
        <f>名簿入力!AK217</f>
        <v>0</v>
      </c>
      <c r="AK294" s="3176"/>
      <c r="AL294" s="3176"/>
      <c r="AM294" s="3176"/>
      <c r="AN294" s="3176"/>
      <c r="AO294" s="3177"/>
      <c r="AP294" s="3137">
        <f>名簿入力!AO217</f>
        <v>0</v>
      </c>
      <c r="AQ294" s="3138"/>
      <c r="AR294" s="3138"/>
      <c r="AS294" s="3138"/>
      <c r="AT294" s="3139"/>
      <c r="AU294" s="113"/>
    </row>
    <row r="295" spans="2:47" ht="15" customHeight="1" x14ac:dyDescent="0.15">
      <c r="B295" s="3181"/>
      <c r="C295" s="3182"/>
      <c r="D295" s="3183"/>
      <c r="E295" s="3184"/>
      <c r="F295" s="3185"/>
      <c r="G295" s="3186"/>
      <c r="H295" s="3173"/>
      <c r="I295" s="3174"/>
      <c r="J295" s="3171"/>
      <c r="K295" s="3172"/>
      <c r="L295" s="3173"/>
      <c r="M295" s="3187"/>
      <c r="N295" s="3171"/>
      <c r="O295" s="3171"/>
      <c r="P295" s="3172"/>
      <c r="Q295" s="3173"/>
      <c r="R295" s="3174"/>
      <c r="S295" s="3171"/>
      <c r="T295" s="3171"/>
      <c r="U295" s="3172"/>
      <c r="V295" s="3173"/>
      <c r="W295" s="3174"/>
      <c r="X295" s="3171"/>
      <c r="Y295" s="3171"/>
      <c r="Z295" s="3172"/>
      <c r="AA295" s="3173"/>
      <c r="AB295" s="3174"/>
      <c r="AC295" s="3171"/>
      <c r="AD295" s="3171"/>
      <c r="AE295" s="3172"/>
      <c r="AF295" s="3173"/>
      <c r="AG295" s="3174"/>
      <c r="AH295" s="3171"/>
      <c r="AI295" s="3171"/>
      <c r="AJ295" s="3146">
        <f>名簿入力!AK218</f>
        <v>0</v>
      </c>
      <c r="AK295" s="3147"/>
      <c r="AL295" s="3147"/>
      <c r="AM295" s="3147"/>
      <c r="AN295" s="3147"/>
      <c r="AO295" s="3148"/>
      <c r="AP295" s="3178"/>
      <c r="AQ295" s="3179"/>
      <c r="AR295" s="3179"/>
      <c r="AS295" s="3179"/>
      <c r="AT295" s="3180"/>
      <c r="AU295" s="113"/>
    </row>
    <row r="296" spans="2:47" ht="15" customHeight="1" x14ac:dyDescent="0.15">
      <c r="B296" s="3149">
        <v>103</v>
      </c>
      <c r="C296" s="3151">
        <f>名簿入力!D219</f>
        <v>0</v>
      </c>
      <c r="D296" s="3152"/>
      <c r="E296" s="3155">
        <f>名簿入力!E219</f>
        <v>0</v>
      </c>
      <c r="F296" s="3157">
        <f>名簿入力!G219</f>
        <v>0</v>
      </c>
      <c r="G296" s="3159">
        <f>名簿入力!H219</f>
        <v>0</v>
      </c>
      <c r="H296" s="3161">
        <f>名簿入力!I219</f>
        <v>0</v>
      </c>
      <c r="I296" s="3162"/>
      <c r="J296" s="3165">
        <f>名簿入力!K219</f>
        <v>0</v>
      </c>
      <c r="K296" s="3167">
        <f>名簿入力!L219</f>
        <v>0</v>
      </c>
      <c r="L296" s="3161">
        <f>名簿入力!M219</f>
        <v>0</v>
      </c>
      <c r="M296" s="3169"/>
      <c r="N296" s="3165">
        <f>名簿入力!O219</f>
        <v>0</v>
      </c>
      <c r="O296" s="3165">
        <f>名簿入力!P219</f>
        <v>0</v>
      </c>
      <c r="P296" s="3167">
        <f>名簿入力!Q219</f>
        <v>0</v>
      </c>
      <c r="Q296" s="3161">
        <f>名簿入力!R219</f>
        <v>0</v>
      </c>
      <c r="R296" s="3162"/>
      <c r="S296" s="3165">
        <f>名簿入力!T219</f>
        <v>0</v>
      </c>
      <c r="T296" s="3165">
        <f>名簿入力!U219</f>
        <v>0</v>
      </c>
      <c r="U296" s="3167">
        <f>名簿入力!V219</f>
        <v>0</v>
      </c>
      <c r="V296" s="3161">
        <f>名簿入力!W219</f>
        <v>0</v>
      </c>
      <c r="W296" s="3162"/>
      <c r="X296" s="3165">
        <f>名簿入力!Y219</f>
        <v>0</v>
      </c>
      <c r="Y296" s="3165">
        <f>名簿入力!Z219</f>
        <v>0</v>
      </c>
      <c r="Z296" s="3167">
        <f>名簿入力!AA219</f>
        <v>0</v>
      </c>
      <c r="AA296" s="3161">
        <f>名簿入力!AB219</f>
        <v>0</v>
      </c>
      <c r="AB296" s="3162"/>
      <c r="AC296" s="3165">
        <f>名簿入力!AD219</f>
        <v>0</v>
      </c>
      <c r="AD296" s="3165">
        <f>名簿入力!AE219</f>
        <v>0</v>
      </c>
      <c r="AE296" s="3167">
        <f>名簿入力!AF219</f>
        <v>0</v>
      </c>
      <c r="AF296" s="3161">
        <f>名簿入力!AG219</f>
        <v>0</v>
      </c>
      <c r="AG296" s="3162"/>
      <c r="AH296" s="3165">
        <f>名簿入力!AI219</f>
        <v>0</v>
      </c>
      <c r="AI296" s="3165">
        <f>名簿入力!AJ219</f>
        <v>0</v>
      </c>
      <c r="AJ296" s="3175">
        <f>名簿入力!AK219</f>
        <v>0</v>
      </c>
      <c r="AK296" s="3176"/>
      <c r="AL296" s="3176"/>
      <c r="AM296" s="3176"/>
      <c r="AN296" s="3176"/>
      <c r="AO296" s="3177"/>
      <c r="AP296" s="3137">
        <f>名簿入力!AO219</f>
        <v>0</v>
      </c>
      <c r="AQ296" s="3138"/>
      <c r="AR296" s="3138"/>
      <c r="AS296" s="3138"/>
      <c r="AT296" s="3139"/>
      <c r="AU296" s="113"/>
    </row>
    <row r="297" spans="2:47" ht="15" customHeight="1" x14ac:dyDescent="0.15">
      <c r="B297" s="3181"/>
      <c r="C297" s="3182"/>
      <c r="D297" s="3183"/>
      <c r="E297" s="3184"/>
      <c r="F297" s="3185"/>
      <c r="G297" s="3186"/>
      <c r="H297" s="3173"/>
      <c r="I297" s="3174"/>
      <c r="J297" s="3171"/>
      <c r="K297" s="3172"/>
      <c r="L297" s="3173"/>
      <c r="M297" s="3187"/>
      <c r="N297" s="3171"/>
      <c r="O297" s="3171"/>
      <c r="P297" s="3172"/>
      <c r="Q297" s="3173"/>
      <c r="R297" s="3174"/>
      <c r="S297" s="3171"/>
      <c r="T297" s="3171"/>
      <c r="U297" s="3172"/>
      <c r="V297" s="3173"/>
      <c r="W297" s="3174"/>
      <c r="X297" s="3171"/>
      <c r="Y297" s="3171"/>
      <c r="Z297" s="3172"/>
      <c r="AA297" s="3173"/>
      <c r="AB297" s="3174"/>
      <c r="AC297" s="3171"/>
      <c r="AD297" s="3171"/>
      <c r="AE297" s="3172"/>
      <c r="AF297" s="3173"/>
      <c r="AG297" s="3174"/>
      <c r="AH297" s="3171"/>
      <c r="AI297" s="3171"/>
      <c r="AJ297" s="3146">
        <f>名簿入力!AK220</f>
        <v>0</v>
      </c>
      <c r="AK297" s="3147"/>
      <c r="AL297" s="3147"/>
      <c r="AM297" s="3147"/>
      <c r="AN297" s="3147"/>
      <c r="AO297" s="3148"/>
      <c r="AP297" s="3178"/>
      <c r="AQ297" s="3179"/>
      <c r="AR297" s="3179"/>
      <c r="AS297" s="3179"/>
      <c r="AT297" s="3180"/>
      <c r="AU297" s="113"/>
    </row>
    <row r="298" spans="2:47" ht="15" customHeight="1" x14ac:dyDescent="0.15">
      <c r="B298" s="3149">
        <v>104</v>
      </c>
      <c r="C298" s="3151">
        <f>名簿入力!D221</f>
        <v>0</v>
      </c>
      <c r="D298" s="3152"/>
      <c r="E298" s="3155">
        <f>名簿入力!E221</f>
        <v>0</v>
      </c>
      <c r="F298" s="3157">
        <f>名簿入力!G221</f>
        <v>0</v>
      </c>
      <c r="G298" s="3159">
        <f>名簿入力!H221</f>
        <v>0</v>
      </c>
      <c r="H298" s="3161">
        <f>名簿入力!I221</f>
        <v>0</v>
      </c>
      <c r="I298" s="3162"/>
      <c r="J298" s="3165">
        <f>名簿入力!K221</f>
        <v>0</v>
      </c>
      <c r="K298" s="3167">
        <f>名簿入力!L221</f>
        <v>0</v>
      </c>
      <c r="L298" s="3161">
        <f>名簿入力!M221</f>
        <v>0</v>
      </c>
      <c r="M298" s="3169"/>
      <c r="N298" s="3165">
        <f>名簿入力!O221</f>
        <v>0</v>
      </c>
      <c r="O298" s="3165">
        <f>名簿入力!P221</f>
        <v>0</v>
      </c>
      <c r="P298" s="3167">
        <f>名簿入力!Q221</f>
        <v>0</v>
      </c>
      <c r="Q298" s="3161">
        <f>名簿入力!R221</f>
        <v>0</v>
      </c>
      <c r="R298" s="3162"/>
      <c r="S298" s="3165">
        <f>名簿入力!T221</f>
        <v>0</v>
      </c>
      <c r="T298" s="3165">
        <f>名簿入力!U221</f>
        <v>0</v>
      </c>
      <c r="U298" s="3167">
        <f>名簿入力!V221</f>
        <v>0</v>
      </c>
      <c r="V298" s="3161">
        <f>名簿入力!W221</f>
        <v>0</v>
      </c>
      <c r="W298" s="3162"/>
      <c r="X298" s="3165">
        <f>名簿入力!Y221</f>
        <v>0</v>
      </c>
      <c r="Y298" s="3165">
        <f>名簿入力!Z221</f>
        <v>0</v>
      </c>
      <c r="Z298" s="3167">
        <f>名簿入力!AA221</f>
        <v>0</v>
      </c>
      <c r="AA298" s="3161">
        <f>名簿入力!AB221</f>
        <v>0</v>
      </c>
      <c r="AB298" s="3162"/>
      <c r="AC298" s="3165">
        <f>名簿入力!AD221</f>
        <v>0</v>
      </c>
      <c r="AD298" s="3165">
        <f>名簿入力!AE221</f>
        <v>0</v>
      </c>
      <c r="AE298" s="3167">
        <f>名簿入力!AF221</f>
        <v>0</v>
      </c>
      <c r="AF298" s="3161">
        <f>名簿入力!AG221</f>
        <v>0</v>
      </c>
      <c r="AG298" s="3162"/>
      <c r="AH298" s="3165">
        <f>名簿入力!AI221</f>
        <v>0</v>
      </c>
      <c r="AI298" s="3165">
        <f>名簿入力!AJ221</f>
        <v>0</v>
      </c>
      <c r="AJ298" s="3175">
        <f>名簿入力!AK221</f>
        <v>0</v>
      </c>
      <c r="AK298" s="3176"/>
      <c r="AL298" s="3176"/>
      <c r="AM298" s="3176"/>
      <c r="AN298" s="3176"/>
      <c r="AO298" s="3177"/>
      <c r="AP298" s="3137">
        <f>名簿入力!AO221</f>
        <v>0</v>
      </c>
      <c r="AQ298" s="3138"/>
      <c r="AR298" s="3138"/>
      <c r="AS298" s="3138"/>
      <c r="AT298" s="3139"/>
      <c r="AU298" s="113"/>
    </row>
    <row r="299" spans="2:47" ht="15" customHeight="1" x14ac:dyDescent="0.15">
      <c r="B299" s="3181"/>
      <c r="C299" s="3182"/>
      <c r="D299" s="3183"/>
      <c r="E299" s="3184"/>
      <c r="F299" s="3185"/>
      <c r="G299" s="3186"/>
      <c r="H299" s="3173"/>
      <c r="I299" s="3174"/>
      <c r="J299" s="3171"/>
      <c r="K299" s="3172"/>
      <c r="L299" s="3173"/>
      <c r="M299" s="3187"/>
      <c r="N299" s="3171"/>
      <c r="O299" s="3171"/>
      <c r="P299" s="3172"/>
      <c r="Q299" s="3173"/>
      <c r="R299" s="3174"/>
      <c r="S299" s="3171"/>
      <c r="T299" s="3171"/>
      <c r="U299" s="3172"/>
      <c r="V299" s="3173"/>
      <c r="W299" s="3174"/>
      <c r="X299" s="3171"/>
      <c r="Y299" s="3171"/>
      <c r="Z299" s="3172"/>
      <c r="AA299" s="3173"/>
      <c r="AB299" s="3174"/>
      <c r="AC299" s="3171"/>
      <c r="AD299" s="3171"/>
      <c r="AE299" s="3172"/>
      <c r="AF299" s="3173"/>
      <c r="AG299" s="3174"/>
      <c r="AH299" s="3171"/>
      <c r="AI299" s="3171"/>
      <c r="AJ299" s="3146">
        <f>名簿入力!AK222</f>
        <v>0</v>
      </c>
      <c r="AK299" s="3147"/>
      <c r="AL299" s="3147"/>
      <c r="AM299" s="3147"/>
      <c r="AN299" s="3147"/>
      <c r="AO299" s="3148"/>
      <c r="AP299" s="3178"/>
      <c r="AQ299" s="3179"/>
      <c r="AR299" s="3179"/>
      <c r="AS299" s="3179"/>
      <c r="AT299" s="3180"/>
      <c r="AU299" s="113"/>
    </row>
    <row r="300" spans="2:47" ht="15" customHeight="1" x14ac:dyDescent="0.15">
      <c r="B300" s="3149">
        <v>105</v>
      </c>
      <c r="C300" s="3151">
        <f>名簿入力!D223</f>
        <v>0</v>
      </c>
      <c r="D300" s="3152"/>
      <c r="E300" s="3155">
        <f>名簿入力!E223</f>
        <v>0</v>
      </c>
      <c r="F300" s="3157">
        <f>名簿入力!G223</f>
        <v>0</v>
      </c>
      <c r="G300" s="3159">
        <f>名簿入力!H223</f>
        <v>0</v>
      </c>
      <c r="H300" s="3161">
        <f>名簿入力!I223</f>
        <v>0</v>
      </c>
      <c r="I300" s="3162"/>
      <c r="J300" s="3165">
        <f>名簿入力!K223</f>
        <v>0</v>
      </c>
      <c r="K300" s="3167">
        <f>名簿入力!L223</f>
        <v>0</v>
      </c>
      <c r="L300" s="3161">
        <f>名簿入力!M223</f>
        <v>0</v>
      </c>
      <c r="M300" s="3169"/>
      <c r="N300" s="3165">
        <f>名簿入力!O223</f>
        <v>0</v>
      </c>
      <c r="O300" s="3165">
        <f>名簿入力!P223</f>
        <v>0</v>
      </c>
      <c r="P300" s="3167">
        <f>名簿入力!Q223</f>
        <v>0</v>
      </c>
      <c r="Q300" s="3161">
        <f>名簿入力!R223</f>
        <v>0</v>
      </c>
      <c r="R300" s="3162"/>
      <c r="S300" s="3165">
        <f>名簿入力!T223</f>
        <v>0</v>
      </c>
      <c r="T300" s="3165">
        <f>名簿入力!U223</f>
        <v>0</v>
      </c>
      <c r="U300" s="3167">
        <f>名簿入力!V223</f>
        <v>0</v>
      </c>
      <c r="V300" s="3161">
        <f>名簿入力!W223</f>
        <v>0</v>
      </c>
      <c r="W300" s="3162"/>
      <c r="X300" s="3165">
        <f>名簿入力!Y223</f>
        <v>0</v>
      </c>
      <c r="Y300" s="3165">
        <f>名簿入力!Z223</f>
        <v>0</v>
      </c>
      <c r="Z300" s="3167">
        <f>名簿入力!AA223</f>
        <v>0</v>
      </c>
      <c r="AA300" s="3161">
        <f>名簿入力!AB223</f>
        <v>0</v>
      </c>
      <c r="AB300" s="3162"/>
      <c r="AC300" s="3165">
        <f>名簿入力!AD223</f>
        <v>0</v>
      </c>
      <c r="AD300" s="3165">
        <f>名簿入力!AE223</f>
        <v>0</v>
      </c>
      <c r="AE300" s="3167">
        <f>名簿入力!AF223</f>
        <v>0</v>
      </c>
      <c r="AF300" s="3161">
        <f>名簿入力!AG223</f>
        <v>0</v>
      </c>
      <c r="AG300" s="3162"/>
      <c r="AH300" s="3165">
        <f>名簿入力!AI223</f>
        <v>0</v>
      </c>
      <c r="AI300" s="3165">
        <f>名簿入力!AJ223</f>
        <v>0</v>
      </c>
      <c r="AJ300" s="3175">
        <f>名簿入力!AK223</f>
        <v>0</v>
      </c>
      <c r="AK300" s="3176"/>
      <c r="AL300" s="3176"/>
      <c r="AM300" s="3176"/>
      <c r="AN300" s="3176"/>
      <c r="AO300" s="3177"/>
      <c r="AP300" s="3137">
        <f>名簿入力!AO223</f>
        <v>0</v>
      </c>
      <c r="AQ300" s="3138"/>
      <c r="AR300" s="3138"/>
      <c r="AS300" s="3138"/>
      <c r="AT300" s="3139"/>
      <c r="AU300" s="113"/>
    </row>
    <row r="301" spans="2:47" ht="15" customHeight="1" thickBot="1" x14ac:dyDescent="0.2">
      <c r="B301" s="3150"/>
      <c r="C301" s="3153"/>
      <c r="D301" s="3154"/>
      <c r="E301" s="3156"/>
      <c r="F301" s="3158"/>
      <c r="G301" s="3160"/>
      <c r="H301" s="3163"/>
      <c r="I301" s="3164"/>
      <c r="J301" s="3166"/>
      <c r="K301" s="3168"/>
      <c r="L301" s="3163"/>
      <c r="M301" s="3170"/>
      <c r="N301" s="3166"/>
      <c r="O301" s="3166"/>
      <c r="P301" s="3168"/>
      <c r="Q301" s="3163"/>
      <c r="R301" s="3164"/>
      <c r="S301" s="3166"/>
      <c r="T301" s="3166"/>
      <c r="U301" s="3168"/>
      <c r="V301" s="3163"/>
      <c r="W301" s="3164"/>
      <c r="X301" s="3166"/>
      <c r="Y301" s="3166"/>
      <c r="Z301" s="3168"/>
      <c r="AA301" s="3163"/>
      <c r="AB301" s="3164"/>
      <c r="AC301" s="3166"/>
      <c r="AD301" s="3166"/>
      <c r="AE301" s="3168"/>
      <c r="AF301" s="3163"/>
      <c r="AG301" s="3164"/>
      <c r="AH301" s="3166"/>
      <c r="AI301" s="3166"/>
      <c r="AJ301" s="3143">
        <f>名簿入力!AK224</f>
        <v>0</v>
      </c>
      <c r="AK301" s="3144"/>
      <c r="AL301" s="3144"/>
      <c r="AM301" s="3144"/>
      <c r="AN301" s="3144"/>
      <c r="AO301" s="3145"/>
      <c r="AP301" s="3140"/>
      <c r="AQ301" s="3141"/>
      <c r="AR301" s="3141"/>
      <c r="AS301" s="3141"/>
      <c r="AT301" s="3142"/>
      <c r="AU301" s="113"/>
    </row>
    <row r="302" spans="2:47" ht="46.5" customHeight="1" x14ac:dyDescent="0.15">
      <c r="B302" s="524"/>
      <c r="C302" s="525"/>
      <c r="D302" s="525"/>
      <c r="E302" s="526"/>
      <c r="F302" s="527"/>
      <c r="G302" s="527"/>
      <c r="H302" s="528"/>
      <c r="I302" s="528"/>
      <c r="J302" s="529"/>
      <c r="K302" s="529"/>
      <c r="L302" s="528"/>
      <c r="M302" s="528"/>
      <c r="N302" s="529"/>
      <c r="O302" s="529"/>
      <c r="P302" s="529"/>
      <c r="Q302" s="528"/>
      <c r="R302" s="528"/>
      <c r="S302" s="529"/>
      <c r="T302" s="529"/>
      <c r="U302" s="529"/>
      <c r="V302" s="528"/>
      <c r="W302" s="528"/>
      <c r="X302" s="529"/>
      <c r="Y302" s="529"/>
      <c r="Z302" s="529"/>
      <c r="AA302" s="528"/>
      <c r="AB302" s="528"/>
      <c r="AC302" s="529"/>
      <c r="AD302" s="529"/>
      <c r="AE302" s="529"/>
      <c r="AF302" s="528"/>
      <c r="AG302" s="528"/>
      <c r="AH302" s="1112"/>
      <c r="AI302" s="1112"/>
      <c r="AJ302" s="1113"/>
      <c r="AK302" s="1113"/>
      <c r="AL302" s="1113"/>
      <c r="AM302" s="1113"/>
      <c r="AN302" s="1113"/>
      <c r="AO302" s="1113"/>
      <c r="AP302" s="1114"/>
      <c r="AQ302" s="1114"/>
      <c r="AR302" s="1114"/>
      <c r="AS302" s="1114"/>
      <c r="AT302" s="1114"/>
      <c r="AU302" s="113"/>
    </row>
    <row r="303" spans="2:47" ht="26.25" customHeight="1" x14ac:dyDescent="0.15">
      <c r="C303" s="3279" t="s">
        <v>282</v>
      </c>
      <c r="D303" s="3279"/>
      <c r="E303" s="3279"/>
      <c r="F303" s="3279"/>
      <c r="G303" s="3279"/>
      <c r="H303" s="3279"/>
      <c r="I303" s="3279"/>
      <c r="J303" s="3279"/>
      <c r="K303" s="3279"/>
      <c r="L303" s="3279"/>
      <c r="M303" s="3279"/>
      <c r="N303" s="3279"/>
      <c r="O303" s="3279"/>
      <c r="P303" s="3279"/>
      <c r="Q303" s="3279"/>
      <c r="R303" s="3279"/>
      <c r="S303" s="3279"/>
      <c r="T303" s="3279"/>
      <c r="U303" s="3279"/>
      <c r="V303" s="3279"/>
      <c r="W303" s="3279"/>
      <c r="X303" s="3279"/>
      <c r="Y303" s="3279"/>
      <c r="Z303" s="3279"/>
      <c r="AA303" s="1014"/>
      <c r="AB303" s="1014"/>
      <c r="AC303" s="1014"/>
      <c r="AD303" s="1014"/>
      <c r="AE303" s="1014"/>
      <c r="AF303" s="1014"/>
      <c r="AG303" s="1014"/>
      <c r="AH303" s="1014"/>
      <c r="AI303" s="1014"/>
      <c r="AJ303" s="1014"/>
      <c r="AK303" s="1014"/>
      <c r="AL303" s="1014"/>
      <c r="AM303" s="1014"/>
      <c r="AN303" s="1014"/>
      <c r="AP303" s="499"/>
      <c r="AQ303" s="3230" t="s">
        <v>175</v>
      </c>
      <c r="AR303" s="3230"/>
      <c r="AS303" s="3230">
        <v>8</v>
      </c>
      <c r="AT303" s="3230"/>
    </row>
    <row r="304" spans="2:47" ht="3.75" customHeight="1" thickBot="1" x14ac:dyDescent="0.2">
      <c r="B304" s="854"/>
      <c r="C304" s="854"/>
      <c r="D304" s="854"/>
      <c r="E304" s="854"/>
      <c r="F304" s="854"/>
      <c r="G304" s="854"/>
      <c r="H304" s="854"/>
      <c r="I304" s="854"/>
      <c r="J304" s="854"/>
      <c r="K304" s="854"/>
      <c r="L304" s="854"/>
      <c r="M304" s="854"/>
      <c r="N304" s="854"/>
      <c r="O304" s="854"/>
      <c r="P304" s="854"/>
      <c r="Q304" s="854"/>
      <c r="R304" s="854"/>
      <c r="S304" s="854"/>
      <c r="T304" s="854"/>
      <c r="U304" s="854"/>
      <c r="V304" s="854"/>
      <c r="W304" s="854"/>
      <c r="X304" s="854"/>
      <c r="Y304" s="854"/>
      <c r="Z304" s="854"/>
      <c r="AA304" s="854"/>
      <c r="AB304" s="854"/>
      <c r="AC304" s="854"/>
      <c r="AD304" s="854"/>
      <c r="AE304" s="854"/>
      <c r="AF304" s="854"/>
      <c r="AG304" s="854"/>
      <c r="AH304" s="854"/>
      <c r="AI304" s="854"/>
      <c r="AJ304" s="854"/>
      <c r="AK304" s="854"/>
      <c r="AL304" s="854"/>
      <c r="AM304" s="854"/>
      <c r="AN304" s="854"/>
      <c r="AP304" s="499"/>
      <c r="AQ304" s="855"/>
      <c r="AR304" s="855"/>
      <c r="AS304" s="855"/>
      <c r="AT304" s="855"/>
    </row>
    <row r="305" spans="2:50" ht="15" customHeight="1" x14ac:dyDescent="0.15">
      <c r="B305" s="3231" t="s">
        <v>174</v>
      </c>
      <c r="C305" s="3232"/>
      <c r="D305" s="3235" t="str">
        <f>$D$4</f>
        <v xml:space="preserve"> </v>
      </c>
      <c r="E305" s="3235"/>
      <c r="F305" s="3235"/>
      <c r="G305" s="3235"/>
      <c r="H305" s="3235"/>
      <c r="I305" s="3235"/>
      <c r="J305" s="3235"/>
      <c r="K305" s="3235"/>
      <c r="L305" s="3235"/>
      <c r="M305" s="3235"/>
      <c r="N305" s="3235"/>
      <c r="O305" s="3235"/>
      <c r="P305" s="3235"/>
      <c r="Q305" s="3235"/>
      <c r="R305" s="3235"/>
      <c r="S305" s="3235"/>
      <c r="T305" s="3235"/>
      <c r="U305" s="3235"/>
      <c r="V305" s="3235"/>
      <c r="W305" s="3235"/>
      <c r="X305" s="3235"/>
      <c r="Y305" s="3235"/>
      <c r="Z305" s="3236"/>
      <c r="AA305" s="502"/>
      <c r="AB305" s="503"/>
      <c r="AC305" s="497"/>
      <c r="AD305" s="497"/>
      <c r="AE305" s="497"/>
      <c r="AF305" s="48"/>
      <c r="AG305" s="48"/>
      <c r="AJ305" s="48"/>
      <c r="AK305" s="48"/>
    </row>
    <row r="306" spans="2:50" ht="22.5" customHeight="1" x14ac:dyDescent="0.15">
      <c r="B306" s="3233"/>
      <c r="C306" s="3234"/>
      <c r="D306" s="3237"/>
      <c r="E306" s="3237"/>
      <c r="F306" s="3237"/>
      <c r="G306" s="3237"/>
      <c r="H306" s="3237"/>
      <c r="I306" s="3237"/>
      <c r="J306" s="3237"/>
      <c r="K306" s="3237"/>
      <c r="L306" s="3237"/>
      <c r="M306" s="3237"/>
      <c r="N306" s="3237"/>
      <c r="O306" s="3237"/>
      <c r="P306" s="3237"/>
      <c r="Q306" s="3237"/>
      <c r="R306" s="3237"/>
      <c r="S306" s="3237"/>
      <c r="T306" s="3237"/>
      <c r="U306" s="3237"/>
      <c r="V306" s="3237"/>
      <c r="W306" s="3237"/>
      <c r="X306" s="3237"/>
      <c r="Y306" s="3237"/>
      <c r="Z306" s="3238"/>
      <c r="AA306" s="502"/>
      <c r="AB306" s="504"/>
      <c r="AC306" s="497"/>
      <c r="AD306" s="497"/>
      <c r="AE306" s="497"/>
      <c r="AF306" s="497"/>
      <c r="AG306" s="48"/>
      <c r="AJ306" s="48"/>
      <c r="AK306" s="48"/>
    </row>
    <row r="307" spans="2:50" ht="24.75" customHeight="1" thickBot="1" x14ac:dyDescent="0.2">
      <c r="B307" s="3239" t="s">
        <v>173</v>
      </c>
      <c r="C307" s="3240"/>
      <c r="D307" s="3241">
        <f>$D$6</f>
        <v>0</v>
      </c>
      <c r="E307" s="3241"/>
      <c r="F307" s="513" t="s">
        <v>60</v>
      </c>
      <c r="G307" s="3241">
        <f>$G$6</f>
        <v>0</v>
      </c>
      <c r="H307" s="3241"/>
      <c r="I307" s="514" t="s">
        <v>61</v>
      </c>
      <c r="J307" s="3241">
        <f>$J$6</f>
        <v>0</v>
      </c>
      <c r="K307" s="3241"/>
      <c r="L307" s="514" t="s">
        <v>62</v>
      </c>
      <c r="M307" s="515" t="s">
        <v>96</v>
      </c>
      <c r="N307" s="514" t="str">
        <f>$N$6</f>
        <v/>
      </c>
      <c r="O307" s="514" t="s">
        <v>104</v>
      </c>
      <c r="P307" s="3242" t="s">
        <v>110</v>
      </c>
      <c r="Q307" s="3242"/>
      <c r="R307" s="3243" t="str">
        <f>$R$6</f>
        <v/>
      </c>
      <c r="S307" s="3243"/>
      <c r="T307" s="514" t="s">
        <v>61</v>
      </c>
      <c r="U307" s="3244" t="str">
        <f>$U$6</f>
        <v/>
      </c>
      <c r="V307" s="3244"/>
      <c r="W307" s="514" t="s">
        <v>62</v>
      </c>
      <c r="X307" s="515" t="s">
        <v>96</v>
      </c>
      <c r="Y307" s="516" t="str">
        <f>$Y$6</f>
        <v/>
      </c>
      <c r="Z307" s="517" t="s">
        <v>104</v>
      </c>
      <c r="AA307" s="507"/>
      <c r="AB307" s="48"/>
      <c r="AF307" s="48"/>
      <c r="AG307" s="48"/>
      <c r="AJ307" s="48"/>
      <c r="AK307" s="48"/>
    </row>
    <row r="308" spans="2:50" ht="13.5" customHeight="1" thickBot="1" x14ac:dyDescent="0.2">
      <c r="B308" s="508"/>
      <c r="C308" s="508"/>
      <c r="D308" s="509"/>
      <c r="E308" s="509"/>
      <c r="F308" s="509"/>
      <c r="G308" s="509"/>
      <c r="H308" s="509"/>
      <c r="I308" s="509"/>
      <c r="J308" s="509"/>
      <c r="K308" s="509"/>
      <c r="L308" s="509"/>
      <c r="M308" s="509"/>
      <c r="N308" s="509"/>
      <c r="O308" s="509"/>
      <c r="P308" s="509"/>
      <c r="Q308" s="509"/>
      <c r="R308" s="509"/>
      <c r="S308" s="509"/>
      <c r="T308" s="509"/>
      <c r="U308" s="509"/>
      <c r="V308" s="509"/>
      <c r="W308" s="509"/>
      <c r="X308" s="510"/>
      <c r="Y308" s="510"/>
      <c r="Z308" s="510"/>
      <c r="AA308" s="511"/>
      <c r="AB308" s="48"/>
      <c r="AF308" s="48"/>
      <c r="AG308" s="48"/>
      <c r="AJ308" s="48"/>
      <c r="AK308" s="48"/>
    </row>
    <row r="309" spans="2:50" ht="15" customHeight="1" x14ac:dyDescent="0.15">
      <c r="B309" s="3200" t="s">
        <v>287</v>
      </c>
      <c r="C309" s="3203" t="s">
        <v>167</v>
      </c>
      <c r="D309" s="1959"/>
      <c r="E309" s="1962" t="s">
        <v>341</v>
      </c>
      <c r="F309" s="2097" t="s">
        <v>166</v>
      </c>
      <c r="G309" s="2098"/>
      <c r="H309" s="3245" t="s">
        <v>165</v>
      </c>
      <c r="I309" s="3246"/>
      <c r="J309" s="3246"/>
      <c r="K309" s="3247"/>
      <c r="L309" s="3245" t="s">
        <v>164</v>
      </c>
      <c r="M309" s="3246"/>
      <c r="N309" s="3246"/>
      <c r="O309" s="3246"/>
      <c r="P309" s="3247"/>
      <c r="Q309" s="3245" t="s">
        <v>163</v>
      </c>
      <c r="R309" s="3246"/>
      <c r="S309" s="3246"/>
      <c r="T309" s="3246"/>
      <c r="U309" s="3247"/>
      <c r="V309" s="3245" t="s">
        <v>249</v>
      </c>
      <c r="W309" s="3246"/>
      <c r="X309" s="3246"/>
      <c r="Y309" s="3246"/>
      <c r="Z309" s="3247"/>
      <c r="AA309" s="3245" t="s">
        <v>250</v>
      </c>
      <c r="AB309" s="3246"/>
      <c r="AC309" s="3246"/>
      <c r="AD309" s="3246"/>
      <c r="AE309" s="3247"/>
      <c r="AF309" s="3245" t="s">
        <v>251</v>
      </c>
      <c r="AG309" s="3246"/>
      <c r="AH309" s="3246"/>
      <c r="AI309" s="3246"/>
      <c r="AJ309" s="3248" t="s">
        <v>438</v>
      </c>
      <c r="AK309" s="3249"/>
      <c r="AL309" s="3249"/>
      <c r="AM309" s="3249"/>
      <c r="AN309" s="3249"/>
      <c r="AO309" s="3250"/>
      <c r="AP309" s="3248" t="s">
        <v>162</v>
      </c>
      <c r="AQ309" s="3249"/>
      <c r="AR309" s="3249"/>
      <c r="AS309" s="3249"/>
      <c r="AT309" s="3250"/>
      <c r="AU309" s="117"/>
      <c r="AW309" s="501"/>
      <c r="AX309" s="501"/>
    </row>
    <row r="310" spans="2:50" ht="26.25" customHeight="1" x14ac:dyDescent="0.15">
      <c r="B310" s="3201"/>
      <c r="C310" s="3204"/>
      <c r="D310" s="1960"/>
      <c r="E310" s="1963"/>
      <c r="F310" s="2099"/>
      <c r="G310" s="1972"/>
      <c r="H310" s="3251" t="str">
        <f>$H$9</f>
        <v/>
      </c>
      <c r="I310" s="3252"/>
      <c r="J310" s="3252"/>
      <c r="K310" s="3253"/>
      <c r="L310" s="3254" t="str">
        <f>$L$9</f>
        <v/>
      </c>
      <c r="M310" s="3255"/>
      <c r="N310" s="3255"/>
      <c r="O310" s="3255"/>
      <c r="P310" s="3256"/>
      <c r="Q310" s="3254" t="str">
        <f>$Q$9</f>
        <v/>
      </c>
      <c r="R310" s="3255"/>
      <c r="S310" s="3255"/>
      <c r="T310" s="3255"/>
      <c r="U310" s="3256"/>
      <c r="V310" s="3254" t="str">
        <f>$V$9</f>
        <v/>
      </c>
      <c r="W310" s="3255"/>
      <c r="X310" s="3255"/>
      <c r="Y310" s="3255"/>
      <c r="Z310" s="3256"/>
      <c r="AA310" s="3254" t="str">
        <f>$AA$9</f>
        <v/>
      </c>
      <c r="AB310" s="3255"/>
      <c r="AC310" s="3255"/>
      <c r="AD310" s="3255"/>
      <c r="AE310" s="3256"/>
      <c r="AF310" s="3254" t="str">
        <f>$AF$9</f>
        <v/>
      </c>
      <c r="AG310" s="3255"/>
      <c r="AH310" s="3255"/>
      <c r="AI310" s="3255"/>
      <c r="AJ310" s="3257" t="s">
        <v>441</v>
      </c>
      <c r="AK310" s="3258"/>
      <c r="AL310" s="3258"/>
      <c r="AM310" s="3258"/>
      <c r="AN310" s="3258"/>
      <c r="AO310" s="3259"/>
      <c r="AP310" s="3263" t="s">
        <v>442</v>
      </c>
      <c r="AQ310" s="3264"/>
      <c r="AR310" s="3264"/>
      <c r="AS310" s="3264"/>
      <c r="AT310" s="3265"/>
      <c r="AU310" s="116"/>
    </row>
    <row r="311" spans="2:50" ht="16.5" customHeight="1" x14ac:dyDescent="0.15">
      <c r="B311" s="3201"/>
      <c r="C311" s="3204"/>
      <c r="D311" s="1960"/>
      <c r="E311" s="1963"/>
      <c r="F311" s="3266" t="s">
        <v>78</v>
      </c>
      <c r="G311" s="3206" t="s">
        <v>79</v>
      </c>
      <c r="H311" s="1974" t="s">
        <v>176</v>
      </c>
      <c r="I311" s="3208"/>
      <c r="J311" s="3210" t="s">
        <v>161</v>
      </c>
      <c r="K311" s="3211"/>
      <c r="L311" s="1974" t="s">
        <v>176</v>
      </c>
      <c r="M311" s="3208"/>
      <c r="N311" s="3210" t="s">
        <v>160</v>
      </c>
      <c r="O311" s="3213"/>
      <c r="P311" s="3211"/>
      <c r="Q311" s="1974" t="s">
        <v>176</v>
      </c>
      <c r="R311" s="3208"/>
      <c r="S311" s="3210" t="s">
        <v>160</v>
      </c>
      <c r="T311" s="3213"/>
      <c r="U311" s="3211"/>
      <c r="V311" s="1974" t="s">
        <v>176</v>
      </c>
      <c r="W311" s="3208"/>
      <c r="X311" s="3210" t="s">
        <v>160</v>
      </c>
      <c r="Y311" s="3213"/>
      <c r="Z311" s="3211"/>
      <c r="AA311" s="1974" t="s">
        <v>176</v>
      </c>
      <c r="AB311" s="3208"/>
      <c r="AC311" s="3210" t="s">
        <v>160</v>
      </c>
      <c r="AD311" s="3213"/>
      <c r="AE311" s="3211"/>
      <c r="AF311" s="1974" t="s">
        <v>176</v>
      </c>
      <c r="AG311" s="3208"/>
      <c r="AH311" s="3210" t="s">
        <v>160</v>
      </c>
      <c r="AI311" s="3213"/>
      <c r="AJ311" s="3257"/>
      <c r="AK311" s="3258"/>
      <c r="AL311" s="3258"/>
      <c r="AM311" s="3258"/>
      <c r="AN311" s="3258"/>
      <c r="AO311" s="3259"/>
      <c r="AP311" s="3257"/>
      <c r="AQ311" s="3258"/>
      <c r="AR311" s="3258"/>
      <c r="AS311" s="3258"/>
      <c r="AT311" s="3259"/>
      <c r="AU311" s="115"/>
    </row>
    <row r="312" spans="2:50" ht="19.5" customHeight="1" thickBot="1" x14ac:dyDescent="0.2">
      <c r="B312" s="3202"/>
      <c r="C312" s="3205"/>
      <c r="D312" s="1961"/>
      <c r="E312" s="1964"/>
      <c r="F312" s="3267"/>
      <c r="G312" s="3207"/>
      <c r="H312" s="1978"/>
      <c r="I312" s="3209"/>
      <c r="J312" s="523" t="s">
        <v>153</v>
      </c>
      <c r="K312" s="522" t="s">
        <v>280</v>
      </c>
      <c r="L312" s="1978"/>
      <c r="M312" s="3212"/>
      <c r="N312" s="523" t="s">
        <v>154</v>
      </c>
      <c r="O312" s="523" t="s">
        <v>153</v>
      </c>
      <c r="P312" s="522" t="s">
        <v>280</v>
      </c>
      <c r="Q312" s="1978"/>
      <c r="R312" s="3209"/>
      <c r="S312" s="523" t="s">
        <v>154</v>
      </c>
      <c r="T312" s="523" t="s">
        <v>153</v>
      </c>
      <c r="U312" s="522" t="s">
        <v>280</v>
      </c>
      <c r="V312" s="1978"/>
      <c r="W312" s="3209"/>
      <c r="X312" s="523" t="s">
        <v>154</v>
      </c>
      <c r="Y312" s="523" t="s">
        <v>153</v>
      </c>
      <c r="Z312" s="522" t="s">
        <v>280</v>
      </c>
      <c r="AA312" s="1978"/>
      <c r="AB312" s="3209"/>
      <c r="AC312" s="523" t="s">
        <v>154</v>
      </c>
      <c r="AD312" s="523" t="s">
        <v>153</v>
      </c>
      <c r="AE312" s="522" t="s">
        <v>280</v>
      </c>
      <c r="AF312" s="1978"/>
      <c r="AG312" s="3209"/>
      <c r="AH312" s="523" t="s">
        <v>154</v>
      </c>
      <c r="AI312" s="523" t="s">
        <v>153</v>
      </c>
      <c r="AJ312" s="3260"/>
      <c r="AK312" s="3261"/>
      <c r="AL312" s="3261"/>
      <c r="AM312" s="3261"/>
      <c r="AN312" s="3261"/>
      <c r="AO312" s="3262"/>
      <c r="AP312" s="3260"/>
      <c r="AQ312" s="3261"/>
      <c r="AR312" s="3261"/>
      <c r="AS312" s="3261"/>
      <c r="AT312" s="3262"/>
      <c r="AU312" s="114"/>
    </row>
    <row r="313" spans="2:50" ht="15" customHeight="1" x14ac:dyDescent="0.15">
      <c r="B313" s="3214" t="s">
        <v>159</v>
      </c>
      <c r="C313" s="3216" t="s">
        <v>158</v>
      </c>
      <c r="D313" s="3217"/>
      <c r="E313" s="3220" t="s">
        <v>157</v>
      </c>
      <c r="F313" s="3222" t="s">
        <v>98</v>
      </c>
      <c r="G313" s="3224"/>
      <c r="H313" s="3190" t="s">
        <v>155</v>
      </c>
      <c r="I313" s="3191"/>
      <c r="J313" s="3194" t="s">
        <v>98</v>
      </c>
      <c r="K313" s="3188" t="s">
        <v>98</v>
      </c>
      <c r="L313" s="3190" t="s">
        <v>155</v>
      </c>
      <c r="M313" s="3226"/>
      <c r="N313" s="3194" t="s">
        <v>98</v>
      </c>
      <c r="O313" s="3194" t="s">
        <v>98</v>
      </c>
      <c r="P313" s="3188" t="s">
        <v>98</v>
      </c>
      <c r="Q313" s="2087" t="s">
        <v>414</v>
      </c>
      <c r="R313" s="3196"/>
      <c r="S313" s="3194" t="s">
        <v>98</v>
      </c>
      <c r="T313" s="3198"/>
      <c r="U313" s="3228"/>
      <c r="V313" s="3190"/>
      <c r="W313" s="3191"/>
      <c r="X313" s="3194"/>
      <c r="Y313" s="3194"/>
      <c r="Z313" s="3188"/>
      <c r="AA313" s="3190"/>
      <c r="AB313" s="3191"/>
      <c r="AC313" s="3194"/>
      <c r="AD313" s="3194"/>
      <c r="AE313" s="3188"/>
      <c r="AF313" s="2087"/>
      <c r="AG313" s="3196"/>
      <c r="AH313" s="3194"/>
      <c r="AI313" s="3198"/>
      <c r="AJ313" s="2032" t="s">
        <v>433</v>
      </c>
      <c r="AK313" s="2033"/>
      <c r="AL313" s="2033"/>
      <c r="AM313" s="2033"/>
      <c r="AN313" s="2033"/>
      <c r="AO313" s="2034"/>
      <c r="AP313" s="2026" t="s">
        <v>342</v>
      </c>
      <c r="AQ313" s="2027"/>
      <c r="AR313" s="2027"/>
      <c r="AS313" s="2027"/>
      <c r="AT313" s="2028"/>
      <c r="AU313" s="113"/>
    </row>
    <row r="314" spans="2:50" ht="15" customHeight="1" x14ac:dyDescent="0.15">
      <c r="B314" s="3215"/>
      <c r="C314" s="3218"/>
      <c r="D314" s="3219"/>
      <c r="E314" s="3221"/>
      <c r="F314" s="3223"/>
      <c r="G314" s="3225"/>
      <c r="H314" s="3192"/>
      <c r="I314" s="3193"/>
      <c r="J314" s="3195"/>
      <c r="K314" s="3189"/>
      <c r="L314" s="3192"/>
      <c r="M314" s="3227"/>
      <c r="N314" s="3195"/>
      <c r="O314" s="3195"/>
      <c r="P314" s="3189"/>
      <c r="Q314" s="2089"/>
      <c r="R314" s="3197"/>
      <c r="S314" s="3195"/>
      <c r="T314" s="3199"/>
      <c r="U314" s="3229"/>
      <c r="V314" s="3192"/>
      <c r="W314" s="3193"/>
      <c r="X314" s="3195"/>
      <c r="Y314" s="3195"/>
      <c r="Z314" s="3189"/>
      <c r="AA314" s="3192"/>
      <c r="AB314" s="3193"/>
      <c r="AC314" s="3195"/>
      <c r="AD314" s="3195"/>
      <c r="AE314" s="3189"/>
      <c r="AF314" s="2089"/>
      <c r="AG314" s="3197"/>
      <c r="AH314" s="3195"/>
      <c r="AI314" s="3199"/>
      <c r="AJ314" s="2035" t="s">
        <v>434</v>
      </c>
      <c r="AK314" s="2036"/>
      <c r="AL314" s="2036"/>
      <c r="AM314" s="2036"/>
      <c r="AN314" s="2036"/>
      <c r="AO314" s="2037"/>
      <c r="AP314" s="2029"/>
      <c r="AQ314" s="2030"/>
      <c r="AR314" s="2030"/>
      <c r="AS314" s="2030"/>
      <c r="AT314" s="2031"/>
      <c r="AU314" s="113"/>
    </row>
    <row r="315" spans="2:50" ht="15" customHeight="1" x14ac:dyDescent="0.15">
      <c r="B315" s="3149">
        <v>106</v>
      </c>
      <c r="C315" s="3151">
        <f>名簿入力!D225</f>
        <v>0</v>
      </c>
      <c r="D315" s="3152"/>
      <c r="E315" s="3155">
        <f>名簿入力!E225</f>
        <v>0</v>
      </c>
      <c r="F315" s="3157">
        <f>名簿入力!G225</f>
        <v>0</v>
      </c>
      <c r="G315" s="3159">
        <f>名簿入力!H225</f>
        <v>0</v>
      </c>
      <c r="H315" s="3161">
        <f>名簿入力!I225</f>
        <v>0</v>
      </c>
      <c r="I315" s="3162"/>
      <c r="J315" s="3165">
        <f>名簿入力!K225</f>
        <v>0</v>
      </c>
      <c r="K315" s="3167">
        <f>名簿入力!L225</f>
        <v>0</v>
      </c>
      <c r="L315" s="3161">
        <f>名簿入力!M225</f>
        <v>0</v>
      </c>
      <c r="M315" s="3169"/>
      <c r="N315" s="3165">
        <f>名簿入力!O225</f>
        <v>0</v>
      </c>
      <c r="O315" s="3165">
        <f>名簿入力!P225</f>
        <v>0</v>
      </c>
      <c r="P315" s="3167">
        <f>名簿入力!Q225</f>
        <v>0</v>
      </c>
      <c r="Q315" s="3161">
        <f>名簿入力!R225</f>
        <v>0</v>
      </c>
      <c r="R315" s="3162"/>
      <c r="S315" s="3165">
        <f>名簿入力!T225</f>
        <v>0</v>
      </c>
      <c r="T315" s="3165">
        <f>名簿入力!U225</f>
        <v>0</v>
      </c>
      <c r="U315" s="3167">
        <f>名簿入力!V225</f>
        <v>0</v>
      </c>
      <c r="V315" s="3161">
        <f>名簿入力!W225</f>
        <v>0</v>
      </c>
      <c r="W315" s="3162"/>
      <c r="X315" s="3165">
        <f>名簿入力!Y225</f>
        <v>0</v>
      </c>
      <c r="Y315" s="3165">
        <f>名簿入力!Z225</f>
        <v>0</v>
      </c>
      <c r="Z315" s="3167">
        <f>名簿入力!AA225</f>
        <v>0</v>
      </c>
      <c r="AA315" s="3161">
        <f>名簿入力!AB225</f>
        <v>0</v>
      </c>
      <c r="AB315" s="3162"/>
      <c r="AC315" s="3165">
        <f>名簿入力!AD225</f>
        <v>0</v>
      </c>
      <c r="AD315" s="3165">
        <f>名簿入力!AE225</f>
        <v>0</v>
      </c>
      <c r="AE315" s="3167">
        <f>名簿入力!AF225</f>
        <v>0</v>
      </c>
      <c r="AF315" s="3161">
        <f>名簿入力!AG225</f>
        <v>0</v>
      </c>
      <c r="AG315" s="3162"/>
      <c r="AH315" s="3165">
        <f>名簿入力!AI225</f>
        <v>0</v>
      </c>
      <c r="AI315" s="3165">
        <f>名簿入力!AJ225</f>
        <v>0</v>
      </c>
      <c r="AJ315" s="3175">
        <f>名簿入力!AK225</f>
        <v>0</v>
      </c>
      <c r="AK315" s="3176"/>
      <c r="AL315" s="3176"/>
      <c r="AM315" s="3176"/>
      <c r="AN315" s="3176"/>
      <c r="AO315" s="3177"/>
      <c r="AP315" s="3137">
        <f>名簿入力!AO225</f>
        <v>0</v>
      </c>
      <c r="AQ315" s="3138"/>
      <c r="AR315" s="3138"/>
      <c r="AS315" s="3138"/>
      <c r="AT315" s="3139"/>
      <c r="AU315" s="113"/>
    </row>
    <row r="316" spans="2:50" ht="15" customHeight="1" x14ac:dyDescent="0.15">
      <c r="B316" s="3181"/>
      <c r="C316" s="3182"/>
      <c r="D316" s="3183"/>
      <c r="E316" s="3184"/>
      <c r="F316" s="3185"/>
      <c r="G316" s="3186"/>
      <c r="H316" s="3173"/>
      <c r="I316" s="3174"/>
      <c r="J316" s="3171"/>
      <c r="K316" s="3172"/>
      <c r="L316" s="3173"/>
      <c r="M316" s="3187"/>
      <c r="N316" s="3171"/>
      <c r="O316" s="3171"/>
      <c r="P316" s="3172"/>
      <c r="Q316" s="3173"/>
      <c r="R316" s="3174"/>
      <c r="S316" s="3171"/>
      <c r="T316" s="3171"/>
      <c r="U316" s="3172"/>
      <c r="V316" s="3173"/>
      <c r="W316" s="3174"/>
      <c r="X316" s="3171"/>
      <c r="Y316" s="3171"/>
      <c r="Z316" s="3172"/>
      <c r="AA316" s="3173"/>
      <c r="AB316" s="3174"/>
      <c r="AC316" s="3171"/>
      <c r="AD316" s="3171"/>
      <c r="AE316" s="3172"/>
      <c r="AF316" s="3173"/>
      <c r="AG316" s="3174"/>
      <c r="AH316" s="3171"/>
      <c r="AI316" s="3171"/>
      <c r="AJ316" s="3146">
        <f>名簿入力!AK226</f>
        <v>0</v>
      </c>
      <c r="AK316" s="3147"/>
      <c r="AL316" s="3147"/>
      <c r="AM316" s="3147"/>
      <c r="AN316" s="3147"/>
      <c r="AO316" s="3148"/>
      <c r="AP316" s="3178"/>
      <c r="AQ316" s="3179"/>
      <c r="AR316" s="3179"/>
      <c r="AS316" s="3179"/>
      <c r="AT316" s="3180"/>
      <c r="AU316" s="113"/>
    </row>
    <row r="317" spans="2:50" ht="15" customHeight="1" x14ac:dyDescent="0.15">
      <c r="B317" s="3149">
        <v>107</v>
      </c>
      <c r="C317" s="3151">
        <f>名簿入力!D227</f>
        <v>0</v>
      </c>
      <c r="D317" s="3152"/>
      <c r="E317" s="3155">
        <f>名簿入力!E227</f>
        <v>0</v>
      </c>
      <c r="F317" s="3157">
        <f>名簿入力!G227</f>
        <v>0</v>
      </c>
      <c r="G317" s="3159">
        <f>名簿入力!H227</f>
        <v>0</v>
      </c>
      <c r="H317" s="3161">
        <f>名簿入力!I227</f>
        <v>0</v>
      </c>
      <c r="I317" s="3162"/>
      <c r="J317" s="3165">
        <f>名簿入力!K227</f>
        <v>0</v>
      </c>
      <c r="K317" s="3167">
        <f>名簿入力!L227</f>
        <v>0</v>
      </c>
      <c r="L317" s="3161">
        <f>名簿入力!M227</f>
        <v>0</v>
      </c>
      <c r="M317" s="3169"/>
      <c r="N317" s="3165">
        <f>名簿入力!O227</f>
        <v>0</v>
      </c>
      <c r="O317" s="3165">
        <f>名簿入力!P227</f>
        <v>0</v>
      </c>
      <c r="P317" s="3167">
        <f>名簿入力!Q227</f>
        <v>0</v>
      </c>
      <c r="Q317" s="3161">
        <f>名簿入力!R227</f>
        <v>0</v>
      </c>
      <c r="R317" s="3162"/>
      <c r="S317" s="3165">
        <f>名簿入力!T227</f>
        <v>0</v>
      </c>
      <c r="T317" s="3165">
        <f>名簿入力!U227</f>
        <v>0</v>
      </c>
      <c r="U317" s="3167">
        <f>名簿入力!V227</f>
        <v>0</v>
      </c>
      <c r="V317" s="3161">
        <f>名簿入力!W227</f>
        <v>0</v>
      </c>
      <c r="W317" s="3162"/>
      <c r="X317" s="3165">
        <f>名簿入力!Y227</f>
        <v>0</v>
      </c>
      <c r="Y317" s="3165">
        <f>名簿入力!Z227</f>
        <v>0</v>
      </c>
      <c r="Z317" s="3167">
        <f>名簿入力!AA227</f>
        <v>0</v>
      </c>
      <c r="AA317" s="3161">
        <f>名簿入力!AB227</f>
        <v>0</v>
      </c>
      <c r="AB317" s="3162"/>
      <c r="AC317" s="3165">
        <f>名簿入力!AD227</f>
        <v>0</v>
      </c>
      <c r="AD317" s="3165">
        <f>名簿入力!AE227</f>
        <v>0</v>
      </c>
      <c r="AE317" s="3167">
        <f>名簿入力!AF227</f>
        <v>0</v>
      </c>
      <c r="AF317" s="3161">
        <f>名簿入力!AG227</f>
        <v>0</v>
      </c>
      <c r="AG317" s="3162"/>
      <c r="AH317" s="3165">
        <f>名簿入力!AI227</f>
        <v>0</v>
      </c>
      <c r="AI317" s="3165">
        <f>名簿入力!AJ227</f>
        <v>0</v>
      </c>
      <c r="AJ317" s="3175">
        <f>名簿入力!AK227</f>
        <v>0</v>
      </c>
      <c r="AK317" s="3176"/>
      <c r="AL317" s="3176"/>
      <c r="AM317" s="3176"/>
      <c r="AN317" s="3176"/>
      <c r="AO317" s="3177"/>
      <c r="AP317" s="3137">
        <f>名簿入力!AO227</f>
        <v>0</v>
      </c>
      <c r="AQ317" s="3138"/>
      <c r="AR317" s="3138"/>
      <c r="AS317" s="3138"/>
      <c r="AT317" s="3139"/>
      <c r="AU317" s="113"/>
    </row>
    <row r="318" spans="2:50" ht="15" customHeight="1" x14ac:dyDescent="0.15">
      <c r="B318" s="3181"/>
      <c r="C318" s="3182"/>
      <c r="D318" s="3183"/>
      <c r="E318" s="3184"/>
      <c r="F318" s="3185"/>
      <c r="G318" s="3186"/>
      <c r="H318" s="3173"/>
      <c r="I318" s="3174"/>
      <c r="J318" s="3171"/>
      <c r="K318" s="3172"/>
      <c r="L318" s="3173"/>
      <c r="M318" s="3187"/>
      <c r="N318" s="3171"/>
      <c r="O318" s="3171"/>
      <c r="P318" s="3172"/>
      <c r="Q318" s="3173"/>
      <c r="R318" s="3174"/>
      <c r="S318" s="3171"/>
      <c r="T318" s="3171"/>
      <c r="U318" s="3172"/>
      <c r="V318" s="3173"/>
      <c r="W318" s="3174"/>
      <c r="X318" s="3171"/>
      <c r="Y318" s="3171"/>
      <c r="Z318" s="3172"/>
      <c r="AA318" s="3173"/>
      <c r="AB318" s="3174"/>
      <c r="AC318" s="3171"/>
      <c r="AD318" s="3171"/>
      <c r="AE318" s="3172"/>
      <c r="AF318" s="3173"/>
      <c r="AG318" s="3174"/>
      <c r="AH318" s="3171"/>
      <c r="AI318" s="3171"/>
      <c r="AJ318" s="3146">
        <f>名簿入力!AK228</f>
        <v>0</v>
      </c>
      <c r="AK318" s="3147"/>
      <c r="AL318" s="3147"/>
      <c r="AM318" s="3147"/>
      <c r="AN318" s="3147"/>
      <c r="AO318" s="3148"/>
      <c r="AP318" s="3178"/>
      <c r="AQ318" s="3179"/>
      <c r="AR318" s="3179"/>
      <c r="AS318" s="3179"/>
      <c r="AT318" s="3180"/>
      <c r="AU318" s="113"/>
    </row>
    <row r="319" spans="2:50" ht="15" customHeight="1" x14ac:dyDescent="0.15">
      <c r="B319" s="3149">
        <v>108</v>
      </c>
      <c r="C319" s="3151">
        <f>名簿入力!D229</f>
        <v>0</v>
      </c>
      <c r="D319" s="3152"/>
      <c r="E319" s="3155">
        <f>名簿入力!E229</f>
        <v>0</v>
      </c>
      <c r="F319" s="3157">
        <f>名簿入力!G229</f>
        <v>0</v>
      </c>
      <c r="G319" s="3159">
        <f>名簿入力!H229</f>
        <v>0</v>
      </c>
      <c r="H319" s="3161">
        <f>名簿入力!I229</f>
        <v>0</v>
      </c>
      <c r="I319" s="3162"/>
      <c r="J319" s="3165">
        <f>名簿入力!K229</f>
        <v>0</v>
      </c>
      <c r="K319" s="3167">
        <f>名簿入力!L229</f>
        <v>0</v>
      </c>
      <c r="L319" s="3161">
        <f>名簿入力!M229</f>
        <v>0</v>
      </c>
      <c r="M319" s="3169"/>
      <c r="N319" s="3165">
        <f>名簿入力!O229</f>
        <v>0</v>
      </c>
      <c r="O319" s="3165">
        <f>名簿入力!P229</f>
        <v>0</v>
      </c>
      <c r="P319" s="3167">
        <f>名簿入力!Q229</f>
        <v>0</v>
      </c>
      <c r="Q319" s="3161">
        <f>名簿入力!R229</f>
        <v>0</v>
      </c>
      <c r="R319" s="3162"/>
      <c r="S319" s="3165">
        <f>名簿入力!T229</f>
        <v>0</v>
      </c>
      <c r="T319" s="3165">
        <f>名簿入力!U229</f>
        <v>0</v>
      </c>
      <c r="U319" s="3167">
        <f>名簿入力!V229</f>
        <v>0</v>
      </c>
      <c r="V319" s="3161">
        <f>名簿入力!W229</f>
        <v>0</v>
      </c>
      <c r="W319" s="3162"/>
      <c r="X319" s="3165">
        <f>名簿入力!Y229</f>
        <v>0</v>
      </c>
      <c r="Y319" s="3165">
        <f>名簿入力!Z229</f>
        <v>0</v>
      </c>
      <c r="Z319" s="3167">
        <f>名簿入力!AA229</f>
        <v>0</v>
      </c>
      <c r="AA319" s="3161">
        <f>名簿入力!AB229</f>
        <v>0</v>
      </c>
      <c r="AB319" s="3162"/>
      <c r="AC319" s="3165">
        <f>名簿入力!AD229</f>
        <v>0</v>
      </c>
      <c r="AD319" s="3165">
        <f>名簿入力!AE229</f>
        <v>0</v>
      </c>
      <c r="AE319" s="3167">
        <f>名簿入力!AF229</f>
        <v>0</v>
      </c>
      <c r="AF319" s="3161">
        <f>名簿入力!AG229</f>
        <v>0</v>
      </c>
      <c r="AG319" s="3162"/>
      <c r="AH319" s="3165">
        <f>名簿入力!AI229</f>
        <v>0</v>
      </c>
      <c r="AI319" s="3165">
        <f>名簿入力!AJ229</f>
        <v>0</v>
      </c>
      <c r="AJ319" s="3175">
        <f>名簿入力!AK229</f>
        <v>0</v>
      </c>
      <c r="AK319" s="3176"/>
      <c r="AL319" s="3176"/>
      <c r="AM319" s="3176"/>
      <c r="AN319" s="3176"/>
      <c r="AO319" s="3177"/>
      <c r="AP319" s="3137">
        <f>名簿入力!AO229</f>
        <v>0</v>
      </c>
      <c r="AQ319" s="3138"/>
      <c r="AR319" s="3138"/>
      <c r="AS319" s="3138"/>
      <c r="AT319" s="3139"/>
      <c r="AU319" s="113"/>
    </row>
    <row r="320" spans="2:50" ht="15" customHeight="1" x14ac:dyDescent="0.15">
      <c r="B320" s="3181"/>
      <c r="C320" s="3182"/>
      <c r="D320" s="3183"/>
      <c r="E320" s="3184"/>
      <c r="F320" s="3185"/>
      <c r="G320" s="3186"/>
      <c r="H320" s="3173"/>
      <c r="I320" s="3174"/>
      <c r="J320" s="3171"/>
      <c r="K320" s="3172"/>
      <c r="L320" s="3173"/>
      <c r="M320" s="3187"/>
      <c r="N320" s="3171"/>
      <c r="O320" s="3171"/>
      <c r="P320" s="3172"/>
      <c r="Q320" s="3173"/>
      <c r="R320" s="3174"/>
      <c r="S320" s="3171"/>
      <c r="T320" s="3171"/>
      <c r="U320" s="3172"/>
      <c r="V320" s="3173"/>
      <c r="W320" s="3174"/>
      <c r="X320" s="3171"/>
      <c r="Y320" s="3171"/>
      <c r="Z320" s="3172"/>
      <c r="AA320" s="3173"/>
      <c r="AB320" s="3174"/>
      <c r="AC320" s="3171"/>
      <c r="AD320" s="3171"/>
      <c r="AE320" s="3172"/>
      <c r="AF320" s="3173"/>
      <c r="AG320" s="3174"/>
      <c r="AH320" s="3171"/>
      <c r="AI320" s="3171"/>
      <c r="AJ320" s="3146">
        <f>名簿入力!AK230</f>
        <v>0</v>
      </c>
      <c r="AK320" s="3147"/>
      <c r="AL320" s="3147"/>
      <c r="AM320" s="3147"/>
      <c r="AN320" s="3147"/>
      <c r="AO320" s="3148"/>
      <c r="AP320" s="3178"/>
      <c r="AQ320" s="3179"/>
      <c r="AR320" s="3179"/>
      <c r="AS320" s="3179"/>
      <c r="AT320" s="3180"/>
      <c r="AU320" s="113"/>
    </row>
    <row r="321" spans="2:47" ht="15" customHeight="1" x14ac:dyDescent="0.15">
      <c r="B321" s="3149">
        <v>109</v>
      </c>
      <c r="C321" s="3151">
        <f>名簿入力!D231</f>
        <v>0</v>
      </c>
      <c r="D321" s="3152"/>
      <c r="E321" s="3155">
        <f>名簿入力!E231</f>
        <v>0</v>
      </c>
      <c r="F321" s="3157">
        <f>名簿入力!G231</f>
        <v>0</v>
      </c>
      <c r="G321" s="3159">
        <f>名簿入力!H231</f>
        <v>0</v>
      </c>
      <c r="H321" s="3161">
        <f>名簿入力!I231</f>
        <v>0</v>
      </c>
      <c r="I321" s="3162"/>
      <c r="J321" s="3165">
        <f>名簿入力!K231</f>
        <v>0</v>
      </c>
      <c r="K321" s="3167">
        <f>名簿入力!L231</f>
        <v>0</v>
      </c>
      <c r="L321" s="3161">
        <f>名簿入力!M231</f>
        <v>0</v>
      </c>
      <c r="M321" s="3169"/>
      <c r="N321" s="3165">
        <f>名簿入力!O231</f>
        <v>0</v>
      </c>
      <c r="O321" s="3165">
        <f>名簿入力!P231</f>
        <v>0</v>
      </c>
      <c r="P321" s="3167">
        <f>名簿入力!Q231</f>
        <v>0</v>
      </c>
      <c r="Q321" s="3161">
        <f>名簿入力!R231</f>
        <v>0</v>
      </c>
      <c r="R321" s="3162"/>
      <c r="S321" s="3165">
        <f>名簿入力!T231</f>
        <v>0</v>
      </c>
      <c r="T321" s="3165">
        <f>名簿入力!U231</f>
        <v>0</v>
      </c>
      <c r="U321" s="3167">
        <f>名簿入力!V231</f>
        <v>0</v>
      </c>
      <c r="V321" s="3161">
        <f>名簿入力!W231</f>
        <v>0</v>
      </c>
      <c r="W321" s="3162"/>
      <c r="X321" s="3165">
        <f>名簿入力!Y231</f>
        <v>0</v>
      </c>
      <c r="Y321" s="3165">
        <f>名簿入力!Z231</f>
        <v>0</v>
      </c>
      <c r="Z321" s="3167">
        <f>名簿入力!AA231</f>
        <v>0</v>
      </c>
      <c r="AA321" s="3161">
        <f>名簿入力!AB231</f>
        <v>0</v>
      </c>
      <c r="AB321" s="3162"/>
      <c r="AC321" s="3165">
        <f>名簿入力!AD231</f>
        <v>0</v>
      </c>
      <c r="AD321" s="3165">
        <f>名簿入力!AE231</f>
        <v>0</v>
      </c>
      <c r="AE321" s="3167">
        <f>名簿入力!AF231</f>
        <v>0</v>
      </c>
      <c r="AF321" s="3161">
        <f>名簿入力!AG231</f>
        <v>0</v>
      </c>
      <c r="AG321" s="3162"/>
      <c r="AH321" s="3165">
        <f>名簿入力!AI231</f>
        <v>0</v>
      </c>
      <c r="AI321" s="3165">
        <f>名簿入力!AJ231</f>
        <v>0</v>
      </c>
      <c r="AJ321" s="3175">
        <f>名簿入力!AK231</f>
        <v>0</v>
      </c>
      <c r="AK321" s="3176"/>
      <c r="AL321" s="3176"/>
      <c r="AM321" s="3176"/>
      <c r="AN321" s="3176"/>
      <c r="AO321" s="3177"/>
      <c r="AP321" s="3137">
        <f>名簿入力!AO231</f>
        <v>0</v>
      </c>
      <c r="AQ321" s="3138"/>
      <c r="AR321" s="3138"/>
      <c r="AS321" s="3138"/>
      <c r="AT321" s="3139"/>
      <c r="AU321" s="113"/>
    </row>
    <row r="322" spans="2:47" ht="15" customHeight="1" x14ac:dyDescent="0.15">
      <c r="B322" s="3181"/>
      <c r="C322" s="3182"/>
      <c r="D322" s="3183"/>
      <c r="E322" s="3184"/>
      <c r="F322" s="3185"/>
      <c r="G322" s="3186"/>
      <c r="H322" s="3173"/>
      <c r="I322" s="3174"/>
      <c r="J322" s="3171"/>
      <c r="K322" s="3172"/>
      <c r="L322" s="3173"/>
      <c r="M322" s="3187"/>
      <c r="N322" s="3171"/>
      <c r="O322" s="3171"/>
      <c r="P322" s="3172"/>
      <c r="Q322" s="3173"/>
      <c r="R322" s="3174"/>
      <c r="S322" s="3171"/>
      <c r="T322" s="3171"/>
      <c r="U322" s="3172"/>
      <c r="V322" s="3173"/>
      <c r="W322" s="3174"/>
      <c r="X322" s="3171"/>
      <c r="Y322" s="3171"/>
      <c r="Z322" s="3172"/>
      <c r="AA322" s="3173"/>
      <c r="AB322" s="3174"/>
      <c r="AC322" s="3171"/>
      <c r="AD322" s="3171"/>
      <c r="AE322" s="3172"/>
      <c r="AF322" s="3173"/>
      <c r="AG322" s="3174"/>
      <c r="AH322" s="3171"/>
      <c r="AI322" s="3171"/>
      <c r="AJ322" s="3146">
        <f>名簿入力!AK232</f>
        <v>0</v>
      </c>
      <c r="AK322" s="3147"/>
      <c r="AL322" s="3147"/>
      <c r="AM322" s="3147"/>
      <c r="AN322" s="3147"/>
      <c r="AO322" s="3148"/>
      <c r="AP322" s="3178"/>
      <c r="AQ322" s="3179"/>
      <c r="AR322" s="3179"/>
      <c r="AS322" s="3179"/>
      <c r="AT322" s="3180"/>
      <c r="AU322" s="113"/>
    </row>
    <row r="323" spans="2:47" ht="15" customHeight="1" x14ac:dyDescent="0.15">
      <c r="B323" s="3149">
        <v>110</v>
      </c>
      <c r="C323" s="3151">
        <f>名簿入力!D233</f>
        <v>0</v>
      </c>
      <c r="D323" s="3152"/>
      <c r="E323" s="3155">
        <f>名簿入力!E233</f>
        <v>0</v>
      </c>
      <c r="F323" s="3157">
        <f>名簿入力!G233</f>
        <v>0</v>
      </c>
      <c r="G323" s="3159">
        <f>名簿入力!H233</f>
        <v>0</v>
      </c>
      <c r="H323" s="3161">
        <f>名簿入力!I233</f>
        <v>0</v>
      </c>
      <c r="I323" s="3162"/>
      <c r="J323" s="3165">
        <f>名簿入力!K233</f>
        <v>0</v>
      </c>
      <c r="K323" s="3167">
        <f>名簿入力!L233</f>
        <v>0</v>
      </c>
      <c r="L323" s="3161">
        <f>名簿入力!M233</f>
        <v>0</v>
      </c>
      <c r="M323" s="3169"/>
      <c r="N323" s="3165">
        <f>名簿入力!O233</f>
        <v>0</v>
      </c>
      <c r="O323" s="3165">
        <f>名簿入力!P233</f>
        <v>0</v>
      </c>
      <c r="P323" s="3167">
        <f>名簿入力!Q233</f>
        <v>0</v>
      </c>
      <c r="Q323" s="3161">
        <f>名簿入力!R233</f>
        <v>0</v>
      </c>
      <c r="R323" s="3162"/>
      <c r="S323" s="3165">
        <f>名簿入力!T233</f>
        <v>0</v>
      </c>
      <c r="T323" s="3165">
        <f>名簿入力!U233</f>
        <v>0</v>
      </c>
      <c r="U323" s="3167">
        <f>名簿入力!V233</f>
        <v>0</v>
      </c>
      <c r="V323" s="3161">
        <f>名簿入力!W233</f>
        <v>0</v>
      </c>
      <c r="W323" s="3162"/>
      <c r="X323" s="3165">
        <f>名簿入力!Y233</f>
        <v>0</v>
      </c>
      <c r="Y323" s="3165">
        <f>名簿入力!Z233</f>
        <v>0</v>
      </c>
      <c r="Z323" s="3167">
        <f>名簿入力!AA233</f>
        <v>0</v>
      </c>
      <c r="AA323" s="3161">
        <f>名簿入力!AB233</f>
        <v>0</v>
      </c>
      <c r="AB323" s="3162"/>
      <c r="AC323" s="3165">
        <f>名簿入力!AD233</f>
        <v>0</v>
      </c>
      <c r="AD323" s="3165">
        <f>名簿入力!AE233</f>
        <v>0</v>
      </c>
      <c r="AE323" s="3167">
        <f>名簿入力!AF233</f>
        <v>0</v>
      </c>
      <c r="AF323" s="3161">
        <f>名簿入力!AG233</f>
        <v>0</v>
      </c>
      <c r="AG323" s="3162"/>
      <c r="AH323" s="3165">
        <f>名簿入力!AI233</f>
        <v>0</v>
      </c>
      <c r="AI323" s="3165">
        <f>名簿入力!AJ233</f>
        <v>0</v>
      </c>
      <c r="AJ323" s="3175">
        <f>名簿入力!AK233</f>
        <v>0</v>
      </c>
      <c r="AK323" s="3176"/>
      <c r="AL323" s="3176"/>
      <c r="AM323" s="3176"/>
      <c r="AN323" s="3176"/>
      <c r="AO323" s="3177"/>
      <c r="AP323" s="3137">
        <f>名簿入力!AO233</f>
        <v>0</v>
      </c>
      <c r="AQ323" s="3138"/>
      <c r="AR323" s="3138"/>
      <c r="AS323" s="3138"/>
      <c r="AT323" s="3139"/>
      <c r="AU323" s="113"/>
    </row>
    <row r="324" spans="2:47" ht="15" customHeight="1" x14ac:dyDescent="0.15">
      <c r="B324" s="3181"/>
      <c r="C324" s="3182"/>
      <c r="D324" s="3183"/>
      <c r="E324" s="3184"/>
      <c r="F324" s="3185"/>
      <c r="G324" s="3186"/>
      <c r="H324" s="3173"/>
      <c r="I324" s="3174"/>
      <c r="J324" s="3171"/>
      <c r="K324" s="3172"/>
      <c r="L324" s="3173"/>
      <c r="M324" s="3187"/>
      <c r="N324" s="3171"/>
      <c r="O324" s="3171"/>
      <c r="P324" s="3172"/>
      <c r="Q324" s="3173"/>
      <c r="R324" s="3174"/>
      <c r="S324" s="3171"/>
      <c r="T324" s="3171"/>
      <c r="U324" s="3172"/>
      <c r="V324" s="3173"/>
      <c r="W324" s="3174"/>
      <c r="X324" s="3171"/>
      <c r="Y324" s="3171"/>
      <c r="Z324" s="3172"/>
      <c r="AA324" s="3173"/>
      <c r="AB324" s="3174"/>
      <c r="AC324" s="3171"/>
      <c r="AD324" s="3171"/>
      <c r="AE324" s="3172"/>
      <c r="AF324" s="3173"/>
      <c r="AG324" s="3174"/>
      <c r="AH324" s="3171"/>
      <c r="AI324" s="3171"/>
      <c r="AJ324" s="3146">
        <f>名簿入力!AK234</f>
        <v>0</v>
      </c>
      <c r="AK324" s="3147"/>
      <c r="AL324" s="3147"/>
      <c r="AM324" s="3147"/>
      <c r="AN324" s="3147"/>
      <c r="AO324" s="3148"/>
      <c r="AP324" s="3178"/>
      <c r="AQ324" s="3179"/>
      <c r="AR324" s="3179"/>
      <c r="AS324" s="3179"/>
      <c r="AT324" s="3180"/>
      <c r="AU324" s="113"/>
    </row>
    <row r="325" spans="2:47" ht="15" customHeight="1" x14ac:dyDescent="0.15">
      <c r="B325" s="3149">
        <v>111</v>
      </c>
      <c r="C325" s="3151">
        <f>名簿入力!D235</f>
        <v>0</v>
      </c>
      <c r="D325" s="3152"/>
      <c r="E325" s="3155">
        <f>名簿入力!E235</f>
        <v>0</v>
      </c>
      <c r="F325" s="3157">
        <f>名簿入力!G235</f>
        <v>0</v>
      </c>
      <c r="G325" s="3159">
        <f>名簿入力!H235</f>
        <v>0</v>
      </c>
      <c r="H325" s="3161">
        <f>名簿入力!I235</f>
        <v>0</v>
      </c>
      <c r="I325" s="3162"/>
      <c r="J325" s="3165">
        <f>名簿入力!K235</f>
        <v>0</v>
      </c>
      <c r="K325" s="3167">
        <f>名簿入力!L235</f>
        <v>0</v>
      </c>
      <c r="L325" s="3161">
        <f>名簿入力!M235</f>
        <v>0</v>
      </c>
      <c r="M325" s="3169"/>
      <c r="N325" s="3165">
        <f>名簿入力!O235</f>
        <v>0</v>
      </c>
      <c r="O325" s="3165">
        <f>名簿入力!P235</f>
        <v>0</v>
      </c>
      <c r="P325" s="3167">
        <f>名簿入力!Q235</f>
        <v>0</v>
      </c>
      <c r="Q325" s="3161">
        <f>名簿入力!R235</f>
        <v>0</v>
      </c>
      <c r="R325" s="3162"/>
      <c r="S325" s="3165">
        <f>名簿入力!T235</f>
        <v>0</v>
      </c>
      <c r="T325" s="3165">
        <f>名簿入力!U235</f>
        <v>0</v>
      </c>
      <c r="U325" s="3167">
        <f>名簿入力!V235</f>
        <v>0</v>
      </c>
      <c r="V325" s="3161">
        <f>名簿入力!W235</f>
        <v>0</v>
      </c>
      <c r="W325" s="3162"/>
      <c r="X325" s="3165">
        <f>名簿入力!Y235</f>
        <v>0</v>
      </c>
      <c r="Y325" s="3165">
        <f>名簿入力!Z235</f>
        <v>0</v>
      </c>
      <c r="Z325" s="3167">
        <f>名簿入力!AA235</f>
        <v>0</v>
      </c>
      <c r="AA325" s="3161">
        <f>名簿入力!AB235</f>
        <v>0</v>
      </c>
      <c r="AB325" s="3162"/>
      <c r="AC325" s="3165">
        <f>名簿入力!AD235</f>
        <v>0</v>
      </c>
      <c r="AD325" s="3165">
        <f>名簿入力!AE235</f>
        <v>0</v>
      </c>
      <c r="AE325" s="3167">
        <f>名簿入力!AF235</f>
        <v>0</v>
      </c>
      <c r="AF325" s="3161">
        <f>名簿入力!AG235</f>
        <v>0</v>
      </c>
      <c r="AG325" s="3162"/>
      <c r="AH325" s="3165">
        <f>名簿入力!AI235</f>
        <v>0</v>
      </c>
      <c r="AI325" s="3165">
        <f>名簿入力!AJ235</f>
        <v>0</v>
      </c>
      <c r="AJ325" s="3175">
        <f>名簿入力!AK235</f>
        <v>0</v>
      </c>
      <c r="AK325" s="3176"/>
      <c r="AL325" s="3176"/>
      <c r="AM325" s="3176"/>
      <c r="AN325" s="3176"/>
      <c r="AO325" s="3177"/>
      <c r="AP325" s="3137">
        <f>名簿入力!AO235</f>
        <v>0</v>
      </c>
      <c r="AQ325" s="3138"/>
      <c r="AR325" s="3138"/>
      <c r="AS325" s="3138"/>
      <c r="AT325" s="3139"/>
      <c r="AU325" s="113"/>
    </row>
    <row r="326" spans="2:47" ht="15" customHeight="1" x14ac:dyDescent="0.15">
      <c r="B326" s="3181"/>
      <c r="C326" s="3182"/>
      <c r="D326" s="3183"/>
      <c r="E326" s="3184"/>
      <c r="F326" s="3185"/>
      <c r="G326" s="3186"/>
      <c r="H326" s="3173"/>
      <c r="I326" s="3174"/>
      <c r="J326" s="3171"/>
      <c r="K326" s="3172"/>
      <c r="L326" s="3173"/>
      <c r="M326" s="3187"/>
      <c r="N326" s="3171"/>
      <c r="O326" s="3171"/>
      <c r="P326" s="3172"/>
      <c r="Q326" s="3173"/>
      <c r="R326" s="3174"/>
      <c r="S326" s="3171"/>
      <c r="T326" s="3171"/>
      <c r="U326" s="3172"/>
      <c r="V326" s="3173"/>
      <c r="W326" s="3174"/>
      <c r="X326" s="3171"/>
      <c r="Y326" s="3171"/>
      <c r="Z326" s="3172"/>
      <c r="AA326" s="3173"/>
      <c r="AB326" s="3174"/>
      <c r="AC326" s="3171"/>
      <c r="AD326" s="3171"/>
      <c r="AE326" s="3172"/>
      <c r="AF326" s="3173"/>
      <c r="AG326" s="3174"/>
      <c r="AH326" s="3171"/>
      <c r="AI326" s="3171"/>
      <c r="AJ326" s="3146">
        <f>名簿入力!AK236</f>
        <v>0</v>
      </c>
      <c r="AK326" s="3147"/>
      <c r="AL326" s="3147"/>
      <c r="AM326" s="3147"/>
      <c r="AN326" s="3147"/>
      <c r="AO326" s="3148"/>
      <c r="AP326" s="3178"/>
      <c r="AQ326" s="3179"/>
      <c r="AR326" s="3179"/>
      <c r="AS326" s="3179"/>
      <c r="AT326" s="3180"/>
      <c r="AU326" s="113"/>
    </row>
    <row r="327" spans="2:47" ht="15" customHeight="1" x14ac:dyDescent="0.15">
      <c r="B327" s="3149">
        <v>112</v>
      </c>
      <c r="C327" s="3151">
        <f>名簿入力!D237</f>
        <v>0</v>
      </c>
      <c r="D327" s="3152"/>
      <c r="E327" s="3155">
        <f>名簿入力!E237</f>
        <v>0</v>
      </c>
      <c r="F327" s="3157">
        <f>名簿入力!G237</f>
        <v>0</v>
      </c>
      <c r="G327" s="3159">
        <f>名簿入力!H237</f>
        <v>0</v>
      </c>
      <c r="H327" s="3161">
        <f>名簿入力!I237</f>
        <v>0</v>
      </c>
      <c r="I327" s="3162"/>
      <c r="J327" s="3165">
        <f>名簿入力!K237</f>
        <v>0</v>
      </c>
      <c r="K327" s="3167">
        <f>名簿入力!L237</f>
        <v>0</v>
      </c>
      <c r="L327" s="3161">
        <f>名簿入力!M237</f>
        <v>0</v>
      </c>
      <c r="M327" s="3169"/>
      <c r="N327" s="3165">
        <f>名簿入力!O237</f>
        <v>0</v>
      </c>
      <c r="O327" s="3165">
        <f>名簿入力!P237</f>
        <v>0</v>
      </c>
      <c r="P327" s="3167">
        <f>名簿入力!Q237</f>
        <v>0</v>
      </c>
      <c r="Q327" s="3161">
        <f>名簿入力!R237</f>
        <v>0</v>
      </c>
      <c r="R327" s="3162"/>
      <c r="S327" s="3165">
        <f>名簿入力!T237</f>
        <v>0</v>
      </c>
      <c r="T327" s="3165">
        <f>名簿入力!U237</f>
        <v>0</v>
      </c>
      <c r="U327" s="3167">
        <f>名簿入力!V237</f>
        <v>0</v>
      </c>
      <c r="V327" s="3161">
        <f>名簿入力!W237</f>
        <v>0</v>
      </c>
      <c r="W327" s="3162"/>
      <c r="X327" s="3165">
        <f>名簿入力!Y237</f>
        <v>0</v>
      </c>
      <c r="Y327" s="3165">
        <f>名簿入力!Z237</f>
        <v>0</v>
      </c>
      <c r="Z327" s="3167">
        <f>名簿入力!AA237</f>
        <v>0</v>
      </c>
      <c r="AA327" s="3161">
        <f>名簿入力!AB237</f>
        <v>0</v>
      </c>
      <c r="AB327" s="3162"/>
      <c r="AC327" s="3165">
        <f>名簿入力!AD237</f>
        <v>0</v>
      </c>
      <c r="AD327" s="3165">
        <f>名簿入力!AE237</f>
        <v>0</v>
      </c>
      <c r="AE327" s="3167">
        <f>名簿入力!AF237</f>
        <v>0</v>
      </c>
      <c r="AF327" s="3161">
        <f>名簿入力!AG237</f>
        <v>0</v>
      </c>
      <c r="AG327" s="3162"/>
      <c r="AH327" s="3165">
        <f>名簿入力!AI237</f>
        <v>0</v>
      </c>
      <c r="AI327" s="3165">
        <f>名簿入力!AJ237</f>
        <v>0</v>
      </c>
      <c r="AJ327" s="3175">
        <f>名簿入力!AK237</f>
        <v>0</v>
      </c>
      <c r="AK327" s="3176"/>
      <c r="AL327" s="3176"/>
      <c r="AM327" s="3176"/>
      <c r="AN327" s="3176"/>
      <c r="AO327" s="3177"/>
      <c r="AP327" s="3137">
        <f>名簿入力!AO237</f>
        <v>0</v>
      </c>
      <c r="AQ327" s="3138"/>
      <c r="AR327" s="3138"/>
      <c r="AS327" s="3138"/>
      <c r="AT327" s="3139"/>
      <c r="AU327" s="113"/>
    </row>
    <row r="328" spans="2:47" ht="15" customHeight="1" x14ac:dyDescent="0.15">
      <c r="B328" s="3181"/>
      <c r="C328" s="3182"/>
      <c r="D328" s="3183"/>
      <c r="E328" s="3184"/>
      <c r="F328" s="3185"/>
      <c r="G328" s="3186"/>
      <c r="H328" s="3173"/>
      <c r="I328" s="3174"/>
      <c r="J328" s="3171"/>
      <c r="K328" s="3172"/>
      <c r="L328" s="3173"/>
      <c r="M328" s="3187"/>
      <c r="N328" s="3171"/>
      <c r="O328" s="3171"/>
      <c r="P328" s="3172"/>
      <c r="Q328" s="3173"/>
      <c r="R328" s="3174"/>
      <c r="S328" s="3171"/>
      <c r="T328" s="3171"/>
      <c r="U328" s="3172"/>
      <c r="V328" s="3173"/>
      <c r="W328" s="3174"/>
      <c r="X328" s="3171"/>
      <c r="Y328" s="3171"/>
      <c r="Z328" s="3172"/>
      <c r="AA328" s="3173"/>
      <c r="AB328" s="3174"/>
      <c r="AC328" s="3171"/>
      <c r="AD328" s="3171"/>
      <c r="AE328" s="3172"/>
      <c r="AF328" s="3173"/>
      <c r="AG328" s="3174"/>
      <c r="AH328" s="3171"/>
      <c r="AI328" s="3171"/>
      <c r="AJ328" s="3146">
        <f>名簿入力!AK238</f>
        <v>0</v>
      </c>
      <c r="AK328" s="3147"/>
      <c r="AL328" s="3147"/>
      <c r="AM328" s="3147"/>
      <c r="AN328" s="3147"/>
      <c r="AO328" s="3148"/>
      <c r="AP328" s="3178"/>
      <c r="AQ328" s="3179"/>
      <c r="AR328" s="3179"/>
      <c r="AS328" s="3179"/>
      <c r="AT328" s="3180"/>
      <c r="AU328" s="113"/>
    </row>
    <row r="329" spans="2:47" ht="15" customHeight="1" x14ac:dyDescent="0.15">
      <c r="B329" s="3149">
        <v>113</v>
      </c>
      <c r="C329" s="3151">
        <f>名簿入力!D239</f>
        <v>0</v>
      </c>
      <c r="D329" s="3152"/>
      <c r="E329" s="3155">
        <f>名簿入力!E239</f>
        <v>0</v>
      </c>
      <c r="F329" s="3157">
        <f>名簿入力!G239</f>
        <v>0</v>
      </c>
      <c r="G329" s="3159">
        <f>名簿入力!H239</f>
        <v>0</v>
      </c>
      <c r="H329" s="3161">
        <f>名簿入力!I239</f>
        <v>0</v>
      </c>
      <c r="I329" s="3162"/>
      <c r="J329" s="3165">
        <f>名簿入力!K239</f>
        <v>0</v>
      </c>
      <c r="K329" s="3167">
        <f>名簿入力!L239</f>
        <v>0</v>
      </c>
      <c r="L329" s="3161">
        <f>名簿入力!M239</f>
        <v>0</v>
      </c>
      <c r="M329" s="3169"/>
      <c r="N329" s="3165">
        <f>名簿入力!O239</f>
        <v>0</v>
      </c>
      <c r="O329" s="3165">
        <f>名簿入力!P239</f>
        <v>0</v>
      </c>
      <c r="P329" s="3167">
        <f>名簿入力!Q239</f>
        <v>0</v>
      </c>
      <c r="Q329" s="3161">
        <f>名簿入力!R239</f>
        <v>0</v>
      </c>
      <c r="R329" s="3162"/>
      <c r="S329" s="3165">
        <f>名簿入力!T239</f>
        <v>0</v>
      </c>
      <c r="T329" s="3165">
        <f>名簿入力!U239</f>
        <v>0</v>
      </c>
      <c r="U329" s="3167">
        <f>名簿入力!V239</f>
        <v>0</v>
      </c>
      <c r="V329" s="3161">
        <f>名簿入力!W239</f>
        <v>0</v>
      </c>
      <c r="W329" s="3162"/>
      <c r="X329" s="3165">
        <f>名簿入力!Y239</f>
        <v>0</v>
      </c>
      <c r="Y329" s="3165">
        <f>名簿入力!Z239</f>
        <v>0</v>
      </c>
      <c r="Z329" s="3167">
        <f>名簿入力!AA239</f>
        <v>0</v>
      </c>
      <c r="AA329" s="3161">
        <f>名簿入力!AB239</f>
        <v>0</v>
      </c>
      <c r="AB329" s="3162"/>
      <c r="AC329" s="3165">
        <f>名簿入力!AD239</f>
        <v>0</v>
      </c>
      <c r="AD329" s="3165">
        <f>名簿入力!AE239</f>
        <v>0</v>
      </c>
      <c r="AE329" s="3167">
        <f>名簿入力!AF239</f>
        <v>0</v>
      </c>
      <c r="AF329" s="3161">
        <f>名簿入力!AG239</f>
        <v>0</v>
      </c>
      <c r="AG329" s="3162"/>
      <c r="AH329" s="3165">
        <f>名簿入力!AI239</f>
        <v>0</v>
      </c>
      <c r="AI329" s="3165">
        <f>名簿入力!AJ239</f>
        <v>0</v>
      </c>
      <c r="AJ329" s="3175">
        <f>名簿入力!AK239</f>
        <v>0</v>
      </c>
      <c r="AK329" s="3176"/>
      <c r="AL329" s="3176"/>
      <c r="AM329" s="3176"/>
      <c r="AN329" s="3176"/>
      <c r="AO329" s="3177"/>
      <c r="AP329" s="3137">
        <f>名簿入力!AO239</f>
        <v>0</v>
      </c>
      <c r="AQ329" s="3138"/>
      <c r="AR329" s="3138"/>
      <c r="AS329" s="3138"/>
      <c r="AT329" s="3139"/>
      <c r="AU329" s="113"/>
    </row>
    <row r="330" spans="2:47" ht="15" customHeight="1" x14ac:dyDescent="0.15">
      <c r="B330" s="3181"/>
      <c r="C330" s="3182"/>
      <c r="D330" s="3183"/>
      <c r="E330" s="3184"/>
      <c r="F330" s="3185"/>
      <c r="G330" s="3186"/>
      <c r="H330" s="3173"/>
      <c r="I330" s="3174"/>
      <c r="J330" s="3171"/>
      <c r="K330" s="3172"/>
      <c r="L330" s="3173"/>
      <c r="M330" s="3187"/>
      <c r="N330" s="3171"/>
      <c r="O330" s="3171"/>
      <c r="P330" s="3172"/>
      <c r="Q330" s="3173"/>
      <c r="R330" s="3174"/>
      <c r="S330" s="3171"/>
      <c r="T330" s="3171"/>
      <c r="U330" s="3172"/>
      <c r="V330" s="3173"/>
      <c r="W330" s="3174"/>
      <c r="X330" s="3171"/>
      <c r="Y330" s="3171"/>
      <c r="Z330" s="3172"/>
      <c r="AA330" s="3173"/>
      <c r="AB330" s="3174"/>
      <c r="AC330" s="3171"/>
      <c r="AD330" s="3171"/>
      <c r="AE330" s="3172"/>
      <c r="AF330" s="3173"/>
      <c r="AG330" s="3174"/>
      <c r="AH330" s="3171"/>
      <c r="AI330" s="3171"/>
      <c r="AJ330" s="3146">
        <f>名簿入力!AK240</f>
        <v>0</v>
      </c>
      <c r="AK330" s="3147"/>
      <c r="AL330" s="3147"/>
      <c r="AM330" s="3147"/>
      <c r="AN330" s="3147"/>
      <c r="AO330" s="3148"/>
      <c r="AP330" s="3178"/>
      <c r="AQ330" s="3179"/>
      <c r="AR330" s="3179"/>
      <c r="AS330" s="3179"/>
      <c r="AT330" s="3180"/>
      <c r="AU330" s="113"/>
    </row>
    <row r="331" spans="2:47" ht="15" customHeight="1" x14ac:dyDescent="0.15">
      <c r="B331" s="3149">
        <v>114</v>
      </c>
      <c r="C331" s="3151">
        <f>名簿入力!D241</f>
        <v>0</v>
      </c>
      <c r="D331" s="3152"/>
      <c r="E331" s="3155">
        <f>名簿入力!E241</f>
        <v>0</v>
      </c>
      <c r="F331" s="3157">
        <f>名簿入力!G241</f>
        <v>0</v>
      </c>
      <c r="G331" s="3159">
        <f>名簿入力!H241</f>
        <v>0</v>
      </c>
      <c r="H331" s="3161">
        <f>名簿入力!I241</f>
        <v>0</v>
      </c>
      <c r="I331" s="3162"/>
      <c r="J331" s="3165">
        <f>名簿入力!K241</f>
        <v>0</v>
      </c>
      <c r="K331" s="3167">
        <f>名簿入力!L241</f>
        <v>0</v>
      </c>
      <c r="L331" s="3161">
        <f>名簿入力!M241</f>
        <v>0</v>
      </c>
      <c r="M331" s="3169"/>
      <c r="N331" s="3165">
        <f>名簿入力!O241</f>
        <v>0</v>
      </c>
      <c r="O331" s="3165">
        <f>名簿入力!P241</f>
        <v>0</v>
      </c>
      <c r="P331" s="3167">
        <f>名簿入力!Q241</f>
        <v>0</v>
      </c>
      <c r="Q331" s="3161">
        <f>名簿入力!R241</f>
        <v>0</v>
      </c>
      <c r="R331" s="3162"/>
      <c r="S331" s="3165">
        <f>名簿入力!T241</f>
        <v>0</v>
      </c>
      <c r="T331" s="3165">
        <f>名簿入力!U241</f>
        <v>0</v>
      </c>
      <c r="U331" s="3167">
        <f>名簿入力!V241</f>
        <v>0</v>
      </c>
      <c r="V331" s="3161">
        <f>名簿入力!W241</f>
        <v>0</v>
      </c>
      <c r="W331" s="3162"/>
      <c r="X331" s="3165">
        <f>名簿入力!Y241</f>
        <v>0</v>
      </c>
      <c r="Y331" s="3165">
        <f>名簿入力!Z241</f>
        <v>0</v>
      </c>
      <c r="Z331" s="3167">
        <f>名簿入力!AA241</f>
        <v>0</v>
      </c>
      <c r="AA331" s="3161">
        <f>名簿入力!AB241</f>
        <v>0</v>
      </c>
      <c r="AB331" s="3162"/>
      <c r="AC331" s="3165">
        <f>名簿入力!AD241</f>
        <v>0</v>
      </c>
      <c r="AD331" s="3165">
        <f>名簿入力!AE241</f>
        <v>0</v>
      </c>
      <c r="AE331" s="3167">
        <f>名簿入力!AF241</f>
        <v>0</v>
      </c>
      <c r="AF331" s="3161">
        <f>名簿入力!AG241</f>
        <v>0</v>
      </c>
      <c r="AG331" s="3162"/>
      <c r="AH331" s="3165">
        <f>名簿入力!AI241</f>
        <v>0</v>
      </c>
      <c r="AI331" s="3165">
        <f>名簿入力!AJ241</f>
        <v>0</v>
      </c>
      <c r="AJ331" s="3175">
        <f>名簿入力!AK241</f>
        <v>0</v>
      </c>
      <c r="AK331" s="3176"/>
      <c r="AL331" s="3176"/>
      <c r="AM331" s="3176"/>
      <c r="AN331" s="3176"/>
      <c r="AO331" s="3177"/>
      <c r="AP331" s="3137">
        <f>名簿入力!AO241</f>
        <v>0</v>
      </c>
      <c r="AQ331" s="3138"/>
      <c r="AR331" s="3138"/>
      <c r="AS331" s="3138"/>
      <c r="AT331" s="3139"/>
      <c r="AU331" s="113"/>
    </row>
    <row r="332" spans="2:47" ht="15" customHeight="1" x14ac:dyDescent="0.15">
      <c r="B332" s="3181"/>
      <c r="C332" s="3182"/>
      <c r="D332" s="3183"/>
      <c r="E332" s="3184"/>
      <c r="F332" s="3185"/>
      <c r="G332" s="3186"/>
      <c r="H332" s="3173"/>
      <c r="I332" s="3174"/>
      <c r="J332" s="3171"/>
      <c r="K332" s="3172"/>
      <c r="L332" s="3173"/>
      <c r="M332" s="3187"/>
      <c r="N332" s="3171"/>
      <c r="O332" s="3171"/>
      <c r="P332" s="3172"/>
      <c r="Q332" s="3173"/>
      <c r="R332" s="3174"/>
      <c r="S332" s="3171"/>
      <c r="T332" s="3171"/>
      <c r="U332" s="3172"/>
      <c r="V332" s="3173"/>
      <c r="W332" s="3174"/>
      <c r="X332" s="3171"/>
      <c r="Y332" s="3171"/>
      <c r="Z332" s="3172"/>
      <c r="AA332" s="3173"/>
      <c r="AB332" s="3174"/>
      <c r="AC332" s="3171"/>
      <c r="AD332" s="3171"/>
      <c r="AE332" s="3172"/>
      <c r="AF332" s="3173"/>
      <c r="AG332" s="3174"/>
      <c r="AH332" s="3171"/>
      <c r="AI332" s="3171"/>
      <c r="AJ332" s="3146">
        <f>名簿入力!AK242</f>
        <v>0</v>
      </c>
      <c r="AK332" s="3147"/>
      <c r="AL332" s="3147"/>
      <c r="AM332" s="3147"/>
      <c r="AN332" s="3147"/>
      <c r="AO332" s="3148"/>
      <c r="AP332" s="3178"/>
      <c r="AQ332" s="3179"/>
      <c r="AR332" s="3179"/>
      <c r="AS332" s="3179"/>
      <c r="AT332" s="3180"/>
      <c r="AU332" s="113"/>
    </row>
    <row r="333" spans="2:47" ht="15" customHeight="1" x14ac:dyDescent="0.15">
      <c r="B333" s="3149">
        <v>115</v>
      </c>
      <c r="C333" s="3151">
        <f>名簿入力!D243</f>
        <v>0</v>
      </c>
      <c r="D333" s="3152"/>
      <c r="E333" s="3155">
        <f>名簿入力!E243</f>
        <v>0</v>
      </c>
      <c r="F333" s="3157">
        <f>名簿入力!G243</f>
        <v>0</v>
      </c>
      <c r="G333" s="3159">
        <f>名簿入力!H243</f>
        <v>0</v>
      </c>
      <c r="H333" s="3161">
        <f>名簿入力!I243</f>
        <v>0</v>
      </c>
      <c r="I333" s="3162"/>
      <c r="J333" s="3165">
        <f>名簿入力!K243</f>
        <v>0</v>
      </c>
      <c r="K333" s="3167">
        <f>名簿入力!L243</f>
        <v>0</v>
      </c>
      <c r="L333" s="3161">
        <f>名簿入力!M243</f>
        <v>0</v>
      </c>
      <c r="M333" s="3169"/>
      <c r="N333" s="3165">
        <f>名簿入力!O243</f>
        <v>0</v>
      </c>
      <c r="O333" s="3165">
        <f>名簿入力!P243</f>
        <v>0</v>
      </c>
      <c r="P333" s="3167">
        <f>名簿入力!Q243</f>
        <v>0</v>
      </c>
      <c r="Q333" s="3161">
        <f>名簿入力!R243</f>
        <v>0</v>
      </c>
      <c r="R333" s="3162"/>
      <c r="S333" s="3165">
        <f>名簿入力!T243</f>
        <v>0</v>
      </c>
      <c r="T333" s="3165">
        <f>名簿入力!U243</f>
        <v>0</v>
      </c>
      <c r="U333" s="3167">
        <f>名簿入力!V243</f>
        <v>0</v>
      </c>
      <c r="V333" s="3161">
        <f>名簿入力!W243</f>
        <v>0</v>
      </c>
      <c r="W333" s="3162"/>
      <c r="X333" s="3165">
        <f>名簿入力!Y243</f>
        <v>0</v>
      </c>
      <c r="Y333" s="3165">
        <f>名簿入力!Z243</f>
        <v>0</v>
      </c>
      <c r="Z333" s="3167">
        <f>名簿入力!AA243</f>
        <v>0</v>
      </c>
      <c r="AA333" s="3161">
        <f>名簿入力!AB243</f>
        <v>0</v>
      </c>
      <c r="AB333" s="3162"/>
      <c r="AC333" s="3165">
        <f>名簿入力!AD243</f>
        <v>0</v>
      </c>
      <c r="AD333" s="3165">
        <f>名簿入力!AE243</f>
        <v>0</v>
      </c>
      <c r="AE333" s="3167">
        <f>名簿入力!AF243</f>
        <v>0</v>
      </c>
      <c r="AF333" s="3161">
        <f>名簿入力!AG243</f>
        <v>0</v>
      </c>
      <c r="AG333" s="3162"/>
      <c r="AH333" s="3165">
        <f>名簿入力!AI243</f>
        <v>0</v>
      </c>
      <c r="AI333" s="3165">
        <f>名簿入力!AJ243</f>
        <v>0</v>
      </c>
      <c r="AJ333" s="3175">
        <f>名簿入力!AK243</f>
        <v>0</v>
      </c>
      <c r="AK333" s="3176"/>
      <c r="AL333" s="3176"/>
      <c r="AM333" s="3176"/>
      <c r="AN333" s="3176"/>
      <c r="AO333" s="3177"/>
      <c r="AP333" s="3137">
        <f>名簿入力!AO243</f>
        <v>0</v>
      </c>
      <c r="AQ333" s="3138"/>
      <c r="AR333" s="3138"/>
      <c r="AS333" s="3138"/>
      <c r="AT333" s="3139"/>
      <c r="AU333" s="113"/>
    </row>
    <row r="334" spans="2:47" ht="15" customHeight="1" x14ac:dyDescent="0.15">
      <c r="B334" s="3181"/>
      <c r="C334" s="3182"/>
      <c r="D334" s="3183"/>
      <c r="E334" s="3184"/>
      <c r="F334" s="3185"/>
      <c r="G334" s="3186"/>
      <c r="H334" s="3173"/>
      <c r="I334" s="3174"/>
      <c r="J334" s="3171"/>
      <c r="K334" s="3172"/>
      <c r="L334" s="3173"/>
      <c r="M334" s="3187"/>
      <c r="N334" s="3171"/>
      <c r="O334" s="3171"/>
      <c r="P334" s="3172"/>
      <c r="Q334" s="3173"/>
      <c r="R334" s="3174"/>
      <c r="S334" s="3171"/>
      <c r="T334" s="3171"/>
      <c r="U334" s="3172"/>
      <c r="V334" s="3173"/>
      <c r="W334" s="3174"/>
      <c r="X334" s="3171"/>
      <c r="Y334" s="3171"/>
      <c r="Z334" s="3172"/>
      <c r="AA334" s="3173"/>
      <c r="AB334" s="3174"/>
      <c r="AC334" s="3171"/>
      <c r="AD334" s="3171"/>
      <c r="AE334" s="3172"/>
      <c r="AF334" s="3173"/>
      <c r="AG334" s="3174"/>
      <c r="AH334" s="3171"/>
      <c r="AI334" s="3171"/>
      <c r="AJ334" s="3146">
        <f>名簿入力!AK244</f>
        <v>0</v>
      </c>
      <c r="AK334" s="3147"/>
      <c r="AL334" s="3147"/>
      <c r="AM334" s="3147"/>
      <c r="AN334" s="3147"/>
      <c r="AO334" s="3148"/>
      <c r="AP334" s="3178"/>
      <c r="AQ334" s="3179"/>
      <c r="AR334" s="3179"/>
      <c r="AS334" s="3179"/>
      <c r="AT334" s="3180"/>
      <c r="AU334" s="113"/>
    </row>
    <row r="335" spans="2:47" ht="15" customHeight="1" x14ac:dyDescent="0.15">
      <c r="B335" s="3149">
        <v>116</v>
      </c>
      <c r="C335" s="3151">
        <f>名簿入力!D245</f>
        <v>0</v>
      </c>
      <c r="D335" s="3152"/>
      <c r="E335" s="3155">
        <f>名簿入力!E245</f>
        <v>0</v>
      </c>
      <c r="F335" s="3157">
        <f>名簿入力!G245</f>
        <v>0</v>
      </c>
      <c r="G335" s="3159">
        <f>名簿入力!H245</f>
        <v>0</v>
      </c>
      <c r="H335" s="3161">
        <f>名簿入力!I245</f>
        <v>0</v>
      </c>
      <c r="I335" s="3162"/>
      <c r="J335" s="3165">
        <f>名簿入力!K245</f>
        <v>0</v>
      </c>
      <c r="K335" s="3167">
        <f>名簿入力!L245</f>
        <v>0</v>
      </c>
      <c r="L335" s="3161">
        <f>名簿入力!M245</f>
        <v>0</v>
      </c>
      <c r="M335" s="3169"/>
      <c r="N335" s="3165">
        <f>名簿入力!O245</f>
        <v>0</v>
      </c>
      <c r="O335" s="3165">
        <f>名簿入力!P245</f>
        <v>0</v>
      </c>
      <c r="P335" s="3167">
        <f>名簿入力!Q245</f>
        <v>0</v>
      </c>
      <c r="Q335" s="3161">
        <f>名簿入力!R245</f>
        <v>0</v>
      </c>
      <c r="R335" s="3162"/>
      <c r="S335" s="3165">
        <f>名簿入力!T245</f>
        <v>0</v>
      </c>
      <c r="T335" s="3165">
        <f>名簿入力!U245</f>
        <v>0</v>
      </c>
      <c r="U335" s="3167">
        <f>名簿入力!V245</f>
        <v>0</v>
      </c>
      <c r="V335" s="3161">
        <f>名簿入力!W245</f>
        <v>0</v>
      </c>
      <c r="W335" s="3162"/>
      <c r="X335" s="3165">
        <f>名簿入力!Y245</f>
        <v>0</v>
      </c>
      <c r="Y335" s="3165">
        <f>名簿入力!Z245</f>
        <v>0</v>
      </c>
      <c r="Z335" s="3167">
        <f>名簿入力!AA245</f>
        <v>0</v>
      </c>
      <c r="AA335" s="3161">
        <f>名簿入力!AB245</f>
        <v>0</v>
      </c>
      <c r="AB335" s="3162"/>
      <c r="AC335" s="3165">
        <f>名簿入力!AD245</f>
        <v>0</v>
      </c>
      <c r="AD335" s="3165">
        <f>名簿入力!AE245</f>
        <v>0</v>
      </c>
      <c r="AE335" s="3167">
        <f>名簿入力!AF245</f>
        <v>0</v>
      </c>
      <c r="AF335" s="3161">
        <f>名簿入力!AG245</f>
        <v>0</v>
      </c>
      <c r="AG335" s="3162"/>
      <c r="AH335" s="3165">
        <f>名簿入力!AI245</f>
        <v>0</v>
      </c>
      <c r="AI335" s="3165">
        <f>名簿入力!AJ245</f>
        <v>0</v>
      </c>
      <c r="AJ335" s="3175">
        <f>名簿入力!AK245</f>
        <v>0</v>
      </c>
      <c r="AK335" s="3176"/>
      <c r="AL335" s="3176"/>
      <c r="AM335" s="3176"/>
      <c r="AN335" s="3176"/>
      <c r="AO335" s="3177"/>
      <c r="AP335" s="3137">
        <f>名簿入力!AO245</f>
        <v>0</v>
      </c>
      <c r="AQ335" s="3138"/>
      <c r="AR335" s="3138"/>
      <c r="AS335" s="3138"/>
      <c r="AT335" s="3139"/>
      <c r="AU335" s="113"/>
    </row>
    <row r="336" spans="2:47" ht="15" customHeight="1" x14ac:dyDescent="0.15">
      <c r="B336" s="3181"/>
      <c r="C336" s="3182"/>
      <c r="D336" s="3183"/>
      <c r="E336" s="3184"/>
      <c r="F336" s="3185"/>
      <c r="G336" s="3186"/>
      <c r="H336" s="3173"/>
      <c r="I336" s="3174"/>
      <c r="J336" s="3171"/>
      <c r="K336" s="3172"/>
      <c r="L336" s="3173"/>
      <c r="M336" s="3187"/>
      <c r="N336" s="3171"/>
      <c r="O336" s="3171"/>
      <c r="P336" s="3172"/>
      <c r="Q336" s="3173"/>
      <c r="R336" s="3174"/>
      <c r="S336" s="3171"/>
      <c r="T336" s="3171"/>
      <c r="U336" s="3172"/>
      <c r="V336" s="3173"/>
      <c r="W336" s="3174"/>
      <c r="X336" s="3171"/>
      <c r="Y336" s="3171"/>
      <c r="Z336" s="3172"/>
      <c r="AA336" s="3173"/>
      <c r="AB336" s="3174"/>
      <c r="AC336" s="3171"/>
      <c r="AD336" s="3171"/>
      <c r="AE336" s="3172"/>
      <c r="AF336" s="3173"/>
      <c r="AG336" s="3174"/>
      <c r="AH336" s="3171"/>
      <c r="AI336" s="3171"/>
      <c r="AJ336" s="3146">
        <f>名簿入力!AK246</f>
        <v>0</v>
      </c>
      <c r="AK336" s="3147"/>
      <c r="AL336" s="3147"/>
      <c r="AM336" s="3147"/>
      <c r="AN336" s="3147"/>
      <c r="AO336" s="3148"/>
      <c r="AP336" s="3178"/>
      <c r="AQ336" s="3179"/>
      <c r="AR336" s="3179"/>
      <c r="AS336" s="3179"/>
      <c r="AT336" s="3180"/>
      <c r="AU336" s="113"/>
    </row>
    <row r="337" spans="2:50" ht="15" customHeight="1" x14ac:dyDescent="0.15">
      <c r="B337" s="3149">
        <v>117</v>
      </c>
      <c r="C337" s="3151">
        <f>名簿入力!D247</f>
        <v>0</v>
      </c>
      <c r="D337" s="3152"/>
      <c r="E337" s="3155">
        <f>名簿入力!E247</f>
        <v>0</v>
      </c>
      <c r="F337" s="3157">
        <f>名簿入力!G247</f>
        <v>0</v>
      </c>
      <c r="G337" s="3159">
        <f>名簿入力!H247</f>
        <v>0</v>
      </c>
      <c r="H337" s="3161">
        <f>名簿入力!I247</f>
        <v>0</v>
      </c>
      <c r="I337" s="3162"/>
      <c r="J337" s="3165">
        <f>名簿入力!K247</f>
        <v>0</v>
      </c>
      <c r="K337" s="3167">
        <f>名簿入力!L247</f>
        <v>0</v>
      </c>
      <c r="L337" s="3161">
        <f>名簿入力!M247</f>
        <v>0</v>
      </c>
      <c r="M337" s="3169"/>
      <c r="N337" s="3165">
        <f>名簿入力!O247</f>
        <v>0</v>
      </c>
      <c r="O337" s="3165">
        <f>名簿入力!P247</f>
        <v>0</v>
      </c>
      <c r="P337" s="3167">
        <f>名簿入力!Q247</f>
        <v>0</v>
      </c>
      <c r="Q337" s="3161">
        <f>名簿入力!R247</f>
        <v>0</v>
      </c>
      <c r="R337" s="3162"/>
      <c r="S337" s="3165">
        <f>名簿入力!T247</f>
        <v>0</v>
      </c>
      <c r="T337" s="3165">
        <f>名簿入力!U247</f>
        <v>0</v>
      </c>
      <c r="U337" s="3167">
        <f>名簿入力!V247</f>
        <v>0</v>
      </c>
      <c r="V337" s="3161">
        <f>名簿入力!W247</f>
        <v>0</v>
      </c>
      <c r="W337" s="3162"/>
      <c r="X337" s="3165">
        <f>名簿入力!Y247</f>
        <v>0</v>
      </c>
      <c r="Y337" s="3165">
        <f>名簿入力!Z247</f>
        <v>0</v>
      </c>
      <c r="Z337" s="3167">
        <f>名簿入力!AA247</f>
        <v>0</v>
      </c>
      <c r="AA337" s="3161">
        <f>名簿入力!AB247</f>
        <v>0</v>
      </c>
      <c r="AB337" s="3162"/>
      <c r="AC337" s="3165">
        <f>名簿入力!AD247</f>
        <v>0</v>
      </c>
      <c r="AD337" s="3165">
        <f>名簿入力!AE247</f>
        <v>0</v>
      </c>
      <c r="AE337" s="3167">
        <f>名簿入力!AF247</f>
        <v>0</v>
      </c>
      <c r="AF337" s="3161">
        <f>名簿入力!AG247</f>
        <v>0</v>
      </c>
      <c r="AG337" s="3162"/>
      <c r="AH337" s="3165">
        <f>名簿入力!AI247</f>
        <v>0</v>
      </c>
      <c r="AI337" s="3165">
        <f>名簿入力!AJ247</f>
        <v>0</v>
      </c>
      <c r="AJ337" s="3175">
        <f>名簿入力!AK247</f>
        <v>0</v>
      </c>
      <c r="AK337" s="3176"/>
      <c r="AL337" s="3176"/>
      <c r="AM337" s="3176"/>
      <c r="AN337" s="3176"/>
      <c r="AO337" s="3177"/>
      <c r="AP337" s="3137">
        <f>名簿入力!AO247</f>
        <v>0</v>
      </c>
      <c r="AQ337" s="3138"/>
      <c r="AR337" s="3138"/>
      <c r="AS337" s="3138"/>
      <c r="AT337" s="3139"/>
      <c r="AU337" s="113"/>
    </row>
    <row r="338" spans="2:50" ht="15" customHeight="1" x14ac:dyDescent="0.15">
      <c r="B338" s="3181"/>
      <c r="C338" s="3182"/>
      <c r="D338" s="3183"/>
      <c r="E338" s="3184"/>
      <c r="F338" s="3185"/>
      <c r="G338" s="3186"/>
      <c r="H338" s="3173"/>
      <c r="I338" s="3174"/>
      <c r="J338" s="3171"/>
      <c r="K338" s="3172"/>
      <c r="L338" s="3173"/>
      <c r="M338" s="3187"/>
      <c r="N338" s="3171"/>
      <c r="O338" s="3171"/>
      <c r="P338" s="3172"/>
      <c r="Q338" s="3173"/>
      <c r="R338" s="3174"/>
      <c r="S338" s="3171"/>
      <c r="T338" s="3171"/>
      <c r="U338" s="3172"/>
      <c r="V338" s="3173"/>
      <c r="W338" s="3174"/>
      <c r="X338" s="3171"/>
      <c r="Y338" s="3171"/>
      <c r="Z338" s="3172"/>
      <c r="AA338" s="3173"/>
      <c r="AB338" s="3174"/>
      <c r="AC338" s="3171"/>
      <c r="AD338" s="3171"/>
      <c r="AE338" s="3172"/>
      <c r="AF338" s="3173"/>
      <c r="AG338" s="3174"/>
      <c r="AH338" s="3171"/>
      <c r="AI338" s="3171"/>
      <c r="AJ338" s="3146">
        <f>名簿入力!AK248</f>
        <v>0</v>
      </c>
      <c r="AK338" s="3147"/>
      <c r="AL338" s="3147"/>
      <c r="AM338" s="3147"/>
      <c r="AN338" s="3147"/>
      <c r="AO338" s="3148"/>
      <c r="AP338" s="3178"/>
      <c r="AQ338" s="3179"/>
      <c r="AR338" s="3179"/>
      <c r="AS338" s="3179"/>
      <c r="AT338" s="3180"/>
      <c r="AU338" s="113"/>
    </row>
    <row r="339" spans="2:50" ht="15" customHeight="1" x14ac:dyDescent="0.15">
      <c r="B339" s="3149">
        <v>118</v>
      </c>
      <c r="C339" s="3151">
        <f>名簿入力!D249</f>
        <v>0</v>
      </c>
      <c r="D339" s="3152"/>
      <c r="E339" s="3155">
        <f>名簿入力!E249</f>
        <v>0</v>
      </c>
      <c r="F339" s="3157">
        <f>名簿入力!G249</f>
        <v>0</v>
      </c>
      <c r="G339" s="3159">
        <f>名簿入力!H249</f>
        <v>0</v>
      </c>
      <c r="H339" s="3161">
        <f>名簿入力!I249</f>
        <v>0</v>
      </c>
      <c r="I339" s="3162"/>
      <c r="J339" s="3165">
        <f>名簿入力!K249</f>
        <v>0</v>
      </c>
      <c r="K339" s="3167">
        <f>名簿入力!L249</f>
        <v>0</v>
      </c>
      <c r="L339" s="3161">
        <f>名簿入力!M249</f>
        <v>0</v>
      </c>
      <c r="M339" s="3169"/>
      <c r="N339" s="3165">
        <f>名簿入力!O249</f>
        <v>0</v>
      </c>
      <c r="O339" s="3165">
        <f>名簿入力!P249</f>
        <v>0</v>
      </c>
      <c r="P339" s="3167">
        <f>名簿入力!Q249</f>
        <v>0</v>
      </c>
      <c r="Q339" s="3161">
        <f>名簿入力!R249</f>
        <v>0</v>
      </c>
      <c r="R339" s="3162"/>
      <c r="S339" s="3165">
        <f>名簿入力!T249</f>
        <v>0</v>
      </c>
      <c r="T339" s="3165">
        <f>名簿入力!U249</f>
        <v>0</v>
      </c>
      <c r="U339" s="3167">
        <f>名簿入力!V249</f>
        <v>0</v>
      </c>
      <c r="V339" s="3161">
        <f>名簿入力!W249</f>
        <v>0</v>
      </c>
      <c r="W339" s="3162"/>
      <c r="X339" s="3165">
        <f>名簿入力!Y249</f>
        <v>0</v>
      </c>
      <c r="Y339" s="3165">
        <f>名簿入力!Z249</f>
        <v>0</v>
      </c>
      <c r="Z339" s="3167">
        <f>名簿入力!AA249</f>
        <v>0</v>
      </c>
      <c r="AA339" s="3161">
        <f>名簿入力!AB249</f>
        <v>0</v>
      </c>
      <c r="AB339" s="3162"/>
      <c r="AC339" s="3165">
        <f>名簿入力!AD249</f>
        <v>0</v>
      </c>
      <c r="AD339" s="3165">
        <f>名簿入力!AE249</f>
        <v>0</v>
      </c>
      <c r="AE339" s="3167">
        <f>名簿入力!AF249</f>
        <v>0</v>
      </c>
      <c r="AF339" s="3161">
        <f>名簿入力!AG249</f>
        <v>0</v>
      </c>
      <c r="AG339" s="3162"/>
      <c r="AH339" s="3165">
        <f>名簿入力!AI249</f>
        <v>0</v>
      </c>
      <c r="AI339" s="3165">
        <f>名簿入力!AJ249</f>
        <v>0</v>
      </c>
      <c r="AJ339" s="3175">
        <f>名簿入力!AK249</f>
        <v>0</v>
      </c>
      <c r="AK339" s="3176"/>
      <c r="AL339" s="3176"/>
      <c r="AM339" s="3176"/>
      <c r="AN339" s="3176"/>
      <c r="AO339" s="3177"/>
      <c r="AP339" s="3137">
        <f>名簿入力!AO249</f>
        <v>0</v>
      </c>
      <c r="AQ339" s="3138"/>
      <c r="AR339" s="3138"/>
      <c r="AS339" s="3138"/>
      <c r="AT339" s="3139"/>
      <c r="AU339" s="113"/>
    </row>
    <row r="340" spans="2:50" ht="15" customHeight="1" x14ac:dyDescent="0.15">
      <c r="B340" s="3181"/>
      <c r="C340" s="3182"/>
      <c r="D340" s="3183"/>
      <c r="E340" s="3184"/>
      <c r="F340" s="3185"/>
      <c r="G340" s="3186"/>
      <c r="H340" s="3173"/>
      <c r="I340" s="3174"/>
      <c r="J340" s="3171"/>
      <c r="K340" s="3172"/>
      <c r="L340" s="3173"/>
      <c r="M340" s="3187"/>
      <c r="N340" s="3171"/>
      <c r="O340" s="3171"/>
      <c r="P340" s="3172"/>
      <c r="Q340" s="3173"/>
      <c r="R340" s="3174"/>
      <c r="S340" s="3171"/>
      <c r="T340" s="3171"/>
      <c r="U340" s="3172"/>
      <c r="V340" s="3173"/>
      <c r="W340" s="3174"/>
      <c r="X340" s="3171"/>
      <c r="Y340" s="3171"/>
      <c r="Z340" s="3172"/>
      <c r="AA340" s="3173"/>
      <c r="AB340" s="3174"/>
      <c r="AC340" s="3171"/>
      <c r="AD340" s="3171"/>
      <c r="AE340" s="3172"/>
      <c r="AF340" s="3173"/>
      <c r="AG340" s="3174"/>
      <c r="AH340" s="3171"/>
      <c r="AI340" s="3171"/>
      <c r="AJ340" s="3146">
        <f>名簿入力!AK250</f>
        <v>0</v>
      </c>
      <c r="AK340" s="3147"/>
      <c r="AL340" s="3147"/>
      <c r="AM340" s="3147"/>
      <c r="AN340" s="3147"/>
      <c r="AO340" s="3148"/>
      <c r="AP340" s="3178"/>
      <c r="AQ340" s="3179"/>
      <c r="AR340" s="3179"/>
      <c r="AS340" s="3179"/>
      <c r="AT340" s="3180"/>
      <c r="AU340" s="113"/>
    </row>
    <row r="341" spans="2:50" ht="15" customHeight="1" x14ac:dyDescent="0.15">
      <c r="B341" s="3149">
        <v>119</v>
      </c>
      <c r="C341" s="3151">
        <f>名簿入力!D251</f>
        <v>0</v>
      </c>
      <c r="D341" s="3152"/>
      <c r="E341" s="3155">
        <f>名簿入力!E251</f>
        <v>0</v>
      </c>
      <c r="F341" s="3157">
        <f>名簿入力!G251</f>
        <v>0</v>
      </c>
      <c r="G341" s="3159">
        <f>名簿入力!H251</f>
        <v>0</v>
      </c>
      <c r="H341" s="3161">
        <f>名簿入力!I251</f>
        <v>0</v>
      </c>
      <c r="I341" s="3162"/>
      <c r="J341" s="3165">
        <f>名簿入力!K251</f>
        <v>0</v>
      </c>
      <c r="K341" s="3167">
        <f>名簿入力!L251</f>
        <v>0</v>
      </c>
      <c r="L341" s="3161">
        <f>名簿入力!M251</f>
        <v>0</v>
      </c>
      <c r="M341" s="3169"/>
      <c r="N341" s="3165">
        <f>名簿入力!O251</f>
        <v>0</v>
      </c>
      <c r="O341" s="3165">
        <f>名簿入力!P251</f>
        <v>0</v>
      </c>
      <c r="P341" s="3167">
        <f>名簿入力!Q251</f>
        <v>0</v>
      </c>
      <c r="Q341" s="3161">
        <f>名簿入力!R251</f>
        <v>0</v>
      </c>
      <c r="R341" s="3162"/>
      <c r="S341" s="3165">
        <f>名簿入力!T251</f>
        <v>0</v>
      </c>
      <c r="T341" s="3165">
        <f>名簿入力!U251</f>
        <v>0</v>
      </c>
      <c r="U341" s="3167">
        <f>名簿入力!V251</f>
        <v>0</v>
      </c>
      <c r="V341" s="3161">
        <f>名簿入力!W251</f>
        <v>0</v>
      </c>
      <c r="W341" s="3162"/>
      <c r="X341" s="3165">
        <f>名簿入力!Y251</f>
        <v>0</v>
      </c>
      <c r="Y341" s="3165">
        <f>名簿入力!Z251</f>
        <v>0</v>
      </c>
      <c r="Z341" s="3167">
        <f>名簿入力!AA251</f>
        <v>0</v>
      </c>
      <c r="AA341" s="3161">
        <f>名簿入力!AB251</f>
        <v>0</v>
      </c>
      <c r="AB341" s="3162"/>
      <c r="AC341" s="3165">
        <f>名簿入力!AD251</f>
        <v>0</v>
      </c>
      <c r="AD341" s="3165">
        <f>名簿入力!AE251</f>
        <v>0</v>
      </c>
      <c r="AE341" s="3167">
        <f>名簿入力!AF251</f>
        <v>0</v>
      </c>
      <c r="AF341" s="3161">
        <f>名簿入力!AG251</f>
        <v>0</v>
      </c>
      <c r="AG341" s="3162"/>
      <c r="AH341" s="3165">
        <f>名簿入力!AI251</f>
        <v>0</v>
      </c>
      <c r="AI341" s="3165">
        <f>名簿入力!AJ251</f>
        <v>0</v>
      </c>
      <c r="AJ341" s="3175">
        <f>名簿入力!AK251</f>
        <v>0</v>
      </c>
      <c r="AK341" s="3176"/>
      <c r="AL341" s="3176"/>
      <c r="AM341" s="3176"/>
      <c r="AN341" s="3176"/>
      <c r="AO341" s="3177"/>
      <c r="AP341" s="3137">
        <f>名簿入力!AO251</f>
        <v>0</v>
      </c>
      <c r="AQ341" s="3138"/>
      <c r="AR341" s="3138"/>
      <c r="AS341" s="3138"/>
      <c r="AT341" s="3139"/>
      <c r="AU341" s="113"/>
    </row>
    <row r="342" spans="2:50" ht="15" customHeight="1" x14ac:dyDescent="0.15">
      <c r="B342" s="3181"/>
      <c r="C342" s="3182"/>
      <c r="D342" s="3183"/>
      <c r="E342" s="3184"/>
      <c r="F342" s="3185"/>
      <c r="G342" s="3186"/>
      <c r="H342" s="3173"/>
      <c r="I342" s="3174"/>
      <c r="J342" s="3171"/>
      <c r="K342" s="3172"/>
      <c r="L342" s="3173"/>
      <c r="M342" s="3187"/>
      <c r="N342" s="3171"/>
      <c r="O342" s="3171"/>
      <c r="P342" s="3172"/>
      <c r="Q342" s="3173"/>
      <c r="R342" s="3174"/>
      <c r="S342" s="3171"/>
      <c r="T342" s="3171"/>
      <c r="U342" s="3172"/>
      <c r="V342" s="3173"/>
      <c r="W342" s="3174"/>
      <c r="X342" s="3171"/>
      <c r="Y342" s="3171"/>
      <c r="Z342" s="3172"/>
      <c r="AA342" s="3173"/>
      <c r="AB342" s="3174"/>
      <c r="AC342" s="3171"/>
      <c r="AD342" s="3171"/>
      <c r="AE342" s="3172"/>
      <c r="AF342" s="3173"/>
      <c r="AG342" s="3174"/>
      <c r="AH342" s="3171"/>
      <c r="AI342" s="3171"/>
      <c r="AJ342" s="3146">
        <f>名簿入力!AK252</f>
        <v>0</v>
      </c>
      <c r="AK342" s="3147"/>
      <c r="AL342" s="3147"/>
      <c r="AM342" s="3147"/>
      <c r="AN342" s="3147"/>
      <c r="AO342" s="3148"/>
      <c r="AP342" s="3178"/>
      <c r="AQ342" s="3179"/>
      <c r="AR342" s="3179"/>
      <c r="AS342" s="3179"/>
      <c r="AT342" s="3180"/>
      <c r="AU342" s="113"/>
    </row>
    <row r="343" spans="2:50" ht="15" customHeight="1" x14ac:dyDescent="0.15">
      <c r="B343" s="3149">
        <v>120</v>
      </c>
      <c r="C343" s="3151">
        <f>名簿入力!D253</f>
        <v>0</v>
      </c>
      <c r="D343" s="3152"/>
      <c r="E343" s="3155">
        <f>名簿入力!E253</f>
        <v>0</v>
      </c>
      <c r="F343" s="3157">
        <f>名簿入力!G253</f>
        <v>0</v>
      </c>
      <c r="G343" s="3159">
        <f>名簿入力!H253</f>
        <v>0</v>
      </c>
      <c r="H343" s="3161">
        <f>名簿入力!I253</f>
        <v>0</v>
      </c>
      <c r="I343" s="3162"/>
      <c r="J343" s="3165">
        <f>名簿入力!K253</f>
        <v>0</v>
      </c>
      <c r="K343" s="3167">
        <f>名簿入力!L253</f>
        <v>0</v>
      </c>
      <c r="L343" s="3161">
        <f>名簿入力!M253</f>
        <v>0</v>
      </c>
      <c r="M343" s="3169"/>
      <c r="N343" s="3165">
        <f>名簿入力!O253</f>
        <v>0</v>
      </c>
      <c r="O343" s="3165">
        <f>名簿入力!P253</f>
        <v>0</v>
      </c>
      <c r="P343" s="3167">
        <f>名簿入力!Q253</f>
        <v>0</v>
      </c>
      <c r="Q343" s="3161">
        <f>名簿入力!R253</f>
        <v>0</v>
      </c>
      <c r="R343" s="3162"/>
      <c r="S343" s="3165">
        <f>名簿入力!T253</f>
        <v>0</v>
      </c>
      <c r="T343" s="3165">
        <f>名簿入力!U253</f>
        <v>0</v>
      </c>
      <c r="U343" s="3167">
        <f>名簿入力!V253</f>
        <v>0</v>
      </c>
      <c r="V343" s="3161">
        <f>名簿入力!W253</f>
        <v>0</v>
      </c>
      <c r="W343" s="3162"/>
      <c r="X343" s="3165">
        <f>名簿入力!Y253</f>
        <v>0</v>
      </c>
      <c r="Y343" s="3165">
        <f>名簿入力!Z253</f>
        <v>0</v>
      </c>
      <c r="Z343" s="3167">
        <f>名簿入力!AA253</f>
        <v>0</v>
      </c>
      <c r="AA343" s="3161">
        <f>名簿入力!AB253</f>
        <v>0</v>
      </c>
      <c r="AB343" s="3162"/>
      <c r="AC343" s="3165">
        <f>名簿入力!AD253</f>
        <v>0</v>
      </c>
      <c r="AD343" s="3165">
        <f>名簿入力!AE253</f>
        <v>0</v>
      </c>
      <c r="AE343" s="3167">
        <f>名簿入力!AF253</f>
        <v>0</v>
      </c>
      <c r="AF343" s="3161">
        <f>名簿入力!AG253</f>
        <v>0</v>
      </c>
      <c r="AG343" s="3162"/>
      <c r="AH343" s="3165">
        <f>名簿入力!AI253</f>
        <v>0</v>
      </c>
      <c r="AI343" s="3165">
        <f>名簿入力!AJ253</f>
        <v>0</v>
      </c>
      <c r="AJ343" s="3175">
        <f>名簿入力!AK253</f>
        <v>0</v>
      </c>
      <c r="AK343" s="3176"/>
      <c r="AL343" s="3176"/>
      <c r="AM343" s="3176"/>
      <c r="AN343" s="3176"/>
      <c r="AO343" s="3177"/>
      <c r="AP343" s="3137">
        <f>名簿入力!AO253</f>
        <v>0</v>
      </c>
      <c r="AQ343" s="3138"/>
      <c r="AR343" s="3138"/>
      <c r="AS343" s="3138"/>
      <c r="AT343" s="3139"/>
      <c r="AU343" s="113"/>
    </row>
    <row r="344" spans="2:50" ht="15" customHeight="1" thickBot="1" x14ac:dyDescent="0.2">
      <c r="B344" s="3150"/>
      <c r="C344" s="3153"/>
      <c r="D344" s="3154"/>
      <c r="E344" s="3156"/>
      <c r="F344" s="3158"/>
      <c r="G344" s="3160"/>
      <c r="H344" s="3163"/>
      <c r="I344" s="3164"/>
      <c r="J344" s="3166"/>
      <c r="K344" s="3168"/>
      <c r="L344" s="3163"/>
      <c r="M344" s="3170"/>
      <c r="N344" s="3166"/>
      <c r="O344" s="3166"/>
      <c r="P344" s="3168"/>
      <c r="Q344" s="3163"/>
      <c r="R344" s="3164"/>
      <c r="S344" s="3166"/>
      <c r="T344" s="3166"/>
      <c r="U344" s="3168"/>
      <c r="V344" s="3163"/>
      <c r="W344" s="3164"/>
      <c r="X344" s="3166"/>
      <c r="Y344" s="3166"/>
      <c r="Z344" s="3168"/>
      <c r="AA344" s="3163"/>
      <c r="AB344" s="3164"/>
      <c r="AC344" s="3166"/>
      <c r="AD344" s="3166"/>
      <c r="AE344" s="3168"/>
      <c r="AF344" s="3163"/>
      <c r="AG344" s="3164"/>
      <c r="AH344" s="3166"/>
      <c r="AI344" s="3166"/>
      <c r="AJ344" s="3143">
        <f>名簿入力!AK254</f>
        <v>0</v>
      </c>
      <c r="AK344" s="3144"/>
      <c r="AL344" s="3144"/>
      <c r="AM344" s="3144"/>
      <c r="AN344" s="3144"/>
      <c r="AO344" s="3145"/>
      <c r="AP344" s="3140"/>
      <c r="AQ344" s="3141"/>
      <c r="AR344" s="3141"/>
      <c r="AS344" s="3141"/>
      <c r="AT344" s="3142"/>
      <c r="AU344" s="113"/>
    </row>
    <row r="345" spans="2:50" ht="46.5" customHeight="1" x14ac:dyDescent="0.15">
      <c r="B345" s="524"/>
      <c r="C345" s="525"/>
      <c r="D345" s="525"/>
      <c r="E345" s="526"/>
      <c r="F345" s="527"/>
      <c r="G345" s="527"/>
      <c r="H345" s="528"/>
      <c r="I345" s="528"/>
      <c r="J345" s="529"/>
      <c r="K345" s="529"/>
      <c r="L345" s="528"/>
      <c r="M345" s="528"/>
      <c r="N345" s="529"/>
      <c r="O345" s="529"/>
      <c r="P345" s="529"/>
      <c r="Q345" s="528"/>
      <c r="R345" s="528"/>
      <c r="S345" s="529"/>
      <c r="T345" s="529"/>
      <c r="U345" s="529"/>
      <c r="V345" s="528"/>
      <c r="W345" s="528"/>
      <c r="X345" s="529"/>
      <c r="Y345" s="529"/>
      <c r="Z345" s="529"/>
      <c r="AA345" s="528"/>
      <c r="AB345" s="528"/>
      <c r="AC345" s="529"/>
      <c r="AD345" s="529"/>
      <c r="AE345" s="529"/>
      <c r="AF345" s="528"/>
      <c r="AG345" s="528"/>
      <c r="AH345" s="529"/>
      <c r="AI345" s="1112"/>
      <c r="AJ345" s="1113"/>
      <c r="AK345" s="1113"/>
      <c r="AL345" s="1113"/>
      <c r="AM345" s="1113"/>
      <c r="AN345" s="1113"/>
      <c r="AO345" s="1113"/>
      <c r="AP345" s="1114"/>
      <c r="AQ345" s="1114"/>
      <c r="AR345" s="1114"/>
      <c r="AS345" s="1114"/>
      <c r="AT345" s="1114"/>
      <c r="AU345" s="113"/>
    </row>
    <row r="346" spans="2:50" ht="26.25" customHeight="1" x14ac:dyDescent="0.15">
      <c r="C346" s="3279" t="s">
        <v>282</v>
      </c>
      <c r="D346" s="3279"/>
      <c r="E346" s="3279"/>
      <c r="F346" s="3279"/>
      <c r="G346" s="3279"/>
      <c r="H346" s="3279"/>
      <c r="I346" s="3279"/>
      <c r="J346" s="3279"/>
      <c r="K346" s="3279"/>
      <c r="L346" s="3279"/>
      <c r="M346" s="3279"/>
      <c r="N346" s="3279"/>
      <c r="O346" s="3279"/>
      <c r="P346" s="3279"/>
      <c r="Q346" s="3279"/>
      <c r="R346" s="3279"/>
      <c r="S346" s="3279"/>
      <c r="T346" s="3279"/>
      <c r="U346" s="3279"/>
      <c r="V346" s="3279"/>
      <c r="W346" s="3279"/>
      <c r="X346" s="3279"/>
      <c r="Y346" s="3279"/>
      <c r="Z346" s="3279"/>
      <c r="AA346" s="1014"/>
      <c r="AB346" s="1014"/>
      <c r="AC346" s="1014"/>
      <c r="AD346" s="1014"/>
      <c r="AE346" s="1014"/>
      <c r="AF346" s="1014"/>
      <c r="AG346" s="1014"/>
      <c r="AH346" s="1014"/>
      <c r="AI346" s="1014"/>
      <c r="AJ346" s="1014"/>
      <c r="AK346" s="1014"/>
      <c r="AL346" s="1014"/>
      <c r="AM346" s="1014"/>
      <c r="AN346" s="1014"/>
      <c r="AP346" s="499"/>
      <c r="AQ346" s="3230" t="s">
        <v>175</v>
      </c>
      <c r="AR346" s="3230"/>
      <c r="AS346" s="3230">
        <v>9</v>
      </c>
      <c r="AT346" s="3230"/>
    </row>
    <row r="347" spans="2:50" ht="3.75" customHeight="1" thickBot="1" x14ac:dyDescent="0.2">
      <c r="B347" s="854"/>
      <c r="C347" s="854"/>
      <c r="D347" s="854"/>
      <c r="E347" s="854"/>
      <c r="F347" s="854"/>
      <c r="G347" s="854"/>
      <c r="H347" s="854"/>
      <c r="I347" s="854"/>
      <c r="J347" s="854"/>
      <c r="K347" s="854"/>
      <c r="L347" s="854"/>
      <c r="M347" s="854"/>
      <c r="N347" s="854"/>
      <c r="O347" s="854"/>
      <c r="P347" s="854"/>
      <c r="Q347" s="854"/>
      <c r="R347" s="854"/>
      <c r="S347" s="854"/>
      <c r="T347" s="854"/>
      <c r="U347" s="854"/>
      <c r="V347" s="854"/>
      <c r="W347" s="854"/>
      <c r="X347" s="854"/>
      <c r="Y347" s="854"/>
      <c r="Z347" s="854"/>
      <c r="AA347" s="854"/>
      <c r="AB347" s="854"/>
      <c r="AC347" s="854"/>
      <c r="AD347" s="854"/>
      <c r="AE347" s="854"/>
      <c r="AF347" s="854"/>
      <c r="AG347" s="854"/>
      <c r="AH347" s="854"/>
      <c r="AI347" s="854"/>
      <c r="AJ347" s="854"/>
      <c r="AK347" s="854"/>
      <c r="AL347" s="854"/>
      <c r="AM347" s="854"/>
      <c r="AN347" s="854"/>
      <c r="AP347" s="499"/>
      <c r="AQ347" s="855"/>
      <c r="AR347" s="855"/>
      <c r="AS347" s="855"/>
      <c r="AT347" s="855"/>
    </row>
    <row r="348" spans="2:50" ht="15" customHeight="1" x14ac:dyDescent="0.15">
      <c r="B348" s="3231" t="s">
        <v>174</v>
      </c>
      <c r="C348" s="3232"/>
      <c r="D348" s="3235" t="str">
        <f>$D$4</f>
        <v xml:space="preserve"> </v>
      </c>
      <c r="E348" s="3235"/>
      <c r="F348" s="3235"/>
      <c r="G348" s="3235"/>
      <c r="H348" s="3235"/>
      <c r="I348" s="3235"/>
      <c r="J348" s="3235"/>
      <c r="K348" s="3235"/>
      <c r="L348" s="3235"/>
      <c r="M348" s="3235"/>
      <c r="N348" s="3235"/>
      <c r="O348" s="3235"/>
      <c r="P348" s="3235"/>
      <c r="Q348" s="3235"/>
      <c r="R348" s="3235"/>
      <c r="S348" s="3235"/>
      <c r="T348" s="3235"/>
      <c r="U348" s="3235"/>
      <c r="V348" s="3235"/>
      <c r="W348" s="3235"/>
      <c r="X348" s="3235"/>
      <c r="Y348" s="3235"/>
      <c r="Z348" s="3236"/>
      <c r="AA348" s="502"/>
      <c r="AB348" s="503"/>
      <c r="AC348" s="497"/>
      <c r="AD348" s="497"/>
      <c r="AE348" s="497"/>
      <c r="AF348" s="48"/>
      <c r="AG348" s="48"/>
      <c r="AJ348" s="48"/>
      <c r="AK348" s="48"/>
    </row>
    <row r="349" spans="2:50" ht="22.5" customHeight="1" x14ac:dyDescent="0.15">
      <c r="B349" s="3233"/>
      <c r="C349" s="3234"/>
      <c r="D349" s="3237"/>
      <c r="E349" s="3237"/>
      <c r="F349" s="3237"/>
      <c r="G349" s="3237"/>
      <c r="H349" s="3237"/>
      <c r="I349" s="3237"/>
      <c r="J349" s="3237"/>
      <c r="K349" s="3237"/>
      <c r="L349" s="3237"/>
      <c r="M349" s="3237"/>
      <c r="N349" s="3237"/>
      <c r="O349" s="3237"/>
      <c r="P349" s="3237"/>
      <c r="Q349" s="3237"/>
      <c r="R349" s="3237"/>
      <c r="S349" s="3237"/>
      <c r="T349" s="3237"/>
      <c r="U349" s="3237"/>
      <c r="V349" s="3237"/>
      <c r="W349" s="3237"/>
      <c r="X349" s="3237"/>
      <c r="Y349" s="3237"/>
      <c r="Z349" s="3238"/>
      <c r="AA349" s="502"/>
      <c r="AB349" s="504"/>
      <c r="AC349" s="497"/>
      <c r="AD349" s="497"/>
      <c r="AE349" s="497"/>
      <c r="AF349" s="497"/>
      <c r="AG349" s="48"/>
      <c r="AJ349" s="48"/>
      <c r="AK349" s="48"/>
    </row>
    <row r="350" spans="2:50" ht="24.75" customHeight="1" thickBot="1" x14ac:dyDescent="0.2">
      <c r="B350" s="3239" t="s">
        <v>173</v>
      </c>
      <c r="C350" s="3240"/>
      <c r="D350" s="3241">
        <f>$D$6</f>
        <v>0</v>
      </c>
      <c r="E350" s="3241"/>
      <c r="F350" s="513" t="s">
        <v>60</v>
      </c>
      <c r="G350" s="3241">
        <f>$G$6</f>
        <v>0</v>
      </c>
      <c r="H350" s="3241"/>
      <c r="I350" s="514" t="s">
        <v>61</v>
      </c>
      <c r="J350" s="3241">
        <f>$J$6</f>
        <v>0</v>
      </c>
      <c r="K350" s="3241"/>
      <c r="L350" s="514" t="s">
        <v>62</v>
      </c>
      <c r="M350" s="515" t="s">
        <v>96</v>
      </c>
      <c r="N350" s="514" t="str">
        <f>$N$6</f>
        <v/>
      </c>
      <c r="O350" s="514" t="s">
        <v>104</v>
      </c>
      <c r="P350" s="3242" t="s">
        <v>110</v>
      </c>
      <c r="Q350" s="3242"/>
      <c r="R350" s="3243" t="str">
        <f>$R$6</f>
        <v/>
      </c>
      <c r="S350" s="3243"/>
      <c r="T350" s="514" t="s">
        <v>61</v>
      </c>
      <c r="U350" s="3244" t="str">
        <f>$U$6</f>
        <v/>
      </c>
      <c r="V350" s="3244"/>
      <c r="W350" s="514" t="s">
        <v>62</v>
      </c>
      <c r="X350" s="515" t="s">
        <v>96</v>
      </c>
      <c r="Y350" s="516" t="str">
        <f>$Y$6</f>
        <v/>
      </c>
      <c r="Z350" s="517" t="s">
        <v>104</v>
      </c>
      <c r="AA350" s="507"/>
      <c r="AB350" s="48"/>
      <c r="AF350" s="48"/>
      <c r="AG350" s="48"/>
      <c r="AJ350" s="48"/>
      <c r="AK350" s="48"/>
    </row>
    <row r="351" spans="2:50" ht="13.5" customHeight="1" thickBot="1" x14ac:dyDescent="0.2">
      <c r="B351" s="508"/>
      <c r="C351" s="508"/>
      <c r="D351" s="509"/>
      <c r="E351" s="509"/>
      <c r="F351" s="509"/>
      <c r="G351" s="509"/>
      <c r="H351" s="509"/>
      <c r="I351" s="509"/>
      <c r="J351" s="509"/>
      <c r="K351" s="509"/>
      <c r="L351" s="509"/>
      <c r="M351" s="509"/>
      <c r="N351" s="509"/>
      <c r="O351" s="509"/>
      <c r="P351" s="509"/>
      <c r="Q351" s="509"/>
      <c r="R351" s="509"/>
      <c r="S351" s="509"/>
      <c r="T351" s="509"/>
      <c r="U351" s="509"/>
      <c r="V351" s="509"/>
      <c r="W351" s="509"/>
      <c r="X351" s="510"/>
      <c r="Y351" s="510"/>
      <c r="Z351" s="510"/>
      <c r="AA351" s="511"/>
      <c r="AB351" s="48"/>
      <c r="AF351" s="48"/>
      <c r="AG351" s="48"/>
      <c r="AJ351" s="48"/>
      <c r="AK351" s="48"/>
    </row>
    <row r="352" spans="2:50" ht="15" customHeight="1" x14ac:dyDescent="0.15">
      <c r="B352" s="3200" t="s">
        <v>287</v>
      </c>
      <c r="C352" s="3203" t="s">
        <v>167</v>
      </c>
      <c r="D352" s="1959"/>
      <c r="E352" s="1962" t="s">
        <v>341</v>
      </c>
      <c r="F352" s="2097" t="s">
        <v>166</v>
      </c>
      <c r="G352" s="2098"/>
      <c r="H352" s="3245" t="s">
        <v>165</v>
      </c>
      <c r="I352" s="3246"/>
      <c r="J352" s="3246"/>
      <c r="K352" s="3247"/>
      <c r="L352" s="3245" t="s">
        <v>164</v>
      </c>
      <c r="M352" s="3246"/>
      <c r="N352" s="3246"/>
      <c r="O352" s="3246"/>
      <c r="P352" s="3247"/>
      <c r="Q352" s="3245" t="s">
        <v>163</v>
      </c>
      <c r="R352" s="3246"/>
      <c r="S352" s="3246"/>
      <c r="T352" s="3246"/>
      <c r="U352" s="3247"/>
      <c r="V352" s="3245" t="s">
        <v>249</v>
      </c>
      <c r="W352" s="3246"/>
      <c r="X352" s="3246"/>
      <c r="Y352" s="3246"/>
      <c r="Z352" s="3247"/>
      <c r="AA352" s="3245" t="s">
        <v>250</v>
      </c>
      <c r="AB352" s="3246"/>
      <c r="AC352" s="3246"/>
      <c r="AD352" s="3246"/>
      <c r="AE352" s="3247"/>
      <c r="AF352" s="3245" t="s">
        <v>251</v>
      </c>
      <c r="AG352" s="3246"/>
      <c r="AH352" s="3246"/>
      <c r="AI352" s="3246"/>
      <c r="AJ352" s="3248" t="s">
        <v>438</v>
      </c>
      <c r="AK352" s="3249"/>
      <c r="AL352" s="3249"/>
      <c r="AM352" s="3249"/>
      <c r="AN352" s="3249"/>
      <c r="AO352" s="3250"/>
      <c r="AP352" s="3248" t="s">
        <v>162</v>
      </c>
      <c r="AQ352" s="3249"/>
      <c r="AR352" s="3249"/>
      <c r="AS352" s="3249"/>
      <c r="AT352" s="3250"/>
      <c r="AU352" s="117"/>
      <c r="AW352" s="501"/>
      <c r="AX352" s="501"/>
    </row>
    <row r="353" spans="2:47" ht="26.25" customHeight="1" x14ac:dyDescent="0.15">
      <c r="B353" s="3201"/>
      <c r="C353" s="3204"/>
      <c r="D353" s="1960"/>
      <c r="E353" s="1963"/>
      <c r="F353" s="2099"/>
      <c r="G353" s="1972"/>
      <c r="H353" s="3251" t="str">
        <f>$H$9</f>
        <v/>
      </c>
      <c r="I353" s="3252"/>
      <c r="J353" s="3252"/>
      <c r="K353" s="3253"/>
      <c r="L353" s="3254" t="str">
        <f>$L$9</f>
        <v/>
      </c>
      <c r="M353" s="3255"/>
      <c r="N353" s="3255"/>
      <c r="O353" s="3255"/>
      <c r="P353" s="3256"/>
      <c r="Q353" s="3254" t="str">
        <f>$Q$9</f>
        <v/>
      </c>
      <c r="R353" s="3255"/>
      <c r="S353" s="3255"/>
      <c r="T353" s="3255"/>
      <c r="U353" s="3256"/>
      <c r="V353" s="3254" t="str">
        <f>$V$9</f>
        <v/>
      </c>
      <c r="W353" s="3255"/>
      <c r="X353" s="3255"/>
      <c r="Y353" s="3255"/>
      <c r="Z353" s="3256"/>
      <c r="AA353" s="3254" t="str">
        <f>$AA$9</f>
        <v/>
      </c>
      <c r="AB353" s="3255"/>
      <c r="AC353" s="3255"/>
      <c r="AD353" s="3255"/>
      <c r="AE353" s="3256"/>
      <c r="AF353" s="3254" t="str">
        <f>$AF$9</f>
        <v/>
      </c>
      <c r="AG353" s="3255"/>
      <c r="AH353" s="3255"/>
      <c r="AI353" s="3255"/>
      <c r="AJ353" s="3257" t="s">
        <v>441</v>
      </c>
      <c r="AK353" s="3258"/>
      <c r="AL353" s="3258"/>
      <c r="AM353" s="3258"/>
      <c r="AN353" s="3258"/>
      <c r="AO353" s="3259"/>
      <c r="AP353" s="3263" t="s">
        <v>442</v>
      </c>
      <c r="AQ353" s="3264"/>
      <c r="AR353" s="3264"/>
      <c r="AS353" s="3264"/>
      <c r="AT353" s="3265"/>
      <c r="AU353" s="116"/>
    </row>
    <row r="354" spans="2:47" ht="16.5" customHeight="1" x14ac:dyDescent="0.15">
      <c r="B354" s="3201"/>
      <c r="C354" s="3204"/>
      <c r="D354" s="1960"/>
      <c r="E354" s="1963"/>
      <c r="F354" s="3266" t="s">
        <v>78</v>
      </c>
      <c r="G354" s="3206" t="s">
        <v>79</v>
      </c>
      <c r="H354" s="1974" t="s">
        <v>176</v>
      </c>
      <c r="I354" s="3208"/>
      <c r="J354" s="3210" t="s">
        <v>161</v>
      </c>
      <c r="K354" s="3211"/>
      <c r="L354" s="1974" t="s">
        <v>176</v>
      </c>
      <c r="M354" s="3208"/>
      <c r="N354" s="3210" t="s">
        <v>160</v>
      </c>
      <c r="O354" s="3213"/>
      <c r="P354" s="3211"/>
      <c r="Q354" s="1974" t="s">
        <v>176</v>
      </c>
      <c r="R354" s="3208"/>
      <c r="S354" s="3210" t="s">
        <v>160</v>
      </c>
      <c r="T354" s="3213"/>
      <c r="U354" s="3211"/>
      <c r="V354" s="1974" t="s">
        <v>176</v>
      </c>
      <c r="W354" s="3208"/>
      <c r="X354" s="3210" t="s">
        <v>160</v>
      </c>
      <c r="Y354" s="3213"/>
      <c r="Z354" s="3211"/>
      <c r="AA354" s="1974" t="s">
        <v>176</v>
      </c>
      <c r="AB354" s="3208"/>
      <c r="AC354" s="3210" t="s">
        <v>160</v>
      </c>
      <c r="AD354" s="3213"/>
      <c r="AE354" s="3211"/>
      <c r="AF354" s="1974" t="s">
        <v>176</v>
      </c>
      <c r="AG354" s="3208"/>
      <c r="AH354" s="3210" t="s">
        <v>160</v>
      </c>
      <c r="AI354" s="3213"/>
      <c r="AJ354" s="3257"/>
      <c r="AK354" s="3258"/>
      <c r="AL354" s="3258"/>
      <c r="AM354" s="3258"/>
      <c r="AN354" s="3258"/>
      <c r="AO354" s="3259"/>
      <c r="AP354" s="3257"/>
      <c r="AQ354" s="3258"/>
      <c r="AR354" s="3258"/>
      <c r="AS354" s="3258"/>
      <c r="AT354" s="3259"/>
      <c r="AU354" s="115"/>
    </row>
    <row r="355" spans="2:47" ht="19.5" customHeight="1" thickBot="1" x14ac:dyDescent="0.2">
      <c r="B355" s="3202"/>
      <c r="C355" s="3205"/>
      <c r="D355" s="1961"/>
      <c r="E355" s="1964"/>
      <c r="F355" s="3267"/>
      <c r="G355" s="3207"/>
      <c r="H355" s="1978"/>
      <c r="I355" s="3209"/>
      <c r="J355" s="523" t="s">
        <v>153</v>
      </c>
      <c r="K355" s="522" t="s">
        <v>280</v>
      </c>
      <c r="L355" s="1978"/>
      <c r="M355" s="3212"/>
      <c r="N355" s="523" t="s">
        <v>154</v>
      </c>
      <c r="O355" s="523" t="s">
        <v>153</v>
      </c>
      <c r="P355" s="522" t="s">
        <v>280</v>
      </c>
      <c r="Q355" s="1978"/>
      <c r="R355" s="3209"/>
      <c r="S355" s="523" t="s">
        <v>154</v>
      </c>
      <c r="T355" s="523" t="s">
        <v>153</v>
      </c>
      <c r="U355" s="522" t="s">
        <v>280</v>
      </c>
      <c r="V355" s="1978"/>
      <c r="W355" s="3209"/>
      <c r="X355" s="523" t="s">
        <v>154</v>
      </c>
      <c r="Y355" s="523" t="s">
        <v>153</v>
      </c>
      <c r="Z355" s="522" t="s">
        <v>280</v>
      </c>
      <c r="AA355" s="1978"/>
      <c r="AB355" s="3209"/>
      <c r="AC355" s="523" t="s">
        <v>154</v>
      </c>
      <c r="AD355" s="523" t="s">
        <v>153</v>
      </c>
      <c r="AE355" s="522" t="s">
        <v>280</v>
      </c>
      <c r="AF355" s="1978"/>
      <c r="AG355" s="3209"/>
      <c r="AH355" s="523" t="s">
        <v>154</v>
      </c>
      <c r="AI355" s="523" t="s">
        <v>153</v>
      </c>
      <c r="AJ355" s="3260"/>
      <c r="AK355" s="3261"/>
      <c r="AL355" s="3261"/>
      <c r="AM355" s="3261"/>
      <c r="AN355" s="3261"/>
      <c r="AO355" s="3262"/>
      <c r="AP355" s="3260"/>
      <c r="AQ355" s="3261"/>
      <c r="AR355" s="3261"/>
      <c r="AS355" s="3261"/>
      <c r="AT355" s="3262"/>
      <c r="AU355" s="114"/>
    </row>
    <row r="356" spans="2:47" ht="15" customHeight="1" x14ac:dyDescent="0.15">
      <c r="B356" s="3214" t="s">
        <v>159</v>
      </c>
      <c r="C356" s="3216" t="s">
        <v>158</v>
      </c>
      <c r="D356" s="3217"/>
      <c r="E356" s="3220" t="s">
        <v>157</v>
      </c>
      <c r="F356" s="3222" t="s">
        <v>98</v>
      </c>
      <c r="G356" s="3224"/>
      <c r="H356" s="3190" t="s">
        <v>155</v>
      </c>
      <c r="I356" s="3191"/>
      <c r="J356" s="3194" t="s">
        <v>98</v>
      </c>
      <c r="K356" s="3188" t="s">
        <v>98</v>
      </c>
      <c r="L356" s="3190" t="s">
        <v>155</v>
      </c>
      <c r="M356" s="3226"/>
      <c r="N356" s="3194" t="s">
        <v>98</v>
      </c>
      <c r="O356" s="3194" t="s">
        <v>98</v>
      </c>
      <c r="P356" s="3188" t="s">
        <v>98</v>
      </c>
      <c r="Q356" s="2087" t="s">
        <v>414</v>
      </c>
      <c r="R356" s="3196"/>
      <c r="S356" s="3194" t="s">
        <v>98</v>
      </c>
      <c r="T356" s="3198"/>
      <c r="U356" s="3228"/>
      <c r="V356" s="3190"/>
      <c r="W356" s="3191"/>
      <c r="X356" s="3194"/>
      <c r="Y356" s="3194"/>
      <c r="Z356" s="3188"/>
      <c r="AA356" s="3190"/>
      <c r="AB356" s="3191"/>
      <c r="AC356" s="3194"/>
      <c r="AD356" s="3194"/>
      <c r="AE356" s="3188"/>
      <c r="AF356" s="2087"/>
      <c r="AG356" s="3196"/>
      <c r="AH356" s="3194"/>
      <c r="AI356" s="3198"/>
      <c r="AJ356" s="2032" t="s">
        <v>433</v>
      </c>
      <c r="AK356" s="2033"/>
      <c r="AL356" s="2033"/>
      <c r="AM356" s="2033"/>
      <c r="AN356" s="2033"/>
      <c r="AO356" s="2034"/>
      <c r="AP356" s="2026" t="s">
        <v>342</v>
      </c>
      <c r="AQ356" s="2027"/>
      <c r="AR356" s="2027"/>
      <c r="AS356" s="2027"/>
      <c r="AT356" s="2028"/>
      <c r="AU356" s="113"/>
    </row>
    <row r="357" spans="2:47" ht="15" customHeight="1" x14ac:dyDescent="0.15">
      <c r="B357" s="3215"/>
      <c r="C357" s="3218"/>
      <c r="D357" s="3219"/>
      <c r="E357" s="3221"/>
      <c r="F357" s="3223"/>
      <c r="G357" s="3225"/>
      <c r="H357" s="3192"/>
      <c r="I357" s="3193"/>
      <c r="J357" s="3195"/>
      <c r="K357" s="3189"/>
      <c r="L357" s="3192"/>
      <c r="M357" s="3227"/>
      <c r="N357" s="3195"/>
      <c r="O357" s="3195"/>
      <c r="P357" s="3189"/>
      <c r="Q357" s="2089"/>
      <c r="R357" s="3197"/>
      <c r="S357" s="3195"/>
      <c r="T357" s="3199"/>
      <c r="U357" s="3229"/>
      <c r="V357" s="3192"/>
      <c r="W357" s="3193"/>
      <c r="X357" s="3195"/>
      <c r="Y357" s="3195"/>
      <c r="Z357" s="3189"/>
      <c r="AA357" s="3192"/>
      <c r="AB357" s="3193"/>
      <c r="AC357" s="3195"/>
      <c r="AD357" s="3195"/>
      <c r="AE357" s="3189"/>
      <c r="AF357" s="2089"/>
      <c r="AG357" s="3197"/>
      <c r="AH357" s="3195"/>
      <c r="AI357" s="3199"/>
      <c r="AJ357" s="2035" t="s">
        <v>434</v>
      </c>
      <c r="AK357" s="2036"/>
      <c r="AL357" s="2036"/>
      <c r="AM357" s="2036"/>
      <c r="AN357" s="2036"/>
      <c r="AO357" s="2037"/>
      <c r="AP357" s="2029"/>
      <c r="AQ357" s="2030"/>
      <c r="AR357" s="2030"/>
      <c r="AS357" s="2030"/>
      <c r="AT357" s="2031"/>
      <c r="AU357" s="113"/>
    </row>
    <row r="358" spans="2:47" ht="15" customHeight="1" x14ac:dyDescent="0.15">
      <c r="B358" s="3149">
        <v>121</v>
      </c>
      <c r="C358" s="3151">
        <f>名簿入力!D255</f>
        <v>0</v>
      </c>
      <c r="D358" s="3152"/>
      <c r="E358" s="3155">
        <f>名簿入力!E255</f>
        <v>0</v>
      </c>
      <c r="F358" s="3157">
        <f>名簿入力!G255</f>
        <v>0</v>
      </c>
      <c r="G358" s="3159">
        <f>名簿入力!H255</f>
        <v>0</v>
      </c>
      <c r="H358" s="3161">
        <f>名簿入力!I255</f>
        <v>0</v>
      </c>
      <c r="I358" s="3162"/>
      <c r="J358" s="3165">
        <f>名簿入力!K255</f>
        <v>0</v>
      </c>
      <c r="K358" s="3167">
        <f>名簿入力!L255</f>
        <v>0</v>
      </c>
      <c r="L358" s="3161">
        <f>名簿入力!M255</f>
        <v>0</v>
      </c>
      <c r="M358" s="3169"/>
      <c r="N358" s="3165">
        <f>名簿入力!O255</f>
        <v>0</v>
      </c>
      <c r="O358" s="3165">
        <f>名簿入力!P255</f>
        <v>0</v>
      </c>
      <c r="P358" s="3167">
        <f>名簿入力!Q255</f>
        <v>0</v>
      </c>
      <c r="Q358" s="3161">
        <f>名簿入力!R255</f>
        <v>0</v>
      </c>
      <c r="R358" s="3162"/>
      <c r="S358" s="3165">
        <f>名簿入力!T255</f>
        <v>0</v>
      </c>
      <c r="T358" s="3165">
        <f>名簿入力!U255</f>
        <v>0</v>
      </c>
      <c r="U358" s="3167">
        <f>名簿入力!V255</f>
        <v>0</v>
      </c>
      <c r="V358" s="3161">
        <f>名簿入力!W255</f>
        <v>0</v>
      </c>
      <c r="W358" s="3162"/>
      <c r="X358" s="3165">
        <f>名簿入力!Y255</f>
        <v>0</v>
      </c>
      <c r="Y358" s="3165">
        <f>名簿入力!Z255</f>
        <v>0</v>
      </c>
      <c r="Z358" s="3167">
        <f>名簿入力!AA255</f>
        <v>0</v>
      </c>
      <c r="AA358" s="3161">
        <f>名簿入力!AB255</f>
        <v>0</v>
      </c>
      <c r="AB358" s="3162"/>
      <c r="AC358" s="3165">
        <f>名簿入力!AD255</f>
        <v>0</v>
      </c>
      <c r="AD358" s="3165">
        <f>名簿入力!AE255</f>
        <v>0</v>
      </c>
      <c r="AE358" s="3167">
        <f>名簿入力!AF255</f>
        <v>0</v>
      </c>
      <c r="AF358" s="3161">
        <f>名簿入力!AG255</f>
        <v>0</v>
      </c>
      <c r="AG358" s="3162"/>
      <c r="AH358" s="3165">
        <f>名簿入力!AI255</f>
        <v>0</v>
      </c>
      <c r="AI358" s="3165">
        <f>名簿入力!AJ255</f>
        <v>0</v>
      </c>
      <c r="AJ358" s="3175">
        <f>名簿入力!AK255</f>
        <v>0</v>
      </c>
      <c r="AK358" s="3176"/>
      <c r="AL358" s="3176"/>
      <c r="AM358" s="3176"/>
      <c r="AN358" s="3176"/>
      <c r="AO358" s="3177"/>
      <c r="AP358" s="3137">
        <f>名簿入力!AO255</f>
        <v>0</v>
      </c>
      <c r="AQ358" s="3138"/>
      <c r="AR358" s="3138"/>
      <c r="AS358" s="3138"/>
      <c r="AT358" s="3139"/>
      <c r="AU358" s="113"/>
    </row>
    <row r="359" spans="2:47" ht="15" customHeight="1" x14ac:dyDescent="0.15">
      <c r="B359" s="3181"/>
      <c r="C359" s="3182"/>
      <c r="D359" s="3183"/>
      <c r="E359" s="3184"/>
      <c r="F359" s="3185"/>
      <c r="G359" s="3186"/>
      <c r="H359" s="3173"/>
      <c r="I359" s="3174"/>
      <c r="J359" s="3171"/>
      <c r="K359" s="3172"/>
      <c r="L359" s="3173"/>
      <c r="M359" s="3187"/>
      <c r="N359" s="3171"/>
      <c r="O359" s="3171"/>
      <c r="P359" s="3172"/>
      <c r="Q359" s="3173"/>
      <c r="R359" s="3174"/>
      <c r="S359" s="3171"/>
      <c r="T359" s="3171"/>
      <c r="U359" s="3172"/>
      <c r="V359" s="3173"/>
      <c r="W359" s="3174"/>
      <c r="X359" s="3171"/>
      <c r="Y359" s="3171"/>
      <c r="Z359" s="3172"/>
      <c r="AA359" s="3173"/>
      <c r="AB359" s="3174"/>
      <c r="AC359" s="3171"/>
      <c r="AD359" s="3171"/>
      <c r="AE359" s="3172"/>
      <c r="AF359" s="3173"/>
      <c r="AG359" s="3174"/>
      <c r="AH359" s="3171"/>
      <c r="AI359" s="3171"/>
      <c r="AJ359" s="3146">
        <f>名簿入力!AK256</f>
        <v>0</v>
      </c>
      <c r="AK359" s="3147"/>
      <c r="AL359" s="3147"/>
      <c r="AM359" s="3147"/>
      <c r="AN359" s="3147"/>
      <c r="AO359" s="3148"/>
      <c r="AP359" s="3178"/>
      <c r="AQ359" s="3179"/>
      <c r="AR359" s="3179"/>
      <c r="AS359" s="3179"/>
      <c r="AT359" s="3180"/>
      <c r="AU359" s="113"/>
    </row>
    <row r="360" spans="2:47" ht="15" customHeight="1" x14ac:dyDescent="0.15">
      <c r="B360" s="3149">
        <v>122</v>
      </c>
      <c r="C360" s="3151">
        <f>名簿入力!D257</f>
        <v>0</v>
      </c>
      <c r="D360" s="3152"/>
      <c r="E360" s="3155">
        <f>名簿入力!E257</f>
        <v>0</v>
      </c>
      <c r="F360" s="3157">
        <f>名簿入力!G257</f>
        <v>0</v>
      </c>
      <c r="G360" s="3159">
        <f>名簿入力!H257</f>
        <v>0</v>
      </c>
      <c r="H360" s="3161">
        <f>名簿入力!I257</f>
        <v>0</v>
      </c>
      <c r="I360" s="3162"/>
      <c r="J360" s="3165">
        <f>名簿入力!K257</f>
        <v>0</v>
      </c>
      <c r="K360" s="3167">
        <f>名簿入力!L257</f>
        <v>0</v>
      </c>
      <c r="L360" s="3161">
        <f>名簿入力!M257</f>
        <v>0</v>
      </c>
      <c r="M360" s="3169"/>
      <c r="N360" s="3165">
        <f>名簿入力!O257</f>
        <v>0</v>
      </c>
      <c r="O360" s="3165">
        <f>名簿入力!P257</f>
        <v>0</v>
      </c>
      <c r="P360" s="3167">
        <f>名簿入力!Q257</f>
        <v>0</v>
      </c>
      <c r="Q360" s="3161">
        <f>名簿入力!R257</f>
        <v>0</v>
      </c>
      <c r="R360" s="3162"/>
      <c r="S360" s="3165">
        <f>名簿入力!T257</f>
        <v>0</v>
      </c>
      <c r="T360" s="3165">
        <f>名簿入力!U257</f>
        <v>0</v>
      </c>
      <c r="U360" s="3167">
        <f>名簿入力!V257</f>
        <v>0</v>
      </c>
      <c r="V360" s="3161">
        <f>名簿入力!W257</f>
        <v>0</v>
      </c>
      <c r="W360" s="3162"/>
      <c r="X360" s="3165">
        <f>名簿入力!Y257</f>
        <v>0</v>
      </c>
      <c r="Y360" s="3165">
        <f>名簿入力!Z257</f>
        <v>0</v>
      </c>
      <c r="Z360" s="3167">
        <f>名簿入力!AA257</f>
        <v>0</v>
      </c>
      <c r="AA360" s="3161">
        <f>名簿入力!AB257</f>
        <v>0</v>
      </c>
      <c r="AB360" s="3162"/>
      <c r="AC360" s="3165">
        <f>名簿入力!AD257</f>
        <v>0</v>
      </c>
      <c r="AD360" s="3165">
        <f>名簿入力!AE257</f>
        <v>0</v>
      </c>
      <c r="AE360" s="3167">
        <f>名簿入力!AF257</f>
        <v>0</v>
      </c>
      <c r="AF360" s="3161">
        <f>名簿入力!AG257</f>
        <v>0</v>
      </c>
      <c r="AG360" s="3162"/>
      <c r="AH360" s="3165">
        <f>名簿入力!AI257</f>
        <v>0</v>
      </c>
      <c r="AI360" s="3165">
        <f>名簿入力!AJ257</f>
        <v>0</v>
      </c>
      <c r="AJ360" s="3175">
        <f>名簿入力!AK257</f>
        <v>0</v>
      </c>
      <c r="AK360" s="3176"/>
      <c r="AL360" s="3176"/>
      <c r="AM360" s="3176"/>
      <c r="AN360" s="3176"/>
      <c r="AO360" s="3177"/>
      <c r="AP360" s="3137">
        <f>名簿入力!AO257</f>
        <v>0</v>
      </c>
      <c r="AQ360" s="3138"/>
      <c r="AR360" s="3138"/>
      <c r="AS360" s="3138"/>
      <c r="AT360" s="3139"/>
      <c r="AU360" s="113"/>
    </row>
    <row r="361" spans="2:47" ht="15" customHeight="1" x14ac:dyDescent="0.15">
      <c r="B361" s="3181"/>
      <c r="C361" s="3182"/>
      <c r="D361" s="3183"/>
      <c r="E361" s="3184"/>
      <c r="F361" s="3185"/>
      <c r="G361" s="3186"/>
      <c r="H361" s="3173"/>
      <c r="I361" s="3174"/>
      <c r="J361" s="3171"/>
      <c r="K361" s="3172"/>
      <c r="L361" s="3173"/>
      <c r="M361" s="3187"/>
      <c r="N361" s="3171"/>
      <c r="O361" s="3171"/>
      <c r="P361" s="3172"/>
      <c r="Q361" s="3173"/>
      <c r="R361" s="3174"/>
      <c r="S361" s="3171"/>
      <c r="T361" s="3171"/>
      <c r="U361" s="3172"/>
      <c r="V361" s="3173"/>
      <c r="W361" s="3174"/>
      <c r="X361" s="3171"/>
      <c r="Y361" s="3171"/>
      <c r="Z361" s="3172"/>
      <c r="AA361" s="3173"/>
      <c r="AB361" s="3174"/>
      <c r="AC361" s="3171"/>
      <c r="AD361" s="3171"/>
      <c r="AE361" s="3172"/>
      <c r="AF361" s="3173"/>
      <c r="AG361" s="3174"/>
      <c r="AH361" s="3171"/>
      <c r="AI361" s="3171"/>
      <c r="AJ361" s="3146">
        <f>名簿入力!AK258</f>
        <v>0</v>
      </c>
      <c r="AK361" s="3147"/>
      <c r="AL361" s="3147"/>
      <c r="AM361" s="3147"/>
      <c r="AN361" s="3147"/>
      <c r="AO361" s="3148"/>
      <c r="AP361" s="3178"/>
      <c r="AQ361" s="3179"/>
      <c r="AR361" s="3179"/>
      <c r="AS361" s="3179"/>
      <c r="AT361" s="3180"/>
      <c r="AU361" s="113"/>
    </row>
    <row r="362" spans="2:47" ht="15" customHeight="1" x14ac:dyDescent="0.15">
      <c r="B362" s="3149">
        <v>123</v>
      </c>
      <c r="C362" s="3151">
        <f>名簿入力!D259</f>
        <v>0</v>
      </c>
      <c r="D362" s="3152"/>
      <c r="E362" s="3155">
        <f>名簿入力!E259</f>
        <v>0</v>
      </c>
      <c r="F362" s="3157">
        <f>名簿入力!G259</f>
        <v>0</v>
      </c>
      <c r="G362" s="3159">
        <f>名簿入力!H259</f>
        <v>0</v>
      </c>
      <c r="H362" s="3161">
        <f>名簿入力!I259</f>
        <v>0</v>
      </c>
      <c r="I362" s="3162"/>
      <c r="J362" s="3165">
        <f>名簿入力!K259</f>
        <v>0</v>
      </c>
      <c r="K362" s="3167">
        <f>名簿入力!L259</f>
        <v>0</v>
      </c>
      <c r="L362" s="3161">
        <f>名簿入力!M259</f>
        <v>0</v>
      </c>
      <c r="M362" s="3169"/>
      <c r="N362" s="3165">
        <f>名簿入力!O259</f>
        <v>0</v>
      </c>
      <c r="O362" s="3165">
        <f>名簿入力!P259</f>
        <v>0</v>
      </c>
      <c r="P362" s="3167">
        <f>名簿入力!Q259</f>
        <v>0</v>
      </c>
      <c r="Q362" s="3161">
        <f>名簿入力!R259</f>
        <v>0</v>
      </c>
      <c r="R362" s="3162"/>
      <c r="S362" s="3165">
        <f>名簿入力!T259</f>
        <v>0</v>
      </c>
      <c r="T362" s="3165">
        <f>名簿入力!U259</f>
        <v>0</v>
      </c>
      <c r="U362" s="3167">
        <f>名簿入力!V259</f>
        <v>0</v>
      </c>
      <c r="V362" s="3161">
        <f>名簿入力!W259</f>
        <v>0</v>
      </c>
      <c r="W362" s="3162"/>
      <c r="X362" s="3165">
        <f>名簿入力!Y259</f>
        <v>0</v>
      </c>
      <c r="Y362" s="3165">
        <f>名簿入力!Z259</f>
        <v>0</v>
      </c>
      <c r="Z362" s="3167">
        <f>名簿入力!AA259</f>
        <v>0</v>
      </c>
      <c r="AA362" s="3161">
        <f>名簿入力!AB259</f>
        <v>0</v>
      </c>
      <c r="AB362" s="3162"/>
      <c r="AC362" s="3165">
        <f>名簿入力!AD259</f>
        <v>0</v>
      </c>
      <c r="AD362" s="3165">
        <f>名簿入力!AE259</f>
        <v>0</v>
      </c>
      <c r="AE362" s="3167">
        <f>名簿入力!AF259</f>
        <v>0</v>
      </c>
      <c r="AF362" s="3161">
        <f>名簿入力!AG259</f>
        <v>0</v>
      </c>
      <c r="AG362" s="3162"/>
      <c r="AH362" s="3165">
        <f>名簿入力!AI259</f>
        <v>0</v>
      </c>
      <c r="AI362" s="3165">
        <f>名簿入力!AJ259</f>
        <v>0</v>
      </c>
      <c r="AJ362" s="3175">
        <f>名簿入力!AK259</f>
        <v>0</v>
      </c>
      <c r="AK362" s="3176"/>
      <c r="AL362" s="3176"/>
      <c r="AM362" s="3176"/>
      <c r="AN362" s="3176"/>
      <c r="AO362" s="3177"/>
      <c r="AP362" s="3137">
        <f>名簿入力!AO259</f>
        <v>0</v>
      </c>
      <c r="AQ362" s="3138"/>
      <c r="AR362" s="3138"/>
      <c r="AS362" s="3138"/>
      <c r="AT362" s="3139"/>
      <c r="AU362" s="113"/>
    </row>
    <row r="363" spans="2:47" ht="15" customHeight="1" x14ac:dyDescent="0.15">
      <c r="B363" s="3181"/>
      <c r="C363" s="3182"/>
      <c r="D363" s="3183"/>
      <c r="E363" s="3184"/>
      <c r="F363" s="3185"/>
      <c r="G363" s="3186"/>
      <c r="H363" s="3173"/>
      <c r="I363" s="3174"/>
      <c r="J363" s="3171"/>
      <c r="K363" s="3172"/>
      <c r="L363" s="3173"/>
      <c r="M363" s="3187"/>
      <c r="N363" s="3171"/>
      <c r="O363" s="3171"/>
      <c r="P363" s="3172"/>
      <c r="Q363" s="3173"/>
      <c r="R363" s="3174"/>
      <c r="S363" s="3171"/>
      <c r="T363" s="3171"/>
      <c r="U363" s="3172"/>
      <c r="V363" s="3173"/>
      <c r="W363" s="3174"/>
      <c r="X363" s="3171"/>
      <c r="Y363" s="3171"/>
      <c r="Z363" s="3172"/>
      <c r="AA363" s="3173"/>
      <c r="AB363" s="3174"/>
      <c r="AC363" s="3171"/>
      <c r="AD363" s="3171"/>
      <c r="AE363" s="3172"/>
      <c r="AF363" s="3173"/>
      <c r="AG363" s="3174"/>
      <c r="AH363" s="3171"/>
      <c r="AI363" s="3171"/>
      <c r="AJ363" s="3146">
        <f>名簿入力!AK260</f>
        <v>0</v>
      </c>
      <c r="AK363" s="3147"/>
      <c r="AL363" s="3147"/>
      <c r="AM363" s="3147"/>
      <c r="AN363" s="3147"/>
      <c r="AO363" s="3148"/>
      <c r="AP363" s="3178"/>
      <c r="AQ363" s="3179"/>
      <c r="AR363" s="3179"/>
      <c r="AS363" s="3179"/>
      <c r="AT363" s="3180"/>
      <c r="AU363" s="113"/>
    </row>
    <row r="364" spans="2:47" ht="15" customHeight="1" x14ac:dyDescent="0.15">
      <c r="B364" s="3149">
        <v>124</v>
      </c>
      <c r="C364" s="3151">
        <f>名簿入力!D261</f>
        <v>0</v>
      </c>
      <c r="D364" s="3152"/>
      <c r="E364" s="3155">
        <f>名簿入力!E261</f>
        <v>0</v>
      </c>
      <c r="F364" s="3157">
        <f>名簿入力!G261</f>
        <v>0</v>
      </c>
      <c r="G364" s="3159">
        <f>名簿入力!H261</f>
        <v>0</v>
      </c>
      <c r="H364" s="3161">
        <f>名簿入力!I261</f>
        <v>0</v>
      </c>
      <c r="I364" s="3162"/>
      <c r="J364" s="3165">
        <f>名簿入力!K261</f>
        <v>0</v>
      </c>
      <c r="K364" s="3167">
        <f>名簿入力!L261</f>
        <v>0</v>
      </c>
      <c r="L364" s="3161">
        <f>名簿入力!M261</f>
        <v>0</v>
      </c>
      <c r="M364" s="3169"/>
      <c r="N364" s="3165">
        <f>名簿入力!O261</f>
        <v>0</v>
      </c>
      <c r="O364" s="3165">
        <f>名簿入力!P261</f>
        <v>0</v>
      </c>
      <c r="P364" s="3167">
        <f>名簿入力!Q261</f>
        <v>0</v>
      </c>
      <c r="Q364" s="3161">
        <f>名簿入力!R261</f>
        <v>0</v>
      </c>
      <c r="R364" s="3162"/>
      <c r="S364" s="3165">
        <f>名簿入力!T261</f>
        <v>0</v>
      </c>
      <c r="T364" s="3165">
        <f>名簿入力!U261</f>
        <v>0</v>
      </c>
      <c r="U364" s="3167">
        <f>名簿入力!V261</f>
        <v>0</v>
      </c>
      <c r="V364" s="3161">
        <f>名簿入力!W261</f>
        <v>0</v>
      </c>
      <c r="W364" s="3162"/>
      <c r="X364" s="3165">
        <f>名簿入力!Y261</f>
        <v>0</v>
      </c>
      <c r="Y364" s="3165">
        <f>名簿入力!Z261</f>
        <v>0</v>
      </c>
      <c r="Z364" s="3167">
        <f>名簿入力!AA261</f>
        <v>0</v>
      </c>
      <c r="AA364" s="3161">
        <f>名簿入力!AB261</f>
        <v>0</v>
      </c>
      <c r="AB364" s="3162"/>
      <c r="AC364" s="3165">
        <f>名簿入力!AD261</f>
        <v>0</v>
      </c>
      <c r="AD364" s="3165">
        <f>名簿入力!AE261</f>
        <v>0</v>
      </c>
      <c r="AE364" s="3167">
        <f>名簿入力!AF261</f>
        <v>0</v>
      </c>
      <c r="AF364" s="3161">
        <f>名簿入力!AG261</f>
        <v>0</v>
      </c>
      <c r="AG364" s="3162"/>
      <c r="AH364" s="3165">
        <f>名簿入力!AI261</f>
        <v>0</v>
      </c>
      <c r="AI364" s="3165">
        <f>名簿入力!AJ261</f>
        <v>0</v>
      </c>
      <c r="AJ364" s="3175">
        <f>名簿入力!AK261</f>
        <v>0</v>
      </c>
      <c r="AK364" s="3176"/>
      <c r="AL364" s="3176"/>
      <c r="AM364" s="3176"/>
      <c r="AN364" s="3176"/>
      <c r="AO364" s="3177"/>
      <c r="AP364" s="3137">
        <f>名簿入力!AO261</f>
        <v>0</v>
      </c>
      <c r="AQ364" s="3138"/>
      <c r="AR364" s="3138"/>
      <c r="AS364" s="3138"/>
      <c r="AT364" s="3139"/>
      <c r="AU364" s="113"/>
    </row>
    <row r="365" spans="2:47" ht="15" customHeight="1" x14ac:dyDescent="0.15">
      <c r="B365" s="3181"/>
      <c r="C365" s="3182"/>
      <c r="D365" s="3183"/>
      <c r="E365" s="3184"/>
      <c r="F365" s="3185"/>
      <c r="G365" s="3186"/>
      <c r="H365" s="3173"/>
      <c r="I365" s="3174"/>
      <c r="J365" s="3171"/>
      <c r="K365" s="3172"/>
      <c r="L365" s="3173"/>
      <c r="M365" s="3187"/>
      <c r="N365" s="3171"/>
      <c r="O365" s="3171"/>
      <c r="P365" s="3172"/>
      <c r="Q365" s="3173"/>
      <c r="R365" s="3174"/>
      <c r="S365" s="3171"/>
      <c r="T365" s="3171"/>
      <c r="U365" s="3172"/>
      <c r="V365" s="3173"/>
      <c r="W365" s="3174"/>
      <c r="X365" s="3171"/>
      <c r="Y365" s="3171"/>
      <c r="Z365" s="3172"/>
      <c r="AA365" s="3173"/>
      <c r="AB365" s="3174"/>
      <c r="AC365" s="3171"/>
      <c r="AD365" s="3171"/>
      <c r="AE365" s="3172"/>
      <c r="AF365" s="3173"/>
      <c r="AG365" s="3174"/>
      <c r="AH365" s="3171"/>
      <c r="AI365" s="3171"/>
      <c r="AJ365" s="3146">
        <f>名簿入力!AK262</f>
        <v>0</v>
      </c>
      <c r="AK365" s="3147"/>
      <c r="AL365" s="3147"/>
      <c r="AM365" s="3147"/>
      <c r="AN365" s="3147"/>
      <c r="AO365" s="3148"/>
      <c r="AP365" s="3178"/>
      <c r="AQ365" s="3179"/>
      <c r="AR365" s="3179"/>
      <c r="AS365" s="3179"/>
      <c r="AT365" s="3180"/>
      <c r="AU365" s="113"/>
    </row>
    <row r="366" spans="2:47" ht="15" customHeight="1" x14ac:dyDescent="0.15">
      <c r="B366" s="3149">
        <v>125</v>
      </c>
      <c r="C366" s="3151">
        <f>名簿入力!D263</f>
        <v>0</v>
      </c>
      <c r="D366" s="3152"/>
      <c r="E366" s="3155">
        <f>名簿入力!E263</f>
        <v>0</v>
      </c>
      <c r="F366" s="3157">
        <f>名簿入力!G263</f>
        <v>0</v>
      </c>
      <c r="G366" s="3159">
        <f>名簿入力!H263</f>
        <v>0</v>
      </c>
      <c r="H366" s="3161">
        <f>名簿入力!I263</f>
        <v>0</v>
      </c>
      <c r="I366" s="3162"/>
      <c r="J366" s="3165">
        <f>名簿入力!K263</f>
        <v>0</v>
      </c>
      <c r="K366" s="3167">
        <f>名簿入力!L263</f>
        <v>0</v>
      </c>
      <c r="L366" s="3161">
        <f>名簿入力!M263</f>
        <v>0</v>
      </c>
      <c r="M366" s="3169"/>
      <c r="N366" s="3165">
        <f>名簿入力!O263</f>
        <v>0</v>
      </c>
      <c r="O366" s="3165">
        <f>名簿入力!P263</f>
        <v>0</v>
      </c>
      <c r="P366" s="3167">
        <f>名簿入力!Q263</f>
        <v>0</v>
      </c>
      <c r="Q366" s="3161">
        <f>名簿入力!R263</f>
        <v>0</v>
      </c>
      <c r="R366" s="3162"/>
      <c r="S366" s="3165">
        <f>名簿入力!T263</f>
        <v>0</v>
      </c>
      <c r="T366" s="3165">
        <f>名簿入力!U263</f>
        <v>0</v>
      </c>
      <c r="U366" s="3167">
        <f>名簿入力!V263</f>
        <v>0</v>
      </c>
      <c r="V366" s="3161">
        <f>名簿入力!W263</f>
        <v>0</v>
      </c>
      <c r="W366" s="3162"/>
      <c r="X366" s="3165">
        <f>名簿入力!Y263</f>
        <v>0</v>
      </c>
      <c r="Y366" s="3165">
        <f>名簿入力!Z263</f>
        <v>0</v>
      </c>
      <c r="Z366" s="3167">
        <f>名簿入力!AA263</f>
        <v>0</v>
      </c>
      <c r="AA366" s="3161">
        <f>名簿入力!AB263</f>
        <v>0</v>
      </c>
      <c r="AB366" s="3162"/>
      <c r="AC366" s="3165">
        <f>名簿入力!AD263</f>
        <v>0</v>
      </c>
      <c r="AD366" s="3165">
        <f>名簿入力!AE263</f>
        <v>0</v>
      </c>
      <c r="AE366" s="3167">
        <f>名簿入力!AF263</f>
        <v>0</v>
      </c>
      <c r="AF366" s="3161">
        <f>名簿入力!AG263</f>
        <v>0</v>
      </c>
      <c r="AG366" s="3162"/>
      <c r="AH366" s="3165">
        <f>名簿入力!AI263</f>
        <v>0</v>
      </c>
      <c r="AI366" s="3165">
        <f>名簿入力!AJ263</f>
        <v>0</v>
      </c>
      <c r="AJ366" s="3175">
        <f>名簿入力!AK263</f>
        <v>0</v>
      </c>
      <c r="AK366" s="3176"/>
      <c r="AL366" s="3176"/>
      <c r="AM366" s="3176"/>
      <c r="AN366" s="3176"/>
      <c r="AO366" s="3177"/>
      <c r="AP366" s="3137">
        <f>名簿入力!AO263</f>
        <v>0</v>
      </c>
      <c r="AQ366" s="3138"/>
      <c r="AR366" s="3138"/>
      <c r="AS366" s="3138"/>
      <c r="AT366" s="3139"/>
      <c r="AU366" s="113"/>
    </row>
    <row r="367" spans="2:47" ht="15" customHeight="1" x14ac:dyDescent="0.15">
      <c r="B367" s="3181"/>
      <c r="C367" s="3182"/>
      <c r="D367" s="3183"/>
      <c r="E367" s="3184"/>
      <c r="F367" s="3185"/>
      <c r="G367" s="3186"/>
      <c r="H367" s="3173"/>
      <c r="I367" s="3174"/>
      <c r="J367" s="3171"/>
      <c r="K367" s="3172"/>
      <c r="L367" s="3173"/>
      <c r="M367" s="3187"/>
      <c r="N367" s="3171"/>
      <c r="O367" s="3171"/>
      <c r="P367" s="3172"/>
      <c r="Q367" s="3173"/>
      <c r="R367" s="3174"/>
      <c r="S367" s="3171"/>
      <c r="T367" s="3171"/>
      <c r="U367" s="3172"/>
      <c r="V367" s="3173"/>
      <c r="W367" s="3174"/>
      <c r="X367" s="3171"/>
      <c r="Y367" s="3171"/>
      <c r="Z367" s="3172"/>
      <c r="AA367" s="3173"/>
      <c r="AB367" s="3174"/>
      <c r="AC367" s="3171"/>
      <c r="AD367" s="3171"/>
      <c r="AE367" s="3172"/>
      <c r="AF367" s="3173"/>
      <c r="AG367" s="3174"/>
      <c r="AH367" s="3171"/>
      <c r="AI367" s="3171"/>
      <c r="AJ367" s="3146">
        <f>名簿入力!AK264</f>
        <v>0</v>
      </c>
      <c r="AK367" s="3147"/>
      <c r="AL367" s="3147"/>
      <c r="AM367" s="3147"/>
      <c r="AN367" s="3147"/>
      <c r="AO367" s="3148"/>
      <c r="AP367" s="3178"/>
      <c r="AQ367" s="3179"/>
      <c r="AR367" s="3179"/>
      <c r="AS367" s="3179"/>
      <c r="AT367" s="3180"/>
      <c r="AU367" s="113"/>
    </row>
    <row r="368" spans="2:47" ht="15" customHeight="1" x14ac:dyDescent="0.15">
      <c r="B368" s="3149">
        <v>126</v>
      </c>
      <c r="C368" s="3151">
        <f>名簿入力!D265</f>
        <v>0</v>
      </c>
      <c r="D368" s="3152"/>
      <c r="E368" s="3155">
        <f>名簿入力!E265</f>
        <v>0</v>
      </c>
      <c r="F368" s="3157">
        <f>名簿入力!G265</f>
        <v>0</v>
      </c>
      <c r="G368" s="3159">
        <f>名簿入力!H265</f>
        <v>0</v>
      </c>
      <c r="H368" s="3161">
        <f>名簿入力!I265</f>
        <v>0</v>
      </c>
      <c r="I368" s="3162"/>
      <c r="J368" s="3165">
        <f>名簿入力!K265</f>
        <v>0</v>
      </c>
      <c r="K368" s="3167">
        <f>名簿入力!L265</f>
        <v>0</v>
      </c>
      <c r="L368" s="3161">
        <f>名簿入力!M265</f>
        <v>0</v>
      </c>
      <c r="M368" s="3169"/>
      <c r="N368" s="3165">
        <f>名簿入力!O265</f>
        <v>0</v>
      </c>
      <c r="O368" s="3165">
        <f>名簿入力!P265</f>
        <v>0</v>
      </c>
      <c r="P368" s="3167">
        <f>名簿入力!Q265</f>
        <v>0</v>
      </c>
      <c r="Q368" s="3161">
        <f>名簿入力!R265</f>
        <v>0</v>
      </c>
      <c r="R368" s="3162"/>
      <c r="S368" s="3165">
        <f>名簿入力!T265</f>
        <v>0</v>
      </c>
      <c r="T368" s="3165">
        <f>名簿入力!U265</f>
        <v>0</v>
      </c>
      <c r="U368" s="3167">
        <f>名簿入力!V265</f>
        <v>0</v>
      </c>
      <c r="V368" s="3161">
        <f>名簿入力!W265</f>
        <v>0</v>
      </c>
      <c r="W368" s="3162"/>
      <c r="X368" s="3165">
        <f>名簿入力!Y265</f>
        <v>0</v>
      </c>
      <c r="Y368" s="3165">
        <f>名簿入力!Z265</f>
        <v>0</v>
      </c>
      <c r="Z368" s="3167">
        <f>名簿入力!AA265</f>
        <v>0</v>
      </c>
      <c r="AA368" s="3161">
        <f>名簿入力!AB265</f>
        <v>0</v>
      </c>
      <c r="AB368" s="3162"/>
      <c r="AC368" s="3165">
        <f>名簿入力!AD265</f>
        <v>0</v>
      </c>
      <c r="AD368" s="3165">
        <f>名簿入力!AE265</f>
        <v>0</v>
      </c>
      <c r="AE368" s="3167">
        <f>名簿入力!AF265</f>
        <v>0</v>
      </c>
      <c r="AF368" s="3161">
        <f>名簿入力!AG265</f>
        <v>0</v>
      </c>
      <c r="AG368" s="3162"/>
      <c r="AH368" s="3165">
        <f>名簿入力!AI265</f>
        <v>0</v>
      </c>
      <c r="AI368" s="3165">
        <f>名簿入力!AJ265</f>
        <v>0</v>
      </c>
      <c r="AJ368" s="3175">
        <f>名簿入力!AK265</f>
        <v>0</v>
      </c>
      <c r="AK368" s="3176"/>
      <c r="AL368" s="3176"/>
      <c r="AM368" s="3176"/>
      <c r="AN368" s="3176"/>
      <c r="AO368" s="3177"/>
      <c r="AP368" s="3137">
        <f>名簿入力!AO265</f>
        <v>0</v>
      </c>
      <c r="AQ368" s="3138"/>
      <c r="AR368" s="3138"/>
      <c r="AS368" s="3138"/>
      <c r="AT368" s="3139"/>
      <c r="AU368" s="113"/>
    </row>
    <row r="369" spans="2:47" ht="15" customHeight="1" x14ac:dyDescent="0.15">
      <c r="B369" s="3181"/>
      <c r="C369" s="3182"/>
      <c r="D369" s="3183"/>
      <c r="E369" s="3184"/>
      <c r="F369" s="3185"/>
      <c r="G369" s="3186"/>
      <c r="H369" s="3173"/>
      <c r="I369" s="3174"/>
      <c r="J369" s="3171"/>
      <c r="K369" s="3172"/>
      <c r="L369" s="3173"/>
      <c r="M369" s="3187"/>
      <c r="N369" s="3171"/>
      <c r="O369" s="3171"/>
      <c r="P369" s="3172"/>
      <c r="Q369" s="3173"/>
      <c r="R369" s="3174"/>
      <c r="S369" s="3171"/>
      <c r="T369" s="3171"/>
      <c r="U369" s="3172"/>
      <c r="V369" s="3173"/>
      <c r="W369" s="3174"/>
      <c r="X369" s="3171"/>
      <c r="Y369" s="3171"/>
      <c r="Z369" s="3172"/>
      <c r="AA369" s="3173"/>
      <c r="AB369" s="3174"/>
      <c r="AC369" s="3171"/>
      <c r="AD369" s="3171"/>
      <c r="AE369" s="3172"/>
      <c r="AF369" s="3173"/>
      <c r="AG369" s="3174"/>
      <c r="AH369" s="3171"/>
      <c r="AI369" s="3171"/>
      <c r="AJ369" s="3146">
        <f>名簿入力!AK266</f>
        <v>0</v>
      </c>
      <c r="AK369" s="3147"/>
      <c r="AL369" s="3147"/>
      <c r="AM369" s="3147"/>
      <c r="AN369" s="3147"/>
      <c r="AO369" s="3148"/>
      <c r="AP369" s="3178"/>
      <c r="AQ369" s="3179"/>
      <c r="AR369" s="3179"/>
      <c r="AS369" s="3179"/>
      <c r="AT369" s="3180"/>
      <c r="AU369" s="113"/>
    </row>
    <row r="370" spans="2:47" ht="15" customHeight="1" x14ac:dyDescent="0.15">
      <c r="B370" s="3149">
        <v>127</v>
      </c>
      <c r="C370" s="3151">
        <f>名簿入力!D267</f>
        <v>0</v>
      </c>
      <c r="D370" s="3152"/>
      <c r="E370" s="3155">
        <f>名簿入力!E267</f>
        <v>0</v>
      </c>
      <c r="F370" s="3157">
        <f>名簿入力!G267</f>
        <v>0</v>
      </c>
      <c r="G370" s="3159">
        <f>名簿入力!H267</f>
        <v>0</v>
      </c>
      <c r="H370" s="3161">
        <f>名簿入力!I267</f>
        <v>0</v>
      </c>
      <c r="I370" s="3162"/>
      <c r="J370" s="3165">
        <f>名簿入力!K267</f>
        <v>0</v>
      </c>
      <c r="K370" s="3167">
        <f>名簿入力!L267</f>
        <v>0</v>
      </c>
      <c r="L370" s="3161">
        <f>名簿入力!M267</f>
        <v>0</v>
      </c>
      <c r="M370" s="3169"/>
      <c r="N370" s="3165">
        <f>名簿入力!O267</f>
        <v>0</v>
      </c>
      <c r="O370" s="3165">
        <f>名簿入力!P267</f>
        <v>0</v>
      </c>
      <c r="P370" s="3167">
        <f>名簿入力!Q267</f>
        <v>0</v>
      </c>
      <c r="Q370" s="3161">
        <f>名簿入力!R267</f>
        <v>0</v>
      </c>
      <c r="R370" s="3162"/>
      <c r="S370" s="3165">
        <f>名簿入力!T267</f>
        <v>0</v>
      </c>
      <c r="T370" s="3165">
        <f>名簿入力!U267</f>
        <v>0</v>
      </c>
      <c r="U370" s="3167">
        <f>名簿入力!V267</f>
        <v>0</v>
      </c>
      <c r="V370" s="3161">
        <f>名簿入力!W267</f>
        <v>0</v>
      </c>
      <c r="W370" s="3162"/>
      <c r="X370" s="3165">
        <f>名簿入力!Y267</f>
        <v>0</v>
      </c>
      <c r="Y370" s="3165">
        <f>名簿入力!Z267</f>
        <v>0</v>
      </c>
      <c r="Z370" s="3167">
        <f>名簿入力!AA267</f>
        <v>0</v>
      </c>
      <c r="AA370" s="3161">
        <f>名簿入力!AB267</f>
        <v>0</v>
      </c>
      <c r="AB370" s="3162"/>
      <c r="AC370" s="3165">
        <f>名簿入力!AD267</f>
        <v>0</v>
      </c>
      <c r="AD370" s="3165">
        <f>名簿入力!AE267</f>
        <v>0</v>
      </c>
      <c r="AE370" s="3167">
        <f>名簿入力!AF267</f>
        <v>0</v>
      </c>
      <c r="AF370" s="3161">
        <f>名簿入力!AG267</f>
        <v>0</v>
      </c>
      <c r="AG370" s="3162"/>
      <c r="AH370" s="3165">
        <f>名簿入力!AI267</f>
        <v>0</v>
      </c>
      <c r="AI370" s="3165">
        <f>名簿入力!AJ267</f>
        <v>0</v>
      </c>
      <c r="AJ370" s="3175">
        <f>名簿入力!AK267</f>
        <v>0</v>
      </c>
      <c r="AK370" s="3176"/>
      <c r="AL370" s="3176"/>
      <c r="AM370" s="3176"/>
      <c r="AN370" s="3176"/>
      <c r="AO370" s="3177"/>
      <c r="AP370" s="3137">
        <f>名簿入力!AO267</f>
        <v>0</v>
      </c>
      <c r="AQ370" s="3138"/>
      <c r="AR370" s="3138"/>
      <c r="AS370" s="3138"/>
      <c r="AT370" s="3139"/>
      <c r="AU370" s="113"/>
    </row>
    <row r="371" spans="2:47" ht="15" customHeight="1" x14ac:dyDescent="0.15">
      <c r="B371" s="3181"/>
      <c r="C371" s="3182"/>
      <c r="D371" s="3183"/>
      <c r="E371" s="3184"/>
      <c r="F371" s="3185"/>
      <c r="G371" s="3186"/>
      <c r="H371" s="3173"/>
      <c r="I371" s="3174"/>
      <c r="J371" s="3171"/>
      <c r="K371" s="3172"/>
      <c r="L371" s="3173"/>
      <c r="M371" s="3187"/>
      <c r="N371" s="3171"/>
      <c r="O371" s="3171"/>
      <c r="P371" s="3172"/>
      <c r="Q371" s="3173"/>
      <c r="R371" s="3174"/>
      <c r="S371" s="3171"/>
      <c r="T371" s="3171"/>
      <c r="U371" s="3172"/>
      <c r="V371" s="3173"/>
      <c r="W371" s="3174"/>
      <c r="X371" s="3171"/>
      <c r="Y371" s="3171"/>
      <c r="Z371" s="3172"/>
      <c r="AA371" s="3173"/>
      <c r="AB371" s="3174"/>
      <c r="AC371" s="3171"/>
      <c r="AD371" s="3171"/>
      <c r="AE371" s="3172"/>
      <c r="AF371" s="3173"/>
      <c r="AG371" s="3174"/>
      <c r="AH371" s="3171"/>
      <c r="AI371" s="3171"/>
      <c r="AJ371" s="3146">
        <f>名簿入力!AK268</f>
        <v>0</v>
      </c>
      <c r="AK371" s="3147"/>
      <c r="AL371" s="3147"/>
      <c r="AM371" s="3147"/>
      <c r="AN371" s="3147"/>
      <c r="AO371" s="3148"/>
      <c r="AP371" s="3178"/>
      <c r="AQ371" s="3179"/>
      <c r="AR371" s="3179"/>
      <c r="AS371" s="3179"/>
      <c r="AT371" s="3180"/>
      <c r="AU371" s="113"/>
    </row>
    <row r="372" spans="2:47" ht="15" customHeight="1" x14ac:dyDescent="0.15">
      <c r="B372" s="3149">
        <v>128</v>
      </c>
      <c r="C372" s="3151">
        <f>名簿入力!D269</f>
        <v>0</v>
      </c>
      <c r="D372" s="3152"/>
      <c r="E372" s="3155">
        <f>名簿入力!E269</f>
        <v>0</v>
      </c>
      <c r="F372" s="3157">
        <f>名簿入力!G269</f>
        <v>0</v>
      </c>
      <c r="G372" s="3159">
        <f>名簿入力!H269</f>
        <v>0</v>
      </c>
      <c r="H372" s="3161">
        <f>名簿入力!I269</f>
        <v>0</v>
      </c>
      <c r="I372" s="3162"/>
      <c r="J372" s="3165">
        <f>名簿入力!K269</f>
        <v>0</v>
      </c>
      <c r="K372" s="3167">
        <f>名簿入力!L269</f>
        <v>0</v>
      </c>
      <c r="L372" s="3161">
        <f>名簿入力!M269</f>
        <v>0</v>
      </c>
      <c r="M372" s="3169"/>
      <c r="N372" s="3165">
        <f>名簿入力!O269</f>
        <v>0</v>
      </c>
      <c r="O372" s="3165">
        <f>名簿入力!P269</f>
        <v>0</v>
      </c>
      <c r="P372" s="3167">
        <f>名簿入力!Q269</f>
        <v>0</v>
      </c>
      <c r="Q372" s="3161">
        <f>名簿入力!R269</f>
        <v>0</v>
      </c>
      <c r="R372" s="3162"/>
      <c r="S372" s="3165">
        <f>名簿入力!T269</f>
        <v>0</v>
      </c>
      <c r="T372" s="3165">
        <f>名簿入力!U269</f>
        <v>0</v>
      </c>
      <c r="U372" s="3167">
        <f>名簿入力!V269</f>
        <v>0</v>
      </c>
      <c r="V372" s="3161">
        <f>名簿入力!W269</f>
        <v>0</v>
      </c>
      <c r="W372" s="3162"/>
      <c r="X372" s="3165">
        <f>名簿入力!Y269</f>
        <v>0</v>
      </c>
      <c r="Y372" s="3165">
        <f>名簿入力!Z269</f>
        <v>0</v>
      </c>
      <c r="Z372" s="3167">
        <f>名簿入力!AA269</f>
        <v>0</v>
      </c>
      <c r="AA372" s="3161">
        <f>名簿入力!AB269</f>
        <v>0</v>
      </c>
      <c r="AB372" s="3162"/>
      <c r="AC372" s="3165">
        <f>名簿入力!AD269</f>
        <v>0</v>
      </c>
      <c r="AD372" s="3165">
        <f>名簿入力!AE269</f>
        <v>0</v>
      </c>
      <c r="AE372" s="3167">
        <f>名簿入力!AF269</f>
        <v>0</v>
      </c>
      <c r="AF372" s="3161">
        <f>名簿入力!AG269</f>
        <v>0</v>
      </c>
      <c r="AG372" s="3162"/>
      <c r="AH372" s="3165">
        <f>名簿入力!AI269</f>
        <v>0</v>
      </c>
      <c r="AI372" s="3165">
        <f>名簿入力!AJ269</f>
        <v>0</v>
      </c>
      <c r="AJ372" s="3175">
        <f>名簿入力!AK269</f>
        <v>0</v>
      </c>
      <c r="AK372" s="3176"/>
      <c r="AL372" s="3176"/>
      <c r="AM372" s="3176"/>
      <c r="AN372" s="3176"/>
      <c r="AO372" s="3177"/>
      <c r="AP372" s="3137">
        <f>名簿入力!AO269</f>
        <v>0</v>
      </c>
      <c r="AQ372" s="3138"/>
      <c r="AR372" s="3138"/>
      <c r="AS372" s="3138"/>
      <c r="AT372" s="3139"/>
      <c r="AU372" s="113"/>
    </row>
    <row r="373" spans="2:47" ht="15" customHeight="1" x14ac:dyDescent="0.15">
      <c r="B373" s="3181"/>
      <c r="C373" s="3182"/>
      <c r="D373" s="3183"/>
      <c r="E373" s="3184"/>
      <c r="F373" s="3185"/>
      <c r="G373" s="3186"/>
      <c r="H373" s="3173"/>
      <c r="I373" s="3174"/>
      <c r="J373" s="3171"/>
      <c r="K373" s="3172"/>
      <c r="L373" s="3173"/>
      <c r="M373" s="3187"/>
      <c r="N373" s="3171"/>
      <c r="O373" s="3171"/>
      <c r="P373" s="3172"/>
      <c r="Q373" s="3173"/>
      <c r="R373" s="3174"/>
      <c r="S373" s="3171"/>
      <c r="T373" s="3171"/>
      <c r="U373" s="3172"/>
      <c r="V373" s="3173"/>
      <c r="W373" s="3174"/>
      <c r="X373" s="3171"/>
      <c r="Y373" s="3171"/>
      <c r="Z373" s="3172"/>
      <c r="AA373" s="3173"/>
      <c r="AB373" s="3174"/>
      <c r="AC373" s="3171"/>
      <c r="AD373" s="3171"/>
      <c r="AE373" s="3172"/>
      <c r="AF373" s="3173"/>
      <c r="AG373" s="3174"/>
      <c r="AH373" s="3171"/>
      <c r="AI373" s="3171"/>
      <c r="AJ373" s="3146">
        <f>名簿入力!AK270</f>
        <v>0</v>
      </c>
      <c r="AK373" s="3147"/>
      <c r="AL373" s="3147"/>
      <c r="AM373" s="3147"/>
      <c r="AN373" s="3147"/>
      <c r="AO373" s="3148"/>
      <c r="AP373" s="3178"/>
      <c r="AQ373" s="3179"/>
      <c r="AR373" s="3179"/>
      <c r="AS373" s="3179"/>
      <c r="AT373" s="3180"/>
      <c r="AU373" s="113"/>
    </row>
    <row r="374" spans="2:47" ht="15" customHeight="1" x14ac:dyDescent="0.15">
      <c r="B374" s="3149">
        <v>129</v>
      </c>
      <c r="C374" s="3151">
        <f>名簿入力!D271</f>
        <v>0</v>
      </c>
      <c r="D374" s="3152"/>
      <c r="E374" s="3155">
        <f>名簿入力!E271</f>
        <v>0</v>
      </c>
      <c r="F374" s="3157">
        <f>名簿入力!G271</f>
        <v>0</v>
      </c>
      <c r="G374" s="3159">
        <f>名簿入力!H271</f>
        <v>0</v>
      </c>
      <c r="H374" s="3161">
        <f>名簿入力!I271</f>
        <v>0</v>
      </c>
      <c r="I374" s="3162"/>
      <c r="J374" s="3165">
        <f>名簿入力!K271</f>
        <v>0</v>
      </c>
      <c r="K374" s="3167">
        <f>名簿入力!L271</f>
        <v>0</v>
      </c>
      <c r="L374" s="3161">
        <f>名簿入力!M271</f>
        <v>0</v>
      </c>
      <c r="M374" s="3169"/>
      <c r="N374" s="3165">
        <f>名簿入力!O271</f>
        <v>0</v>
      </c>
      <c r="O374" s="3165">
        <f>名簿入力!P271</f>
        <v>0</v>
      </c>
      <c r="P374" s="3167">
        <f>名簿入力!Q271</f>
        <v>0</v>
      </c>
      <c r="Q374" s="3161">
        <f>名簿入力!R271</f>
        <v>0</v>
      </c>
      <c r="R374" s="3162"/>
      <c r="S374" s="3165">
        <f>名簿入力!T271</f>
        <v>0</v>
      </c>
      <c r="T374" s="3165">
        <f>名簿入力!U271</f>
        <v>0</v>
      </c>
      <c r="U374" s="3167">
        <f>名簿入力!V271</f>
        <v>0</v>
      </c>
      <c r="V374" s="3161">
        <f>名簿入力!W271</f>
        <v>0</v>
      </c>
      <c r="W374" s="3162"/>
      <c r="X374" s="3165">
        <f>名簿入力!Y271</f>
        <v>0</v>
      </c>
      <c r="Y374" s="3165">
        <f>名簿入力!Z271</f>
        <v>0</v>
      </c>
      <c r="Z374" s="3167">
        <f>名簿入力!AA271</f>
        <v>0</v>
      </c>
      <c r="AA374" s="3161">
        <f>名簿入力!AB271</f>
        <v>0</v>
      </c>
      <c r="AB374" s="3162"/>
      <c r="AC374" s="3165">
        <f>名簿入力!AD271</f>
        <v>0</v>
      </c>
      <c r="AD374" s="3165">
        <f>名簿入力!AE271</f>
        <v>0</v>
      </c>
      <c r="AE374" s="3167">
        <f>名簿入力!AF271</f>
        <v>0</v>
      </c>
      <c r="AF374" s="3161">
        <f>名簿入力!AG271</f>
        <v>0</v>
      </c>
      <c r="AG374" s="3162"/>
      <c r="AH374" s="3165">
        <f>名簿入力!AI271</f>
        <v>0</v>
      </c>
      <c r="AI374" s="3165">
        <f>名簿入力!AJ271</f>
        <v>0</v>
      </c>
      <c r="AJ374" s="3175">
        <f>名簿入力!AK271</f>
        <v>0</v>
      </c>
      <c r="AK374" s="3176"/>
      <c r="AL374" s="3176"/>
      <c r="AM374" s="3176"/>
      <c r="AN374" s="3176"/>
      <c r="AO374" s="3177"/>
      <c r="AP374" s="3137">
        <f>名簿入力!AO271</f>
        <v>0</v>
      </c>
      <c r="AQ374" s="3138"/>
      <c r="AR374" s="3138"/>
      <c r="AS374" s="3138"/>
      <c r="AT374" s="3139"/>
      <c r="AU374" s="113"/>
    </row>
    <row r="375" spans="2:47" ht="15" customHeight="1" x14ac:dyDescent="0.15">
      <c r="B375" s="3181"/>
      <c r="C375" s="3182"/>
      <c r="D375" s="3183"/>
      <c r="E375" s="3184"/>
      <c r="F375" s="3185"/>
      <c r="G375" s="3186"/>
      <c r="H375" s="3173"/>
      <c r="I375" s="3174"/>
      <c r="J375" s="3171"/>
      <c r="K375" s="3172"/>
      <c r="L375" s="3173"/>
      <c r="M375" s="3187"/>
      <c r="N375" s="3171"/>
      <c r="O375" s="3171"/>
      <c r="P375" s="3172"/>
      <c r="Q375" s="3173"/>
      <c r="R375" s="3174"/>
      <c r="S375" s="3171"/>
      <c r="T375" s="3171"/>
      <c r="U375" s="3172"/>
      <c r="V375" s="3173"/>
      <c r="W375" s="3174"/>
      <c r="X375" s="3171"/>
      <c r="Y375" s="3171"/>
      <c r="Z375" s="3172"/>
      <c r="AA375" s="3173"/>
      <c r="AB375" s="3174"/>
      <c r="AC375" s="3171"/>
      <c r="AD375" s="3171"/>
      <c r="AE375" s="3172"/>
      <c r="AF375" s="3173"/>
      <c r="AG375" s="3174"/>
      <c r="AH375" s="3171"/>
      <c r="AI375" s="3171"/>
      <c r="AJ375" s="3146">
        <f>名簿入力!AK272</f>
        <v>0</v>
      </c>
      <c r="AK375" s="3147"/>
      <c r="AL375" s="3147"/>
      <c r="AM375" s="3147"/>
      <c r="AN375" s="3147"/>
      <c r="AO375" s="3148"/>
      <c r="AP375" s="3178"/>
      <c r="AQ375" s="3179"/>
      <c r="AR375" s="3179"/>
      <c r="AS375" s="3179"/>
      <c r="AT375" s="3180"/>
      <c r="AU375" s="113"/>
    </row>
    <row r="376" spans="2:47" ht="15" customHeight="1" x14ac:dyDescent="0.15">
      <c r="B376" s="3149">
        <v>130</v>
      </c>
      <c r="C376" s="3151">
        <f>名簿入力!D273</f>
        <v>0</v>
      </c>
      <c r="D376" s="3152"/>
      <c r="E376" s="3155">
        <f>名簿入力!E273</f>
        <v>0</v>
      </c>
      <c r="F376" s="3157">
        <f>名簿入力!G273</f>
        <v>0</v>
      </c>
      <c r="G376" s="3159">
        <f>名簿入力!H273</f>
        <v>0</v>
      </c>
      <c r="H376" s="3161">
        <f>名簿入力!I273</f>
        <v>0</v>
      </c>
      <c r="I376" s="3162"/>
      <c r="J376" s="3165">
        <f>名簿入力!K273</f>
        <v>0</v>
      </c>
      <c r="K376" s="3167">
        <f>名簿入力!L273</f>
        <v>0</v>
      </c>
      <c r="L376" s="3161">
        <f>名簿入力!M273</f>
        <v>0</v>
      </c>
      <c r="M376" s="3169"/>
      <c r="N376" s="3165">
        <f>名簿入力!O273</f>
        <v>0</v>
      </c>
      <c r="O376" s="3165">
        <f>名簿入力!P273</f>
        <v>0</v>
      </c>
      <c r="P376" s="3167">
        <f>名簿入力!Q273</f>
        <v>0</v>
      </c>
      <c r="Q376" s="3161">
        <f>名簿入力!R273</f>
        <v>0</v>
      </c>
      <c r="R376" s="3162"/>
      <c r="S376" s="3165">
        <f>名簿入力!T273</f>
        <v>0</v>
      </c>
      <c r="T376" s="3165">
        <f>名簿入力!U273</f>
        <v>0</v>
      </c>
      <c r="U376" s="3167">
        <f>名簿入力!V273</f>
        <v>0</v>
      </c>
      <c r="V376" s="3161">
        <f>名簿入力!W273</f>
        <v>0</v>
      </c>
      <c r="W376" s="3162"/>
      <c r="X376" s="3165">
        <f>名簿入力!Y273</f>
        <v>0</v>
      </c>
      <c r="Y376" s="3165">
        <f>名簿入力!Z273</f>
        <v>0</v>
      </c>
      <c r="Z376" s="3167">
        <f>名簿入力!AA273</f>
        <v>0</v>
      </c>
      <c r="AA376" s="3161">
        <f>名簿入力!AB273</f>
        <v>0</v>
      </c>
      <c r="AB376" s="3162"/>
      <c r="AC376" s="3165">
        <f>名簿入力!AD273</f>
        <v>0</v>
      </c>
      <c r="AD376" s="3165">
        <f>名簿入力!AE273</f>
        <v>0</v>
      </c>
      <c r="AE376" s="3167">
        <f>名簿入力!AF273</f>
        <v>0</v>
      </c>
      <c r="AF376" s="3161">
        <f>名簿入力!AG273</f>
        <v>0</v>
      </c>
      <c r="AG376" s="3162"/>
      <c r="AH376" s="3165">
        <f>名簿入力!AI273</f>
        <v>0</v>
      </c>
      <c r="AI376" s="3165">
        <f>名簿入力!AJ273</f>
        <v>0</v>
      </c>
      <c r="AJ376" s="3175">
        <f>名簿入力!AK273</f>
        <v>0</v>
      </c>
      <c r="AK376" s="3176"/>
      <c r="AL376" s="3176"/>
      <c r="AM376" s="3176"/>
      <c r="AN376" s="3176"/>
      <c r="AO376" s="3177"/>
      <c r="AP376" s="3137">
        <f>名簿入力!AO273</f>
        <v>0</v>
      </c>
      <c r="AQ376" s="3138"/>
      <c r="AR376" s="3138"/>
      <c r="AS376" s="3138"/>
      <c r="AT376" s="3139"/>
      <c r="AU376" s="113"/>
    </row>
    <row r="377" spans="2:47" ht="15" customHeight="1" x14ac:dyDescent="0.15">
      <c r="B377" s="3181"/>
      <c r="C377" s="3182"/>
      <c r="D377" s="3183"/>
      <c r="E377" s="3184"/>
      <c r="F377" s="3185"/>
      <c r="G377" s="3186"/>
      <c r="H377" s="3173"/>
      <c r="I377" s="3174"/>
      <c r="J377" s="3171"/>
      <c r="K377" s="3172"/>
      <c r="L377" s="3173"/>
      <c r="M377" s="3187"/>
      <c r="N377" s="3171"/>
      <c r="O377" s="3171"/>
      <c r="P377" s="3172"/>
      <c r="Q377" s="3173"/>
      <c r="R377" s="3174"/>
      <c r="S377" s="3171"/>
      <c r="T377" s="3171"/>
      <c r="U377" s="3172"/>
      <c r="V377" s="3173"/>
      <c r="W377" s="3174"/>
      <c r="X377" s="3171"/>
      <c r="Y377" s="3171"/>
      <c r="Z377" s="3172"/>
      <c r="AA377" s="3173"/>
      <c r="AB377" s="3174"/>
      <c r="AC377" s="3171"/>
      <c r="AD377" s="3171"/>
      <c r="AE377" s="3172"/>
      <c r="AF377" s="3173"/>
      <c r="AG377" s="3174"/>
      <c r="AH377" s="3171"/>
      <c r="AI377" s="3171"/>
      <c r="AJ377" s="3146">
        <f>名簿入力!AK274</f>
        <v>0</v>
      </c>
      <c r="AK377" s="3147"/>
      <c r="AL377" s="3147"/>
      <c r="AM377" s="3147"/>
      <c r="AN377" s="3147"/>
      <c r="AO377" s="3148"/>
      <c r="AP377" s="3178"/>
      <c r="AQ377" s="3179"/>
      <c r="AR377" s="3179"/>
      <c r="AS377" s="3179"/>
      <c r="AT377" s="3180"/>
      <c r="AU377" s="113"/>
    </row>
    <row r="378" spans="2:47" ht="15" customHeight="1" x14ac:dyDescent="0.15">
      <c r="B378" s="3149">
        <v>131</v>
      </c>
      <c r="C378" s="3151">
        <f>名簿入力!D275</f>
        <v>0</v>
      </c>
      <c r="D378" s="3152"/>
      <c r="E378" s="3155">
        <f>名簿入力!E275</f>
        <v>0</v>
      </c>
      <c r="F378" s="3157">
        <f>名簿入力!G275</f>
        <v>0</v>
      </c>
      <c r="G378" s="3159">
        <f>名簿入力!H275</f>
        <v>0</v>
      </c>
      <c r="H378" s="3161">
        <f>名簿入力!I275</f>
        <v>0</v>
      </c>
      <c r="I378" s="3162"/>
      <c r="J378" s="3165">
        <f>名簿入力!K275</f>
        <v>0</v>
      </c>
      <c r="K378" s="3167">
        <f>名簿入力!L275</f>
        <v>0</v>
      </c>
      <c r="L378" s="3161">
        <f>名簿入力!M275</f>
        <v>0</v>
      </c>
      <c r="M378" s="3169"/>
      <c r="N378" s="3165">
        <f>名簿入力!O275</f>
        <v>0</v>
      </c>
      <c r="O378" s="3165">
        <f>名簿入力!P275</f>
        <v>0</v>
      </c>
      <c r="P378" s="3167">
        <f>名簿入力!Q275</f>
        <v>0</v>
      </c>
      <c r="Q378" s="3161">
        <f>名簿入力!R275</f>
        <v>0</v>
      </c>
      <c r="R378" s="3162"/>
      <c r="S378" s="3165">
        <f>名簿入力!T275</f>
        <v>0</v>
      </c>
      <c r="T378" s="3165">
        <f>名簿入力!U275</f>
        <v>0</v>
      </c>
      <c r="U378" s="3167">
        <f>名簿入力!V275</f>
        <v>0</v>
      </c>
      <c r="V378" s="3161">
        <f>名簿入力!W275</f>
        <v>0</v>
      </c>
      <c r="W378" s="3162"/>
      <c r="X378" s="3165">
        <f>名簿入力!Y275</f>
        <v>0</v>
      </c>
      <c r="Y378" s="3165">
        <f>名簿入力!Z275</f>
        <v>0</v>
      </c>
      <c r="Z378" s="3167">
        <f>名簿入力!AA275</f>
        <v>0</v>
      </c>
      <c r="AA378" s="3161">
        <f>名簿入力!AB275</f>
        <v>0</v>
      </c>
      <c r="AB378" s="3162"/>
      <c r="AC378" s="3165">
        <f>名簿入力!AD275</f>
        <v>0</v>
      </c>
      <c r="AD378" s="3165">
        <f>名簿入力!AE275</f>
        <v>0</v>
      </c>
      <c r="AE378" s="3167">
        <f>名簿入力!AF275</f>
        <v>0</v>
      </c>
      <c r="AF378" s="3161">
        <f>名簿入力!AG275</f>
        <v>0</v>
      </c>
      <c r="AG378" s="3162"/>
      <c r="AH378" s="3165">
        <f>名簿入力!AI275</f>
        <v>0</v>
      </c>
      <c r="AI378" s="3165">
        <f>名簿入力!AJ275</f>
        <v>0</v>
      </c>
      <c r="AJ378" s="3175">
        <f>名簿入力!AK275</f>
        <v>0</v>
      </c>
      <c r="AK378" s="3176"/>
      <c r="AL378" s="3176"/>
      <c r="AM378" s="3176"/>
      <c r="AN378" s="3176"/>
      <c r="AO378" s="3177"/>
      <c r="AP378" s="3137">
        <f>名簿入力!AO275</f>
        <v>0</v>
      </c>
      <c r="AQ378" s="3138"/>
      <c r="AR378" s="3138"/>
      <c r="AS378" s="3138"/>
      <c r="AT378" s="3139"/>
      <c r="AU378" s="113"/>
    </row>
    <row r="379" spans="2:47" ht="15" customHeight="1" x14ac:dyDescent="0.15">
      <c r="B379" s="3181"/>
      <c r="C379" s="3182"/>
      <c r="D379" s="3183"/>
      <c r="E379" s="3184"/>
      <c r="F379" s="3185"/>
      <c r="G379" s="3186"/>
      <c r="H379" s="3173"/>
      <c r="I379" s="3174"/>
      <c r="J379" s="3171"/>
      <c r="K379" s="3172"/>
      <c r="L379" s="3173"/>
      <c r="M379" s="3187"/>
      <c r="N379" s="3171"/>
      <c r="O379" s="3171"/>
      <c r="P379" s="3172"/>
      <c r="Q379" s="3173"/>
      <c r="R379" s="3174"/>
      <c r="S379" s="3171"/>
      <c r="T379" s="3171"/>
      <c r="U379" s="3172"/>
      <c r="V379" s="3173"/>
      <c r="W379" s="3174"/>
      <c r="X379" s="3171"/>
      <c r="Y379" s="3171"/>
      <c r="Z379" s="3172"/>
      <c r="AA379" s="3173"/>
      <c r="AB379" s="3174"/>
      <c r="AC379" s="3171"/>
      <c r="AD379" s="3171"/>
      <c r="AE379" s="3172"/>
      <c r="AF379" s="3173"/>
      <c r="AG379" s="3174"/>
      <c r="AH379" s="3171"/>
      <c r="AI379" s="3171"/>
      <c r="AJ379" s="3146">
        <f>名簿入力!AK276</f>
        <v>0</v>
      </c>
      <c r="AK379" s="3147"/>
      <c r="AL379" s="3147"/>
      <c r="AM379" s="3147"/>
      <c r="AN379" s="3147"/>
      <c r="AO379" s="3148"/>
      <c r="AP379" s="3178"/>
      <c r="AQ379" s="3179"/>
      <c r="AR379" s="3179"/>
      <c r="AS379" s="3179"/>
      <c r="AT379" s="3180"/>
      <c r="AU379" s="113"/>
    </row>
    <row r="380" spans="2:47" ht="15" customHeight="1" x14ac:dyDescent="0.15">
      <c r="B380" s="3149">
        <v>132</v>
      </c>
      <c r="C380" s="3151">
        <f>名簿入力!D277</f>
        <v>0</v>
      </c>
      <c r="D380" s="3152"/>
      <c r="E380" s="3155">
        <f>名簿入力!E277</f>
        <v>0</v>
      </c>
      <c r="F380" s="3157">
        <f>名簿入力!G277</f>
        <v>0</v>
      </c>
      <c r="G380" s="3159">
        <f>名簿入力!H277</f>
        <v>0</v>
      </c>
      <c r="H380" s="3161">
        <f>名簿入力!I277</f>
        <v>0</v>
      </c>
      <c r="I380" s="3162"/>
      <c r="J380" s="3165">
        <f>名簿入力!K277</f>
        <v>0</v>
      </c>
      <c r="K380" s="3167">
        <f>名簿入力!L277</f>
        <v>0</v>
      </c>
      <c r="L380" s="3161">
        <f>名簿入力!M277</f>
        <v>0</v>
      </c>
      <c r="M380" s="3169"/>
      <c r="N380" s="3165">
        <f>名簿入力!O277</f>
        <v>0</v>
      </c>
      <c r="O380" s="3165">
        <f>名簿入力!P277</f>
        <v>0</v>
      </c>
      <c r="P380" s="3167">
        <f>名簿入力!Q277</f>
        <v>0</v>
      </c>
      <c r="Q380" s="3161">
        <f>名簿入力!R277</f>
        <v>0</v>
      </c>
      <c r="R380" s="3162"/>
      <c r="S380" s="3165">
        <f>名簿入力!T277</f>
        <v>0</v>
      </c>
      <c r="T380" s="3165">
        <f>名簿入力!U277</f>
        <v>0</v>
      </c>
      <c r="U380" s="3167">
        <f>名簿入力!V277</f>
        <v>0</v>
      </c>
      <c r="V380" s="3161">
        <f>名簿入力!W277</f>
        <v>0</v>
      </c>
      <c r="W380" s="3162"/>
      <c r="X380" s="3165">
        <f>名簿入力!Y277</f>
        <v>0</v>
      </c>
      <c r="Y380" s="3165">
        <f>名簿入力!Z277</f>
        <v>0</v>
      </c>
      <c r="Z380" s="3167">
        <f>名簿入力!AA277</f>
        <v>0</v>
      </c>
      <c r="AA380" s="3161">
        <f>名簿入力!AB277</f>
        <v>0</v>
      </c>
      <c r="AB380" s="3162"/>
      <c r="AC380" s="3165">
        <f>名簿入力!AD277</f>
        <v>0</v>
      </c>
      <c r="AD380" s="3165">
        <f>名簿入力!AE277</f>
        <v>0</v>
      </c>
      <c r="AE380" s="3167">
        <f>名簿入力!AF277</f>
        <v>0</v>
      </c>
      <c r="AF380" s="3161">
        <f>名簿入力!AG277</f>
        <v>0</v>
      </c>
      <c r="AG380" s="3162"/>
      <c r="AH380" s="3165">
        <f>名簿入力!AI277</f>
        <v>0</v>
      </c>
      <c r="AI380" s="3165">
        <f>名簿入力!AJ277</f>
        <v>0</v>
      </c>
      <c r="AJ380" s="3175">
        <f>名簿入力!AK277</f>
        <v>0</v>
      </c>
      <c r="AK380" s="3176"/>
      <c r="AL380" s="3176"/>
      <c r="AM380" s="3176"/>
      <c r="AN380" s="3176"/>
      <c r="AO380" s="3177"/>
      <c r="AP380" s="3137">
        <f>名簿入力!AO277</f>
        <v>0</v>
      </c>
      <c r="AQ380" s="3138"/>
      <c r="AR380" s="3138"/>
      <c r="AS380" s="3138"/>
      <c r="AT380" s="3139"/>
      <c r="AU380" s="113"/>
    </row>
    <row r="381" spans="2:47" ht="15" customHeight="1" x14ac:dyDescent="0.15">
      <c r="B381" s="3181"/>
      <c r="C381" s="3182"/>
      <c r="D381" s="3183"/>
      <c r="E381" s="3184"/>
      <c r="F381" s="3185"/>
      <c r="G381" s="3186"/>
      <c r="H381" s="3173"/>
      <c r="I381" s="3174"/>
      <c r="J381" s="3171"/>
      <c r="K381" s="3172"/>
      <c r="L381" s="3173"/>
      <c r="M381" s="3187"/>
      <c r="N381" s="3171"/>
      <c r="O381" s="3171"/>
      <c r="P381" s="3172"/>
      <c r="Q381" s="3173"/>
      <c r="R381" s="3174"/>
      <c r="S381" s="3171"/>
      <c r="T381" s="3171"/>
      <c r="U381" s="3172"/>
      <c r="V381" s="3173"/>
      <c r="W381" s="3174"/>
      <c r="X381" s="3171"/>
      <c r="Y381" s="3171"/>
      <c r="Z381" s="3172"/>
      <c r="AA381" s="3173"/>
      <c r="AB381" s="3174"/>
      <c r="AC381" s="3171"/>
      <c r="AD381" s="3171"/>
      <c r="AE381" s="3172"/>
      <c r="AF381" s="3173"/>
      <c r="AG381" s="3174"/>
      <c r="AH381" s="3171"/>
      <c r="AI381" s="3171"/>
      <c r="AJ381" s="3146">
        <f>名簿入力!AK278</f>
        <v>0</v>
      </c>
      <c r="AK381" s="3147"/>
      <c r="AL381" s="3147"/>
      <c r="AM381" s="3147"/>
      <c r="AN381" s="3147"/>
      <c r="AO381" s="3148"/>
      <c r="AP381" s="3178"/>
      <c r="AQ381" s="3179"/>
      <c r="AR381" s="3179"/>
      <c r="AS381" s="3179"/>
      <c r="AT381" s="3180"/>
      <c r="AU381" s="113"/>
    </row>
    <row r="382" spans="2:47" ht="15" customHeight="1" x14ac:dyDescent="0.15">
      <c r="B382" s="3149">
        <v>133</v>
      </c>
      <c r="C382" s="3151">
        <f>名簿入力!D279</f>
        <v>0</v>
      </c>
      <c r="D382" s="3152"/>
      <c r="E382" s="3155">
        <f>名簿入力!E279</f>
        <v>0</v>
      </c>
      <c r="F382" s="3157">
        <f>名簿入力!G279</f>
        <v>0</v>
      </c>
      <c r="G382" s="3159">
        <f>名簿入力!H279</f>
        <v>0</v>
      </c>
      <c r="H382" s="3161">
        <f>名簿入力!I279</f>
        <v>0</v>
      </c>
      <c r="I382" s="3162"/>
      <c r="J382" s="3165">
        <f>名簿入力!K279</f>
        <v>0</v>
      </c>
      <c r="K382" s="3167">
        <f>名簿入力!L279</f>
        <v>0</v>
      </c>
      <c r="L382" s="3161">
        <f>名簿入力!M279</f>
        <v>0</v>
      </c>
      <c r="M382" s="3169"/>
      <c r="N382" s="3165">
        <f>名簿入力!O279</f>
        <v>0</v>
      </c>
      <c r="O382" s="3165">
        <f>名簿入力!P279</f>
        <v>0</v>
      </c>
      <c r="P382" s="3167">
        <f>名簿入力!Q279</f>
        <v>0</v>
      </c>
      <c r="Q382" s="3161">
        <f>名簿入力!R279</f>
        <v>0</v>
      </c>
      <c r="R382" s="3162"/>
      <c r="S382" s="3165">
        <f>名簿入力!T279</f>
        <v>0</v>
      </c>
      <c r="T382" s="3165">
        <f>名簿入力!U279</f>
        <v>0</v>
      </c>
      <c r="U382" s="3167">
        <f>名簿入力!V279</f>
        <v>0</v>
      </c>
      <c r="V382" s="3161">
        <f>名簿入力!W279</f>
        <v>0</v>
      </c>
      <c r="W382" s="3162"/>
      <c r="X382" s="3165">
        <f>名簿入力!Y279</f>
        <v>0</v>
      </c>
      <c r="Y382" s="3165">
        <f>名簿入力!Z279</f>
        <v>0</v>
      </c>
      <c r="Z382" s="3167">
        <f>名簿入力!AA279</f>
        <v>0</v>
      </c>
      <c r="AA382" s="3161">
        <f>名簿入力!AB279</f>
        <v>0</v>
      </c>
      <c r="AB382" s="3162"/>
      <c r="AC382" s="3165">
        <f>名簿入力!AD279</f>
        <v>0</v>
      </c>
      <c r="AD382" s="3165">
        <f>名簿入力!AE279</f>
        <v>0</v>
      </c>
      <c r="AE382" s="3167">
        <f>名簿入力!AF279</f>
        <v>0</v>
      </c>
      <c r="AF382" s="3161">
        <f>名簿入力!AG279</f>
        <v>0</v>
      </c>
      <c r="AG382" s="3162"/>
      <c r="AH382" s="3165">
        <f>名簿入力!AI279</f>
        <v>0</v>
      </c>
      <c r="AI382" s="3165">
        <f>名簿入力!AJ279</f>
        <v>0</v>
      </c>
      <c r="AJ382" s="3175">
        <f>名簿入力!AK279</f>
        <v>0</v>
      </c>
      <c r="AK382" s="3176"/>
      <c r="AL382" s="3176"/>
      <c r="AM382" s="3176"/>
      <c r="AN382" s="3176"/>
      <c r="AO382" s="3177"/>
      <c r="AP382" s="3137">
        <f>名簿入力!AO279</f>
        <v>0</v>
      </c>
      <c r="AQ382" s="3138"/>
      <c r="AR382" s="3138"/>
      <c r="AS382" s="3138"/>
      <c r="AT382" s="3139"/>
      <c r="AU382" s="113"/>
    </row>
    <row r="383" spans="2:47" ht="15" customHeight="1" x14ac:dyDescent="0.15">
      <c r="B383" s="3181"/>
      <c r="C383" s="3182"/>
      <c r="D383" s="3183"/>
      <c r="E383" s="3184"/>
      <c r="F383" s="3185"/>
      <c r="G383" s="3186"/>
      <c r="H383" s="3173"/>
      <c r="I383" s="3174"/>
      <c r="J383" s="3171"/>
      <c r="K383" s="3172"/>
      <c r="L383" s="3173"/>
      <c r="M383" s="3187"/>
      <c r="N383" s="3171"/>
      <c r="O383" s="3171"/>
      <c r="P383" s="3172"/>
      <c r="Q383" s="3173"/>
      <c r="R383" s="3174"/>
      <c r="S383" s="3171"/>
      <c r="T383" s="3171"/>
      <c r="U383" s="3172"/>
      <c r="V383" s="3173"/>
      <c r="W383" s="3174"/>
      <c r="X383" s="3171"/>
      <c r="Y383" s="3171"/>
      <c r="Z383" s="3172"/>
      <c r="AA383" s="3173"/>
      <c r="AB383" s="3174"/>
      <c r="AC383" s="3171"/>
      <c r="AD383" s="3171"/>
      <c r="AE383" s="3172"/>
      <c r="AF383" s="3173"/>
      <c r="AG383" s="3174"/>
      <c r="AH383" s="3171"/>
      <c r="AI383" s="3171"/>
      <c r="AJ383" s="3146">
        <f>名簿入力!AK280</f>
        <v>0</v>
      </c>
      <c r="AK383" s="3147"/>
      <c r="AL383" s="3147"/>
      <c r="AM383" s="3147"/>
      <c r="AN383" s="3147"/>
      <c r="AO383" s="3148"/>
      <c r="AP383" s="3178"/>
      <c r="AQ383" s="3179"/>
      <c r="AR383" s="3179"/>
      <c r="AS383" s="3179"/>
      <c r="AT383" s="3180"/>
      <c r="AU383" s="113"/>
    </row>
    <row r="384" spans="2:47" ht="15" customHeight="1" x14ac:dyDescent="0.15">
      <c r="B384" s="3149">
        <v>134</v>
      </c>
      <c r="C384" s="3151">
        <f>名簿入力!D281</f>
        <v>0</v>
      </c>
      <c r="D384" s="3152"/>
      <c r="E384" s="3155">
        <f>名簿入力!E281</f>
        <v>0</v>
      </c>
      <c r="F384" s="3157">
        <f>名簿入力!G281</f>
        <v>0</v>
      </c>
      <c r="G384" s="3159">
        <f>名簿入力!H281</f>
        <v>0</v>
      </c>
      <c r="H384" s="3161">
        <f>名簿入力!I281</f>
        <v>0</v>
      </c>
      <c r="I384" s="3162"/>
      <c r="J384" s="3165">
        <f>名簿入力!K281</f>
        <v>0</v>
      </c>
      <c r="K384" s="3167">
        <f>名簿入力!L281</f>
        <v>0</v>
      </c>
      <c r="L384" s="3161">
        <f>名簿入力!M281</f>
        <v>0</v>
      </c>
      <c r="M384" s="3169"/>
      <c r="N384" s="3165">
        <f>名簿入力!O281</f>
        <v>0</v>
      </c>
      <c r="O384" s="3165">
        <f>名簿入力!P281</f>
        <v>0</v>
      </c>
      <c r="P384" s="3167">
        <f>名簿入力!Q281</f>
        <v>0</v>
      </c>
      <c r="Q384" s="3161">
        <f>名簿入力!R281</f>
        <v>0</v>
      </c>
      <c r="R384" s="3162"/>
      <c r="S384" s="3165">
        <f>名簿入力!T281</f>
        <v>0</v>
      </c>
      <c r="T384" s="3165">
        <f>名簿入力!U281</f>
        <v>0</v>
      </c>
      <c r="U384" s="3167">
        <f>名簿入力!V281</f>
        <v>0</v>
      </c>
      <c r="V384" s="3161">
        <f>名簿入力!W281</f>
        <v>0</v>
      </c>
      <c r="W384" s="3162"/>
      <c r="X384" s="3165">
        <f>名簿入力!Y281</f>
        <v>0</v>
      </c>
      <c r="Y384" s="3165">
        <f>名簿入力!Z281</f>
        <v>0</v>
      </c>
      <c r="Z384" s="3167">
        <f>名簿入力!AA281</f>
        <v>0</v>
      </c>
      <c r="AA384" s="3161">
        <f>名簿入力!AB281</f>
        <v>0</v>
      </c>
      <c r="AB384" s="3162"/>
      <c r="AC384" s="3165">
        <f>名簿入力!AD281</f>
        <v>0</v>
      </c>
      <c r="AD384" s="3165">
        <f>名簿入力!AE281</f>
        <v>0</v>
      </c>
      <c r="AE384" s="3167">
        <f>名簿入力!AF281</f>
        <v>0</v>
      </c>
      <c r="AF384" s="3161">
        <f>名簿入力!AG281</f>
        <v>0</v>
      </c>
      <c r="AG384" s="3162"/>
      <c r="AH384" s="3165">
        <f>名簿入力!AI281</f>
        <v>0</v>
      </c>
      <c r="AI384" s="3165">
        <f>名簿入力!AJ281</f>
        <v>0</v>
      </c>
      <c r="AJ384" s="3175">
        <f>名簿入力!AK281</f>
        <v>0</v>
      </c>
      <c r="AK384" s="3176"/>
      <c r="AL384" s="3176"/>
      <c r="AM384" s="3176"/>
      <c r="AN384" s="3176"/>
      <c r="AO384" s="3177"/>
      <c r="AP384" s="3137">
        <f>名簿入力!AO281</f>
        <v>0</v>
      </c>
      <c r="AQ384" s="3138"/>
      <c r="AR384" s="3138"/>
      <c r="AS384" s="3138"/>
      <c r="AT384" s="3139"/>
      <c r="AU384" s="113"/>
    </row>
    <row r="385" spans="2:50" ht="15" customHeight="1" x14ac:dyDescent="0.15">
      <c r="B385" s="3181"/>
      <c r="C385" s="3182"/>
      <c r="D385" s="3183"/>
      <c r="E385" s="3184"/>
      <c r="F385" s="3185"/>
      <c r="G385" s="3186"/>
      <c r="H385" s="3173"/>
      <c r="I385" s="3174"/>
      <c r="J385" s="3171"/>
      <c r="K385" s="3172"/>
      <c r="L385" s="3173"/>
      <c r="M385" s="3187"/>
      <c r="N385" s="3171"/>
      <c r="O385" s="3171"/>
      <c r="P385" s="3172"/>
      <c r="Q385" s="3173"/>
      <c r="R385" s="3174"/>
      <c r="S385" s="3171"/>
      <c r="T385" s="3171"/>
      <c r="U385" s="3172"/>
      <c r="V385" s="3173"/>
      <c r="W385" s="3174"/>
      <c r="X385" s="3171"/>
      <c r="Y385" s="3171"/>
      <c r="Z385" s="3172"/>
      <c r="AA385" s="3173"/>
      <c r="AB385" s="3174"/>
      <c r="AC385" s="3171"/>
      <c r="AD385" s="3171"/>
      <c r="AE385" s="3172"/>
      <c r="AF385" s="3173"/>
      <c r="AG385" s="3174"/>
      <c r="AH385" s="3171"/>
      <c r="AI385" s="3171"/>
      <c r="AJ385" s="3146">
        <f>名簿入力!AK282</f>
        <v>0</v>
      </c>
      <c r="AK385" s="3147"/>
      <c r="AL385" s="3147"/>
      <c r="AM385" s="3147"/>
      <c r="AN385" s="3147"/>
      <c r="AO385" s="3148"/>
      <c r="AP385" s="3178"/>
      <c r="AQ385" s="3179"/>
      <c r="AR385" s="3179"/>
      <c r="AS385" s="3179"/>
      <c r="AT385" s="3180"/>
      <c r="AU385" s="113"/>
    </row>
    <row r="386" spans="2:50" ht="15" customHeight="1" x14ac:dyDescent="0.15">
      <c r="B386" s="3149">
        <v>135</v>
      </c>
      <c r="C386" s="3151">
        <f>名簿入力!D283</f>
        <v>0</v>
      </c>
      <c r="D386" s="3152"/>
      <c r="E386" s="3155">
        <f>名簿入力!E283</f>
        <v>0</v>
      </c>
      <c r="F386" s="3157">
        <f>名簿入力!G283</f>
        <v>0</v>
      </c>
      <c r="G386" s="3159">
        <f>名簿入力!H283</f>
        <v>0</v>
      </c>
      <c r="H386" s="3161">
        <f>名簿入力!I283</f>
        <v>0</v>
      </c>
      <c r="I386" s="3162"/>
      <c r="J386" s="3165">
        <f>名簿入力!K283</f>
        <v>0</v>
      </c>
      <c r="K386" s="3167">
        <f>名簿入力!L283</f>
        <v>0</v>
      </c>
      <c r="L386" s="3161">
        <f>名簿入力!M283</f>
        <v>0</v>
      </c>
      <c r="M386" s="3169"/>
      <c r="N386" s="3165">
        <f>名簿入力!O283</f>
        <v>0</v>
      </c>
      <c r="O386" s="3165">
        <f>名簿入力!P283</f>
        <v>0</v>
      </c>
      <c r="P386" s="3167">
        <f>名簿入力!Q283</f>
        <v>0</v>
      </c>
      <c r="Q386" s="3161">
        <f>名簿入力!R283</f>
        <v>0</v>
      </c>
      <c r="R386" s="3162"/>
      <c r="S386" s="3165">
        <f>名簿入力!T283</f>
        <v>0</v>
      </c>
      <c r="T386" s="3165">
        <f>名簿入力!U283</f>
        <v>0</v>
      </c>
      <c r="U386" s="3167">
        <f>名簿入力!V283</f>
        <v>0</v>
      </c>
      <c r="V386" s="3161">
        <f>名簿入力!W283</f>
        <v>0</v>
      </c>
      <c r="W386" s="3162"/>
      <c r="X386" s="3165">
        <f>名簿入力!Y283</f>
        <v>0</v>
      </c>
      <c r="Y386" s="3165">
        <f>名簿入力!Z283</f>
        <v>0</v>
      </c>
      <c r="Z386" s="3167">
        <f>名簿入力!AA283</f>
        <v>0</v>
      </c>
      <c r="AA386" s="3161">
        <f>名簿入力!AB283</f>
        <v>0</v>
      </c>
      <c r="AB386" s="3162"/>
      <c r="AC386" s="3165">
        <f>名簿入力!AD283</f>
        <v>0</v>
      </c>
      <c r="AD386" s="3165">
        <f>名簿入力!AE283</f>
        <v>0</v>
      </c>
      <c r="AE386" s="3167">
        <f>名簿入力!AF283</f>
        <v>0</v>
      </c>
      <c r="AF386" s="3161">
        <f>名簿入力!AG283</f>
        <v>0</v>
      </c>
      <c r="AG386" s="3162"/>
      <c r="AH386" s="3165">
        <f>名簿入力!AI283</f>
        <v>0</v>
      </c>
      <c r="AI386" s="3165">
        <f>名簿入力!AJ283</f>
        <v>0</v>
      </c>
      <c r="AJ386" s="3175">
        <f>名簿入力!AK283</f>
        <v>0</v>
      </c>
      <c r="AK386" s="3176"/>
      <c r="AL386" s="3176"/>
      <c r="AM386" s="3176"/>
      <c r="AN386" s="3176"/>
      <c r="AO386" s="3177"/>
      <c r="AP386" s="3137">
        <f>名簿入力!AO283</f>
        <v>0</v>
      </c>
      <c r="AQ386" s="3138"/>
      <c r="AR386" s="3138"/>
      <c r="AS386" s="3138"/>
      <c r="AT386" s="3139"/>
      <c r="AU386" s="113"/>
    </row>
    <row r="387" spans="2:50" ht="15" customHeight="1" thickBot="1" x14ac:dyDescent="0.2">
      <c r="B387" s="3150"/>
      <c r="C387" s="3153"/>
      <c r="D387" s="3154"/>
      <c r="E387" s="3156"/>
      <c r="F387" s="3158"/>
      <c r="G387" s="3160"/>
      <c r="H387" s="3163"/>
      <c r="I387" s="3164"/>
      <c r="J387" s="3166"/>
      <c r="K387" s="3168"/>
      <c r="L387" s="3163"/>
      <c r="M387" s="3170"/>
      <c r="N387" s="3166"/>
      <c r="O387" s="3166"/>
      <c r="P387" s="3168"/>
      <c r="Q387" s="3163"/>
      <c r="R387" s="3164"/>
      <c r="S387" s="3166"/>
      <c r="T387" s="3166"/>
      <c r="U387" s="3168"/>
      <c r="V387" s="3163"/>
      <c r="W387" s="3164"/>
      <c r="X387" s="3166"/>
      <c r="Y387" s="3166"/>
      <c r="Z387" s="3168"/>
      <c r="AA387" s="3163"/>
      <c r="AB387" s="3164"/>
      <c r="AC387" s="3166"/>
      <c r="AD387" s="3166"/>
      <c r="AE387" s="3168"/>
      <c r="AF387" s="3163"/>
      <c r="AG387" s="3164"/>
      <c r="AH387" s="3166"/>
      <c r="AI387" s="3166"/>
      <c r="AJ387" s="3143">
        <f>名簿入力!AK284</f>
        <v>0</v>
      </c>
      <c r="AK387" s="3144"/>
      <c r="AL387" s="3144"/>
      <c r="AM387" s="3144"/>
      <c r="AN387" s="3144"/>
      <c r="AO387" s="3145"/>
      <c r="AP387" s="3140"/>
      <c r="AQ387" s="3141"/>
      <c r="AR387" s="3141"/>
      <c r="AS387" s="3141"/>
      <c r="AT387" s="3142"/>
      <c r="AU387" s="113"/>
    </row>
    <row r="388" spans="2:50" ht="46.5" customHeight="1" x14ac:dyDescent="0.15">
      <c r="B388" s="524"/>
      <c r="C388" s="525"/>
      <c r="D388" s="525"/>
      <c r="E388" s="526"/>
      <c r="F388" s="527"/>
      <c r="G388" s="527"/>
      <c r="H388" s="528"/>
      <c r="I388" s="528"/>
      <c r="J388" s="529"/>
      <c r="K388" s="529"/>
      <c r="L388" s="528"/>
      <c r="M388" s="528"/>
      <c r="N388" s="529"/>
      <c r="O388" s="529"/>
      <c r="P388" s="529"/>
      <c r="Q388" s="528"/>
      <c r="R388" s="528"/>
      <c r="S388" s="529"/>
      <c r="T388" s="529"/>
      <c r="U388" s="529"/>
      <c r="V388" s="528"/>
      <c r="W388" s="528"/>
      <c r="X388" s="529"/>
      <c r="Y388" s="529"/>
      <c r="Z388" s="529"/>
      <c r="AA388" s="528"/>
      <c r="AB388" s="528"/>
      <c r="AC388" s="529"/>
      <c r="AD388" s="529"/>
      <c r="AE388" s="529"/>
      <c r="AF388" s="528"/>
      <c r="AG388" s="528"/>
      <c r="AH388" s="529"/>
      <c r="AI388" s="1112"/>
      <c r="AJ388" s="1113"/>
      <c r="AK388" s="1113"/>
      <c r="AL388" s="1113"/>
      <c r="AM388" s="1113"/>
      <c r="AN388" s="1113"/>
      <c r="AO388" s="1113"/>
      <c r="AP388" s="1114"/>
      <c r="AQ388" s="1114"/>
      <c r="AR388" s="1114"/>
      <c r="AS388" s="1114"/>
      <c r="AT388" s="1114"/>
      <c r="AU388" s="113"/>
    </row>
    <row r="389" spans="2:50" ht="26.25" customHeight="1" x14ac:dyDescent="0.15">
      <c r="C389" s="3279" t="s">
        <v>282</v>
      </c>
      <c r="D389" s="3279"/>
      <c r="E389" s="3279"/>
      <c r="F389" s="3279"/>
      <c r="G389" s="3279"/>
      <c r="H389" s="3279"/>
      <c r="I389" s="3279"/>
      <c r="J389" s="3279"/>
      <c r="K389" s="3279"/>
      <c r="L389" s="3279"/>
      <c r="M389" s="3279"/>
      <c r="N389" s="3279"/>
      <c r="O389" s="3279"/>
      <c r="P389" s="3279"/>
      <c r="Q389" s="3279"/>
      <c r="R389" s="3279"/>
      <c r="S389" s="3279"/>
      <c r="T389" s="3279"/>
      <c r="U389" s="3279"/>
      <c r="V389" s="3279"/>
      <c r="W389" s="3279"/>
      <c r="X389" s="3279"/>
      <c r="Y389" s="3279"/>
      <c r="Z389" s="3279"/>
      <c r="AA389" s="1014"/>
      <c r="AB389" s="1014"/>
      <c r="AC389" s="1014"/>
      <c r="AD389" s="1014"/>
      <c r="AE389" s="1014"/>
      <c r="AF389" s="1014"/>
      <c r="AG389" s="1014"/>
      <c r="AH389" s="1014"/>
      <c r="AI389" s="1014"/>
      <c r="AJ389" s="1014"/>
      <c r="AK389" s="1014"/>
      <c r="AL389" s="1014"/>
      <c r="AM389" s="1014"/>
      <c r="AN389" s="1014"/>
      <c r="AP389" s="499"/>
      <c r="AQ389" s="3230" t="s">
        <v>175</v>
      </c>
      <c r="AR389" s="3230"/>
      <c r="AS389" s="3230">
        <v>10</v>
      </c>
      <c r="AT389" s="3230"/>
    </row>
    <row r="390" spans="2:50" ht="3.75" customHeight="1" thickBot="1" x14ac:dyDescent="0.2">
      <c r="B390" s="854"/>
      <c r="C390" s="854"/>
      <c r="D390" s="854"/>
      <c r="E390" s="854"/>
      <c r="F390" s="854"/>
      <c r="G390" s="854"/>
      <c r="H390" s="854"/>
      <c r="I390" s="854"/>
      <c r="J390" s="854"/>
      <c r="K390" s="854"/>
      <c r="L390" s="854"/>
      <c r="M390" s="854"/>
      <c r="N390" s="854"/>
      <c r="O390" s="854"/>
      <c r="P390" s="854"/>
      <c r="Q390" s="854"/>
      <c r="R390" s="854"/>
      <c r="S390" s="854"/>
      <c r="T390" s="854"/>
      <c r="U390" s="854"/>
      <c r="V390" s="854"/>
      <c r="W390" s="854"/>
      <c r="X390" s="854"/>
      <c r="Y390" s="854"/>
      <c r="Z390" s="854"/>
      <c r="AA390" s="854"/>
      <c r="AB390" s="854"/>
      <c r="AC390" s="854"/>
      <c r="AD390" s="854"/>
      <c r="AE390" s="854"/>
      <c r="AF390" s="854"/>
      <c r="AG390" s="854"/>
      <c r="AH390" s="854"/>
      <c r="AI390" s="854"/>
      <c r="AJ390" s="854"/>
      <c r="AK390" s="854"/>
      <c r="AL390" s="854"/>
      <c r="AM390" s="854"/>
      <c r="AN390" s="854"/>
      <c r="AP390" s="499"/>
      <c r="AQ390" s="855"/>
      <c r="AR390" s="855"/>
      <c r="AS390" s="855"/>
      <c r="AT390" s="855"/>
    </row>
    <row r="391" spans="2:50" ht="15" customHeight="1" x14ac:dyDescent="0.15">
      <c r="B391" s="3231" t="s">
        <v>174</v>
      </c>
      <c r="C391" s="3232"/>
      <c r="D391" s="3235" t="str">
        <f>$D$4</f>
        <v xml:space="preserve"> </v>
      </c>
      <c r="E391" s="3235"/>
      <c r="F391" s="3235"/>
      <c r="G391" s="3235"/>
      <c r="H391" s="3235"/>
      <c r="I391" s="3235"/>
      <c r="J391" s="3235"/>
      <c r="K391" s="3235"/>
      <c r="L391" s="3235"/>
      <c r="M391" s="3235"/>
      <c r="N391" s="3235"/>
      <c r="O391" s="3235"/>
      <c r="P391" s="3235"/>
      <c r="Q391" s="3235"/>
      <c r="R391" s="3235"/>
      <c r="S391" s="3235"/>
      <c r="T391" s="3235"/>
      <c r="U391" s="3235"/>
      <c r="V391" s="3235"/>
      <c r="W391" s="3235"/>
      <c r="X391" s="3235"/>
      <c r="Y391" s="3235"/>
      <c r="Z391" s="3236"/>
      <c r="AA391" s="502"/>
      <c r="AB391" s="503"/>
      <c r="AC391" s="497"/>
      <c r="AD391" s="497"/>
      <c r="AE391" s="497"/>
      <c r="AF391" s="48"/>
      <c r="AG391" s="48"/>
      <c r="AJ391" s="48"/>
      <c r="AK391" s="48"/>
    </row>
    <row r="392" spans="2:50" ht="22.5" customHeight="1" x14ac:dyDescent="0.15">
      <c r="B392" s="3233"/>
      <c r="C392" s="3234"/>
      <c r="D392" s="3237"/>
      <c r="E392" s="3237"/>
      <c r="F392" s="3237"/>
      <c r="G392" s="3237"/>
      <c r="H392" s="3237"/>
      <c r="I392" s="3237"/>
      <c r="J392" s="3237"/>
      <c r="K392" s="3237"/>
      <c r="L392" s="3237"/>
      <c r="M392" s="3237"/>
      <c r="N392" s="3237"/>
      <c r="O392" s="3237"/>
      <c r="P392" s="3237"/>
      <c r="Q392" s="3237"/>
      <c r="R392" s="3237"/>
      <c r="S392" s="3237"/>
      <c r="T392" s="3237"/>
      <c r="U392" s="3237"/>
      <c r="V392" s="3237"/>
      <c r="W392" s="3237"/>
      <c r="X392" s="3237"/>
      <c r="Y392" s="3237"/>
      <c r="Z392" s="3238"/>
      <c r="AA392" s="502"/>
      <c r="AB392" s="504"/>
      <c r="AC392" s="497"/>
      <c r="AD392" s="497"/>
      <c r="AE392" s="497"/>
      <c r="AF392" s="497"/>
      <c r="AG392" s="48"/>
      <c r="AJ392" s="48"/>
      <c r="AK392" s="48"/>
    </row>
    <row r="393" spans="2:50" ht="24.75" customHeight="1" thickBot="1" x14ac:dyDescent="0.2">
      <c r="B393" s="3239" t="s">
        <v>173</v>
      </c>
      <c r="C393" s="3240"/>
      <c r="D393" s="3241">
        <f>$D$6</f>
        <v>0</v>
      </c>
      <c r="E393" s="3241"/>
      <c r="F393" s="513" t="s">
        <v>60</v>
      </c>
      <c r="G393" s="3241">
        <f>$G$6</f>
        <v>0</v>
      </c>
      <c r="H393" s="3241"/>
      <c r="I393" s="514" t="s">
        <v>61</v>
      </c>
      <c r="J393" s="3241">
        <f>$J$6</f>
        <v>0</v>
      </c>
      <c r="K393" s="3241"/>
      <c r="L393" s="514" t="s">
        <v>62</v>
      </c>
      <c r="M393" s="515" t="s">
        <v>96</v>
      </c>
      <c r="N393" s="514" t="str">
        <f>$N$6</f>
        <v/>
      </c>
      <c r="O393" s="514" t="s">
        <v>104</v>
      </c>
      <c r="P393" s="3242" t="s">
        <v>110</v>
      </c>
      <c r="Q393" s="3242"/>
      <c r="R393" s="3243" t="str">
        <f>$R$6</f>
        <v/>
      </c>
      <c r="S393" s="3243"/>
      <c r="T393" s="514" t="s">
        <v>61</v>
      </c>
      <c r="U393" s="3244" t="str">
        <f>$U$6</f>
        <v/>
      </c>
      <c r="V393" s="3244"/>
      <c r="W393" s="514" t="s">
        <v>62</v>
      </c>
      <c r="X393" s="515" t="s">
        <v>96</v>
      </c>
      <c r="Y393" s="516" t="str">
        <f>$Y$6</f>
        <v/>
      </c>
      <c r="Z393" s="517" t="s">
        <v>104</v>
      </c>
      <c r="AA393" s="507"/>
      <c r="AB393" s="48"/>
      <c r="AF393" s="48"/>
      <c r="AG393" s="48"/>
      <c r="AJ393" s="48"/>
      <c r="AK393" s="48"/>
    </row>
    <row r="394" spans="2:50" ht="13.5" customHeight="1" thickBot="1" x14ac:dyDescent="0.2">
      <c r="B394" s="508"/>
      <c r="C394" s="508"/>
      <c r="D394" s="509"/>
      <c r="E394" s="509"/>
      <c r="F394" s="509"/>
      <c r="G394" s="509"/>
      <c r="H394" s="509"/>
      <c r="I394" s="509"/>
      <c r="J394" s="509"/>
      <c r="K394" s="509"/>
      <c r="L394" s="509"/>
      <c r="M394" s="509"/>
      <c r="N394" s="509"/>
      <c r="O394" s="509"/>
      <c r="P394" s="509"/>
      <c r="Q394" s="509"/>
      <c r="R394" s="509"/>
      <c r="S394" s="509"/>
      <c r="T394" s="509"/>
      <c r="U394" s="509"/>
      <c r="V394" s="509"/>
      <c r="W394" s="509"/>
      <c r="X394" s="510"/>
      <c r="Y394" s="510"/>
      <c r="Z394" s="510"/>
      <c r="AA394" s="511"/>
      <c r="AB394" s="48"/>
      <c r="AF394" s="48"/>
      <c r="AG394" s="48"/>
      <c r="AJ394" s="48"/>
      <c r="AK394" s="48"/>
    </row>
    <row r="395" spans="2:50" ht="15" customHeight="1" x14ac:dyDescent="0.15">
      <c r="B395" s="3200" t="s">
        <v>287</v>
      </c>
      <c r="C395" s="3203" t="s">
        <v>167</v>
      </c>
      <c r="D395" s="1959"/>
      <c r="E395" s="1962" t="s">
        <v>341</v>
      </c>
      <c r="F395" s="2097" t="s">
        <v>166</v>
      </c>
      <c r="G395" s="2098"/>
      <c r="H395" s="3245" t="s">
        <v>165</v>
      </c>
      <c r="I395" s="3246"/>
      <c r="J395" s="3246"/>
      <c r="K395" s="3247"/>
      <c r="L395" s="3245" t="s">
        <v>164</v>
      </c>
      <c r="M395" s="3246"/>
      <c r="N395" s="3246"/>
      <c r="O395" s="3246"/>
      <c r="P395" s="3247"/>
      <c r="Q395" s="3245" t="s">
        <v>163</v>
      </c>
      <c r="R395" s="3246"/>
      <c r="S395" s="3246"/>
      <c r="T395" s="3246"/>
      <c r="U395" s="3247"/>
      <c r="V395" s="3245" t="s">
        <v>249</v>
      </c>
      <c r="W395" s="3246"/>
      <c r="X395" s="3246"/>
      <c r="Y395" s="3246"/>
      <c r="Z395" s="3247"/>
      <c r="AA395" s="3245" t="s">
        <v>250</v>
      </c>
      <c r="AB395" s="3246"/>
      <c r="AC395" s="3246"/>
      <c r="AD395" s="3246"/>
      <c r="AE395" s="3247"/>
      <c r="AF395" s="3245" t="s">
        <v>251</v>
      </c>
      <c r="AG395" s="3246"/>
      <c r="AH395" s="3246"/>
      <c r="AI395" s="3246"/>
      <c r="AJ395" s="3248" t="s">
        <v>438</v>
      </c>
      <c r="AK395" s="3249"/>
      <c r="AL395" s="3249"/>
      <c r="AM395" s="3249"/>
      <c r="AN395" s="3249"/>
      <c r="AO395" s="3250"/>
      <c r="AP395" s="3248" t="s">
        <v>162</v>
      </c>
      <c r="AQ395" s="3249"/>
      <c r="AR395" s="3249"/>
      <c r="AS395" s="3249"/>
      <c r="AT395" s="3250"/>
      <c r="AU395" s="117"/>
      <c r="AW395" s="501"/>
      <c r="AX395" s="501"/>
    </row>
    <row r="396" spans="2:50" ht="26.25" customHeight="1" x14ac:dyDescent="0.15">
      <c r="B396" s="3201"/>
      <c r="C396" s="3204"/>
      <c r="D396" s="1960"/>
      <c r="E396" s="1963"/>
      <c r="F396" s="2099"/>
      <c r="G396" s="1972"/>
      <c r="H396" s="3251" t="str">
        <f>$H$9</f>
        <v/>
      </c>
      <c r="I396" s="3252"/>
      <c r="J396" s="3252"/>
      <c r="K396" s="3253"/>
      <c r="L396" s="3254" t="str">
        <f>$L$9</f>
        <v/>
      </c>
      <c r="M396" s="3255"/>
      <c r="N396" s="3255"/>
      <c r="O396" s="3255"/>
      <c r="P396" s="3256"/>
      <c r="Q396" s="3254" t="str">
        <f>$Q$9</f>
        <v/>
      </c>
      <c r="R396" s="3255"/>
      <c r="S396" s="3255"/>
      <c r="T396" s="3255"/>
      <c r="U396" s="3256"/>
      <c r="V396" s="3254" t="str">
        <f>$V$9</f>
        <v/>
      </c>
      <c r="W396" s="3255"/>
      <c r="X396" s="3255"/>
      <c r="Y396" s="3255"/>
      <c r="Z396" s="3256"/>
      <c r="AA396" s="3254" t="str">
        <f>$AA$9</f>
        <v/>
      </c>
      <c r="AB396" s="3255"/>
      <c r="AC396" s="3255"/>
      <c r="AD396" s="3255"/>
      <c r="AE396" s="3256"/>
      <c r="AF396" s="3254" t="str">
        <f>$AF$9</f>
        <v/>
      </c>
      <c r="AG396" s="3255"/>
      <c r="AH396" s="3255"/>
      <c r="AI396" s="3255"/>
      <c r="AJ396" s="3257" t="s">
        <v>441</v>
      </c>
      <c r="AK396" s="3258"/>
      <c r="AL396" s="3258"/>
      <c r="AM396" s="3258"/>
      <c r="AN396" s="3258"/>
      <c r="AO396" s="3259"/>
      <c r="AP396" s="3263" t="s">
        <v>442</v>
      </c>
      <c r="AQ396" s="3264"/>
      <c r="AR396" s="3264"/>
      <c r="AS396" s="3264"/>
      <c r="AT396" s="3265"/>
      <c r="AU396" s="116"/>
    </row>
    <row r="397" spans="2:50" ht="16.5" customHeight="1" x14ac:dyDescent="0.15">
      <c r="B397" s="3201"/>
      <c r="C397" s="3204"/>
      <c r="D397" s="1960"/>
      <c r="E397" s="1963"/>
      <c r="F397" s="3266" t="s">
        <v>78</v>
      </c>
      <c r="G397" s="3206" t="s">
        <v>79</v>
      </c>
      <c r="H397" s="1974" t="s">
        <v>176</v>
      </c>
      <c r="I397" s="3208"/>
      <c r="J397" s="3210" t="s">
        <v>161</v>
      </c>
      <c r="K397" s="3211"/>
      <c r="L397" s="1974" t="s">
        <v>176</v>
      </c>
      <c r="M397" s="3208"/>
      <c r="N397" s="3210" t="s">
        <v>160</v>
      </c>
      <c r="O397" s="3213"/>
      <c r="P397" s="3211"/>
      <c r="Q397" s="1974" t="s">
        <v>176</v>
      </c>
      <c r="R397" s="3208"/>
      <c r="S397" s="3210" t="s">
        <v>160</v>
      </c>
      <c r="T397" s="3213"/>
      <c r="U397" s="3211"/>
      <c r="V397" s="1974" t="s">
        <v>176</v>
      </c>
      <c r="W397" s="3208"/>
      <c r="X397" s="3210" t="s">
        <v>160</v>
      </c>
      <c r="Y397" s="3213"/>
      <c r="Z397" s="3211"/>
      <c r="AA397" s="1974" t="s">
        <v>176</v>
      </c>
      <c r="AB397" s="3208"/>
      <c r="AC397" s="3210" t="s">
        <v>160</v>
      </c>
      <c r="AD397" s="3213"/>
      <c r="AE397" s="3211"/>
      <c r="AF397" s="1974" t="s">
        <v>176</v>
      </c>
      <c r="AG397" s="3208"/>
      <c r="AH397" s="3210" t="s">
        <v>160</v>
      </c>
      <c r="AI397" s="3213"/>
      <c r="AJ397" s="3257"/>
      <c r="AK397" s="3258"/>
      <c r="AL397" s="3258"/>
      <c r="AM397" s="3258"/>
      <c r="AN397" s="3258"/>
      <c r="AO397" s="3259"/>
      <c r="AP397" s="3257"/>
      <c r="AQ397" s="3258"/>
      <c r="AR397" s="3258"/>
      <c r="AS397" s="3258"/>
      <c r="AT397" s="3259"/>
      <c r="AU397" s="115"/>
    </row>
    <row r="398" spans="2:50" ht="19.5" customHeight="1" thickBot="1" x14ac:dyDescent="0.2">
      <c r="B398" s="3202"/>
      <c r="C398" s="3205"/>
      <c r="D398" s="1961"/>
      <c r="E398" s="1964"/>
      <c r="F398" s="3267"/>
      <c r="G398" s="3207"/>
      <c r="H398" s="1978"/>
      <c r="I398" s="3209"/>
      <c r="J398" s="523" t="s">
        <v>153</v>
      </c>
      <c r="K398" s="522" t="s">
        <v>280</v>
      </c>
      <c r="L398" s="1978"/>
      <c r="M398" s="3212"/>
      <c r="N398" s="523" t="s">
        <v>154</v>
      </c>
      <c r="O398" s="523" t="s">
        <v>153</v>
      </c>
      <c r="P398" s="522" t="s">
        <v>280</v>
      </c>
      <c r="Q398" s="1978"/>
      <c r="R398" s="3209"/>
      <c r="S398" s="523" t="s">
        <v>154</v>
      </c>
      <c r="T398" s="523" t="s">
        <v>153</v>
      </c>
      <c r="U398" s="522" t="s">
        <v>280</v>
      </c>
      <c r="V398" s="1978"/>
      <c r="W398" s="3209"/>
      <c r="X398" s="523" t="s">
        <v>154</v>
      </c>
      <c r="Y398" s="523" t="s">
        <v>153</v>
      </c>
      <c r="Z398" s="522" t="s">
        <v>280</v>
      </c>
      <c r="AA398" s="1978"/>
      <c r="AB398" s="3209"/>
      <c r="AC398" s="523" t="s">
        <v>154</v>
      </c>
      <c r="AD398" s="523" t="s">
        <v>153</v>
      </c>
      <c r="AE398" s="522" t="s">
        <v>280</v>
      </c>
      <c r="AF398" s="1978"/>
      <c r="AG398" s="3209"/>
      <c r="AH398" s="523" t="s">
        <v>154</v>
      </c>
      <c r="AI398" s="523" t="s">
        <v>153</v>
      </c>
      <c r="AJ398" s="3260"/>
      <c r="AK398" s="3261"/>
      <c r="AL398" s="3261"/>
      <c r="AM398" s="3261"/>
      <c r="AN398" s="3261"/>
      <c r="AO398" s="3262"/>
      <c r="AP398" s="3260"/>
      <c r="AQ398" s="3261"/>
      <c r="AR398" s="3261"/>
      <c r="AS398" s="3261"/>
      <c r="AT398" s="3262"/>
      <c r="AU398" s="114"/>
    </row>
    <row r="399" spans="2:50" ht="15" customHeight="1" x14ac:dyDescent="0.15">
      <c r="B399" s="3214" t="s">
        <v>159</v>
      </c>
      <c r="C399" s="3216" t="s">
        <v>158</v>
      </c>
      <c r="D399" s="3217"/>
      <c r="E399" s="3220" t="s">
        <v>157</v>
      </c>
      <c r="F399" s="3222" t="s">
        <v>98</v>
      </c>
      <c r="G399" s="3224"/>
      <c r="H399" s="3190" t="s">
        <v>155</v>
      </c>
      <c r="I399" s="3191"/>
      <c r="J399" s="3194" t="s">
        <v>98</v>
      </c>
      <c r="K399" s="3188" t="s">
        <v>98</v>
      </c>
      <c r="L399" s="3190" t="s">
        <v>155</v>
      </c>
      <c r="M399" s="3226"/>
      <c r="N399" s="3194" t="s">
        <v>98</v>
      </c>
      <c r="O399" s="3194" t="s">
        <v>98</v>
      </c>
      <c r="P399" s="3188" t="s">
        <v>98</v>
      </c>
      <c r="Q399" s="2087" t="s">
        <v>414</v>
      </c>
      <c r="R399" s="3196"/>
      <c r="S399" s="3194" t="s">
        <v>98</v>
      </c>
      <c r="T399" s="3198"/>
      <c r="U399" s="3228"/>
      <c r="V399" s="3190"/>
      <c r="W399" s="3191"/>
      <c r="X399" s="3194"/>
      <c r="Y399" s="3194"/>
      <c r="Z399" s="3188"/>
      <c r="AA399" s="3190"/>
      <c r="AB399" s="3191"/>
      <c r="AC399" s="3194"/>
      <c r="AD399" s="3194"/>
      <c r="AE399" s="3188"/>
      <c r="AF399" s="2087"/>
      <c r="AG399" s="3196"/>
      <c r="AH399" s="3194"/>
      <c r="AI399" s="3198"/>
      <c r="AJ399" s="2032" t="s">
        <v>433</v>
      </c>
      <c r="AK399" s="2033"/>
      <c r="AL399" s="2033"/>
      <c r="AM399" s="2033"/>
      <c r="AN399" s="2033"/>
      <c r="AO399" s="2034"/>
      <c r="AP399" s="2026" t="s">
        <v>342</v>
      </c>
      <c r="AQ399" s="2027"/>
      <c r="AR399" s="2027"/>
      <c r="AS399" s="2027"/>
      <c r="AT399" s="2028"/>
      <c r="AU399" s="113"/>
    </row>
    <row r="400" spans="2:50" ht="15" customHeight="1" x14ac:dyDescent="0.15">
      <c r="B400" s="3215"/>
      <c r="C400" s="3218"/>
      <c r="D400" s="3219"/>
      <c r="E400" s="3221"/>
      <c r="F400" s="3223"/>
      <c r="G400" s="3225"/>
      <c r="H400" s="3192"/>
      <c r="I400" s="3193"/>
      <c r="J400" s="3195"/>
      <c r="K400" s="3189"/>
      <c r="L400" s="3192"/>
      <c r="M400" s="3227"/>
      <c r="N400" s="3195"/>
      <c r="O400" s="3195"/>
      <c r="P400" s="3189"/>
      <c r="Q400" s="2089"/>
      <c r="R400" s="3197"/>
      <c r="S400" s="3195"/>
      <c r="T400" s="3199"/>
      <c r="U400" s="3229"/>
      <c r="V400" s="3192"/>
      <c r="W400" s="3193"/>
      <c r="X400" s="3195"/>
      <c r="Y400" s="3195"/>
      <c r="Z400" s="3189"/>
      <c r="AA400" s="3192"/>
      <c r="AB400" s="3193"/>
      <c r="AC400" s="3195"/>
      <c r="AD400" s="3195"/>
      <c r="AE400" s="3189"/>
      <c r="AF400" s="2089"/>
      <c r="AG400" s="3197"/>
      <c r="AH400" s="3195"/>
      <c r="AI400" s="3199"/>
      <c r="AJ400" s="2035" t="s">
        <v>434</v>
      </c>
      <c r="AK400" s="2036"/>
      <c r="AL400" s="2036"/>
      <c r="AM400" s="2036"/>
      <c r="AN400" s="2036"/>
      <c r="AO400" s="2037"/>
      <c r="AP400" s="2029"/>
      <c r="AQ400" s="2030"/>
      <c r="AR400" s="2030"/>
      <c r="AS400" s="2030"/>
      <c r="AT400" s="2031"/>
      <c r="AU400" s="113"/>
    </row>
    <row r="401" spans="2:47" ht="15" customHeight="1" x14ac:dyDescent="0.15">
      <c r="B401" s="3149">
        <v>136</v>
      </c>
      <c r="C401" s="3151">
        <f>名簿入力!D285</f>
        <v>0</v>
      </c>
      <c r="D401" s="3152"/>
      <c r="E401" s="3155">
        <f>名簿入力!E285</f>
        <v>0</v>
      </c>
      <c r="F401" s="3157">
        <f>名簿入力!G285</f>
        <v>0</v>
      </c>
      <c r="G401" s="3159">
        <f>名簿入力!H285</f>
        <v>0</v>
      </c>
      <c r="H401" s="3161">
        <f>名簿入力!I285</f>
        <v>0</v>
      </c>
      <c r="I401" s="3162"/>
      <c r="J401" s="3165">
        <f>名簿入力!K285</f>
        <v>0</v>
      </c>
      <c r="K401" s="3167">
        <f>名簿入力!L285</f>
        <v>0</v>
      </c>
      <c r="L401" s="3161">
        <f>名簿入力!M285</f>
        <v>0</v>
      </c>
      <c r="M401" s="3169"/>
      <c r="N401" s="3165">
        <f>名簿入力!O285</f>
        <v>0</v>
      </c>
      <c r="O401" s="3165">
        <f>名簿入力!P285</f>
        <v>0</v>
      </c>
      <c r="P401" s="3167">
        <f>名簿入力!Q285</f>
        <v>0</v>
      </c>
      <c r="Q401" s="3161">
        <f>名簿入力!R285</f>
        <v>0</v>
      </c>
      <c r="R401" s="3162"/>
      <c r="S401" s="3165">
        <f>名簿入力!T285</f>
        <v>0</v>
      </c>
      <c r="T401" s="3165">
        <f>名簿入力!U285</f>
        <v>0</v>
      </c>
      <c r="U401" s="3167">
        <f>名簿入力!V285</f>
        <v>0</v>
      </c>
      <c r="V401" s="3161">
        <f>名簿入力!W285</f>
        <v>0</v>
      </c>
      <c r="W401" s="3162"/>
      <c r="X401" s="3165">
        <f>名簿入力!Y285</f>
        <v>0</v>
      </c>
      <c r="Y401" s="3165">
        <f>名簿入力!Z285</f>
        <v>0</v>
      </c>
      <c r="Z401" s="3167">
        <f>名簿入力!AA285</f>
        <v>0</v>
      </c>
      <c r="AA401" s="3161">
        <f>名簿入力!AB285</f>
        <v>0</v>
      </c>
      <c r="AB401" s="3162"/>
      <c r="AC401" s="3165">
        <f>名簿入力!AD285</f>
        <v>0</v>
      </c>
      <c r="AD401" s="3165">
        <f>名簿入力!AE285</f>
        <v>0</v>
      </c>
      <c r="AE401" s="3167">
        <f>名簿入力!AF285</f>
        <v>0</v>
      </c>
      <c r="AF401" s="3161">
        <f>名簿入力!AG285</f>
        <v>0</v>
      </c>
      <c r="AG401" s="3162"/>
      <c r="AH401" s="3165">
        <f>名簿入力!AI285</f>
        <v>0</v>
      </c>
      <c r="AI401" s="3165">
        <f>名簿入力!AJ285</f>
        <v>0</v>
      </c>
      <c r="AJ401" s="3175">
        <f>名簿入力!AK285</f>
        <v>0</v>
      </c>
      <c r="AK401" s="3176"/>
      <c r="AL401" s="3176"/>
      <c r="AM401" s="3176"/>
      <c r="AN401" s="3176"/>
      <c r="AO401" s="3177"/>
      <c r="AP401" s="3137">
        <f>名簿入力!AO285</f>
        <v>0</v>
      </c>
      <c r="AQ401" s="3138"/>
      <c r="AR401" s="3138"/>
      <c r="AS401" s="3138"/>
      <c r="AT401" s="3139"/>
      <c r="AU401" s="113"/>
    </row>
    <row r="402" spans="2:47" ht="15" customHeight="1" x14ac:dyDescent="0.15">
      <c r="B402" s="3181"/>
      <c r="C402" s="3182"/>
      <c r="D402" s="3183"/>
      <c r="E402" s="3184"/>
      <c r="F402" s="3185"/>
      <c r="G402" s="3186"/>
      <c r="H402" s="3173"/>
      <c r="I402" s="3174"/>
      <c r="J402" s="3171"/>
      <c r="K402" s="3172"/>
      <c r="L402" s="3173"/>
      <c r="M402" s="3187"/>
      <c r="N402" s="3171"/>
      <c r="O402" s="3171"/>
      <c r="P402" s="3172"/>
      <c r="Q402" s="3173"/>
      <c r="R402" s="3174"/>
      <c r="S402" s="3171"/>
      <c r="T402" s="3171"/>
      <c r="U402" s="3172"/>
      <c r="V402" s="3173"/>
      <c r="W402" s="3174"/>
      <c r="X402" s="3171"/>
      <c r="Y402" s="3171"/>
      <c r="Z402" s="3172"/>
      <c r="AA402" s="3173"/>
      <c r="AB402" s="3174"/>
      <c r="AC402" s="3171"/>
      <c r="AD402" s="3171"/>
      <c r="AE402" s="3172"/>
      <c r="AF402" s="3173"/>
      <c r="AG402" s="3174"/>
      <c r="AH402" s="3171"/>
      <c r="AI402" s="3171"/>
      <c r="AJ402" s="3146">
        <f>名簿入力!AK286</f>
        <v>0</v>
      </c>
      <c r="AK402" s="3147"/>
      <c r="AL402" s="3147"/>
      <c r="AM402" s="3147"/>
      <c r="AN402" s="3147"/>
      <c r="AO402" s="3148"/>
      <c r="AP402" s="3178"/>
      <c r="AQ402" s="3179"/>
      <c r="AR402" s="3179"/>
      <c r="AS402" s="3179"/>
      <c r="AT402" s="3180"/>
      <c r="AU402" s="113"/>
    </row>
    <row r="403" spans="2:47" ht="15" customHeight="1" x14ac:dyDescent="0.15">
      <c r="B403" s="3149">
        <v>137</v>
      </c>
      <c r="C403" s="3151">
        <f>名簿入力!D287</f>
        <v>0</v>
      </c>
      <c r="D403" s="3152"/>
      <c r="E403" s="3155">
        <f>名簿入力!E287</f>
        <v>0</v>
      </c>
      <c r="F403" s="3157">
        <f>名簿入力!G287</f>
        <v>0</v>
      </c>
      <c r="G403" s="3159">
        <f>名簿入力!H287</f>
        <v>0</v>
      </c>
      <c r="H403" s="3161">
        <f>名簿入力!I287</f>
        <v>0</v>
      </c>
      <c r="I403" s="3162"/>
      <c r="J403" s="3165">
        <f>名簿入力!K287</f>
        <v>0</v>
      </c>
      <c r="K403" s="3167">
        <f>名簿入力!L287</f>
        <v>0</v>
      </c>
      <c r="L403" s="3161">
        <f>名簿入力!M287</f>
        <v>0</v>
      </c>
      <c r="M403" s="3169"/>
      <c r="N403" s="3165">
        <f>名簿入力!O287</f>
        <v>0</v>
      </c>
      <c r="O403" s="3165">
        <f>名簿入力!P287</f>
        <v>0</v>
      </c>
      <c r="P403" s="3167">
        <f>名簿入力!Q287</f>
        <v>0</v>
      </c>
      <c r="Q403" s="3161">
        <f>名簿入力!R287</f>
        <v>0</v>
      </c>
      <c r="R403" s="3162"/>
      <c r="S403" s="3165">
        <f>名簿入力!T287</f>
        <v>0</v>
      </c>
      <c r="T403" s="3165">
        <f>名簿入力!U287</f>
        <v>0</v>
      </c>
      <c r="U403" s="3167">
        <f>名簿入力!V287</f>
        <v>0</v>
      </c>
      <c r="V403" s="3161">
        <f>名簿入力!W287</f>
        <v>0</v>
      </c>
      <c r="W403" s="3162"/>
      <c r="X403" s="3165">
        <f>名簿入力!Y287</f>
        <v>0</v>
      </c>
      <c r="Y403" s="3165">
        <f>名簿入力!Z287</f>
        <v>0</v>
      </c>
      <c r="Z403" s="3167">
        <f>名簿入力!AA287</f>
        <v>0</v>
      </c>
      <c r="AA403" s="3161">
        <f>名簿入力!AB287</f>
        <v>0</v>
      </c>
      <c r="AB403" s="3162"/>
      <c r="AC403" s="3165">
        <f>名簿入力!AD287</f>
        <v>0</v>
      </c>
      <c r="AD403" s="3165">
        <f>名簿入力!AE287</f>
        <v>0</v>
      </c>
      <c r="AE403" s="3167">
        <f>名簿入力!AF287</f>
        <v>0</v>
      </c>
      <c r="AF403" s="3161">
        <f>名簿入力!AG287</f>
        <v>0</v>
      </c>
      <c r="AG403" s="3162"/>
      <c r="AH403" s="3165">
        <f>名簿入力!AI287</f>
        <v>0</v>
      </c>
      <c r="AI403" s="3165">
        <f>名簿入力!AJ287</f>
        <v>0</v>
      </c>
      <c r="AJ403" s="3175">
        <f>名簿入力!AK287</f>
        <v>0</v>
      </c>
      <c r="AK403" s="3176"/>
      <c r="AL403" s="3176"/>
      <c r="AM403" s="3176"/>
      <c r="AN403" s="3176"/>
      <c r="AO403" s="3177"/>
      <c r="AP403" s="3137">
        <f>名簿入力!AO287</f>
        <v>0</v>
      </c>
      <c r="AQ403" s="3138"/>
      <c r="AR403" s="3138"/>
      <c r="AS403" s="3138"/>
      <c r="AT403" s="3139"/>
      <c r="AU403" s="113"/>
    </row>
    <row r="404" spans="2:47" ht="15" customHeight="1" x14ac:dyDescent="0.15">
      <c r="B404" s="3181"/>
      <c r="C404" s="3182"/>
      <c r="D404" s="3183"/>
      <c r="E404" s="3184"/>
      <c r="F404" s="3185"/>
      <c r="G404" s="3186"/>
      <c r="H404" s="3173"/>
      <c r="I404" s="3174"/>
      <c r="J404" s="3171"/>
      <c r="K404" s="3172"/>
      <c r="L404" s="3173"/>
      <c r="M404" s="3187"/>
      <c r="N404" s="3171"/>
      <c r="O404" s="3171"/>
      <c r="P404" s="3172"/>
      <c r="Q404" s="3173"/>
      <c r="R404" s="3174"/>
      <c r="S404" s="3171"/>
      <c r="T404" s="3171"/>
      <c r="U404" s="3172"/>
      <c r="V404" s="3173"/>
      <c r="W404" s="3174"/>
      <c r="X404" s="3171"/>
      <c r="Y404" s="3171"/>
      <c r="Z404" s="3172"/>
      <c r="AA404" s="3173"/>
      <c r="AB404" s="3174"/>
      <c r="AC404" s="3171"/>
      <c r="AD404" s="3171"/>
      <c r="AE404" s="3172"/>
      <c r="AF404" s="3173"/>
      <c r="AG404" s="3174"/>
      <c r="AH404" s="3171"/>
      <c r="AI404" s="3171"/>
      <c r="AJ404" s="3146">
        <f>名簿入力!AK288</f>
        <v>0</v>
      </c>
      <c r="AK404" s="3147"/>
      <c r="AL404" s="3147"/>
      <c r="AM404" s="3147"/>
      <c r="AN404" s="3147"/>
      <c r="AO404" s="3148"/>
      <c r="AP404" s="3178"/>
      <c r="AQ404" s="3179"/>
      <c r="AR404" s="3179"/>
      <c r="AS404" s="3179"/>
      <c r="AT404" s="3180"/>
      <c r="AU404" s="113"/>
    </row>
    <row r="405" spans="2:47" ht="15" customHeight="1" x14ac:dyDescent="0.15">
      <c r="B405" s="3149">
        <v>138</v>
      </c>
      <c r="C405" s="3151">
        <f>名簿入力!D289</f>
        <v>0</v>
      </c>
      <c r="D405" s="3152"/>
      <c r="E405" s="3155">
        <f>名簿入力!E289</f>
        <v>0</v>
      </c>
      <c r="F405" s="3157">
        <f>名簿入力!G289</f>
        <v>0</v>
      </c>
      <c r="G405" s="3159">
        <f>名簿入力!H289</f>
        <v>0</v>
      </c>
      <c r="H405" s="3161">
        <f>名簿入力!I289</f>
        <v>0</v>
      </c>
      <c r="I405" s="3162"/>
      <c r="J405" s="3165">
        <f>名簿入力!K289</f>
        <v>0</v>
      </c>
      <c r="K405" s="3167">
        <f>名簿入力!L289</f>
        <v>0</v>
      </c>
      <c r="L405" s="3161">
        <f>名簿入力!M289</f>
        <v>0</v>
      </c>
      <c r="M405" s="3169"/>
      <c r="N405" s="3165">
        <f>名簿入力!O289</f>
        <v>0</v>
      </c>
      <c r="O405" s="3165">
        <f>名簿入力!P289</f>
        <v>0</v>
      </c>
      <c r="P405" s="3167">
        <f>名簿入力!Q289</f>
        <v>0</v>
      </c>
      <c r="Q405" s="3161">
        <f>名簿入力!R289</f>
        <v>0</v>
      </c>
      <c r="R405" s="3162"/>
      <c r="S405" s="3165">
        <f>名簿入力!T289</f>
        <v>0</v>
      </c>
      <c r="T405" s="3165">
        <f>名簿入力!U289</f>
        <v>0</v>
      </c>
      <c r="U405" s="3167">
        <f>名簿入力!V289</f>
        <v>0</v>
      </c>
      <c r="V405" s="3161">
        <f>名簿入力!W289</f>
        <v>0</v>
      </c>
      <c r="W405" s="3162"/>
      <c r="X405" s="3165">
        <f>名簿入力!Y289</f>
        <v>0</v>
      </c>
      <c r="Y405" s="3165">
        <f>名簿入力!Z289</f>
        <v>0</v>
      </c>
      <c r="Z405" s="3167">
        <f>名簿入力!AA289</f>
        <v>0</v>
      </c>
      <c r="AA405" s="3161">
        <f>名簿入力!AB289</f>
        <v>0</v>
      </c>
      <c r="AB405" s="3162"/>
      <c r="AC405" s="3165">
        <f>名簿入力!AD289</f>
        <v>0</v>
      </c>
      <c r="AD405" s="3165">
        <f>名簿入力!AE289</f>
        <v>0</v>
      </c>
      <c r="AE405" s="3167">
        <f>名簿入力!AF289</f>
        <v>0</v>
      </c>
      <c r="AF405" s="3161">
        <f>名簿入力!AG289</f>
        <v>0</v>
      </c>
      <c r="AG405" s="3162"/>
      <c r="AH405" s="3165">
        <f>名簿入力!AI289</f>
        <v>0</v>
      </c>
      <c r="AI405" s="3165">
        <f>名簿入力!AJ289</f>
        <v>0</v>
      </c>
      <c r="AJ405" s="3175">
        <f>名簿入力!AK289</f>
        <v>0</v>
      </c>
      <c r="AK405" s="3176"/>
      <c r="AL405" s="3176"/>
      <c r="AM405" s="3176"/>
      <c r="AN405" s="3176"/>
      <c r="AO405" s="3177"/>
      <c r="AP405" s="3137">
        <f>名簿入力!AO289</f>
        <v>0</v>
      </c>
      <c r="AQ405" s="3138"/>
      <c r="AR405" s="3138"/>
      <c r="AS405" s="3138"/>
      <c r="AT405" s="3139"/>
      <c r="AU405" s="113"/>
    </row>
    <row r="406" spans="2:47" ht="15" customHeight="1" x14ac:dyDescent="0.15">
      <c r="B406" s="3181"/>
      <c r="C406" s="3182"/>
      <c r="D406" s="3183"/>
      <c r="E406" s="3184"/>
      <c r="F406" s="3185"/>
      <c r="G406" s="3186"/>
      <c r="H406" s="3173"/>
      <c r="I406" s="3174"/>
      <c r="J406" s="3171"/>
      <c r="K406" s="3172"/>
      <c r="L406" s="3173"/>
      <c r="M406" s="3187"/>
      <c r="N406" s="3171"/>
      <c r="O406" s="3171"/>
      <c r="P406" s="3172"/>
      <c r="Q406" s="3173"/>
      <c r="R406" s="3174"/>
      <c r="S406" s="3171"/>
      <c r="T406" s="3171"/>
      <c r="U406" s="3172"/>
      <c r="V406" s="3173"/>
      <c r="W406" s="3174"/>
      <c r="X406" s="3171"/>
      <c r="Y406" s="3171"/>
      <c r="Z406" s="3172"/>
      <c r="AA406" s="3173"/>
      <c r="AB406" s="3174"/>
      <c r="AC406" s="3171"/>
      <c r="AD406" s="3171"/>
      <c r="AE406" s="3172"/>
      <c r="AF406" s="3173"/>
      <c r="AG406" s="3174"/>
      <c r="AH406" s="3171"/>
      <c r="AI406" s="3171"/>
      <c r="AJ406" s="3146">
        <f>名簿入力!AK290</f>
        <v>0</v>
      </c>
      <c r="AK406" s="3147"/>
      <c r="AL406" s="3147"/>
      <c r="AM406" s="3147"/>
      <c r="AN406" s="3147"/>
      <c r="AO406" s="3148"/>
      <c r="AP406" s="3178"/>
      <c r="AQ406" s="3179"/>
      <c r="AR406" s="3179"/>
      <c r="AS406" s="3179"/>
      <c r="AT406" s="3180"/>
      <c r="AU406" s="113"/>
    </row>
    <row r="407" spans="2:47" ht="15" customHeight="1" x14ac:dyDescent="0.15">
      <c r="B407" s="3149">
        <v>139</v>
      </c>
      <c r="C407" s="3151">
        <f>名簿入力!D291</f>
        <v>0</v>
      </c>
      <c r="D407" s="3152"/>
      <c r="E407" s="3155">
        <f>名簿入力!E291</f>
        <v>0</v>
      </c>
      <c r="F407" s="3157">
        <f>名簿入力!G291</f>
        <v>0</v>
      </c>
      <c r="G407" s="3159">
        <f>名簿入力!H291</f>
        <v>0</v>
      </c>
      <c r="H407" s="3161">
        <f>名簿入力!I291</f>
        <v>0</v>
      </c>
      <c r="I407" s="3162"/>
      <c r="J407" s="3165">
        <f>名簿入力!K291</f>
        <v>0</v>
      </c>
      <c r="K407" s="3167">
        <f>名簿入力!L291</f>
        <v>0</v>
      </c>
      <c r="L407" s="3161">
        <f>名簿入力!M291</f>
        <v>0</v>
      </c>
      <c r="M407" s="3169"/>
      <c r="N407" s="3165">
        <f>名簿入力!O291</f>
        <v>0</v>
      </c>
      <c r="O407" s="3165">
        <f>名簿入力!P291</f>
        <v>0</v>
      </c>
      <c r="P407" s="3167">
        <f>名簿入力!Q291</f>
        <v>0</v>
      </c>
      <c r="Q407" s="3161">
        <f>名簿入力!R291</f>
        <v>0</v>
      </c>
      <c r="R407" s="3162"/>
      <c r="S407" s="3165">
        <f>名簿入力!T291</f>
        <v>0</v>
      </c>
      <c r="T407" s="3165">
        <f>名簿入力!U291</f>
        <v>0</v>
      </c>
      <c r="U407" s="3167">
        <f>名簿入力!V291</f>
        <v>0</v>
      </c>
      <c r="V407" s="3161">
        <f>名簿入力!W291</f>
        <v>0</v>
      </c>
      <c r="W407" s="3162"/>
      <c r="X407" s="3165">
        <f>名簿入力!Y291</f>
        <v>0</v>
      </c>
      <c r="Y407" s="3165">
        <f>名簿入力!Z291</f>
        <v>0</v>
      </c>
      <c r="Z407" s="3167">
        <f>名簿入力!AA291</f>
        <v>0</v>
      </c>
      <c r="AA407" s="3161">
        <f>名簿入力!AB291</f>
        <v>0</v>
      </c>
      <c r="AB407" s="3162"/>
      <c r="AC407" s="3165">
        <f>名簿入力!AD291</f>
        <v>0</v>
      </c>
      <c r="AD407" s="3165">
        <f>名簿入力!AE291</f>
        <v>0</v>
      </c>
      <c r="AE407" s="3167">
        <f>名簿入力!AF291</f>
        <v>0</v>
      </c>
      <c r="AF407" s="3161">
        <f>名簿入力!AG291</f>
        <v>0</v>
      </c>
      <c r="AG407" s="3162"/>
      <c r="AH407" s="3165">
        <f>名簿入力!AI291</f>
        <v>0</v>
      </c>
      <c r="AI407" s="3165">
        <f>名簿入力!AJ291</f>
        <v>0</v>
      </c>
      <c r="AJ407" s="3175">
        <f>名簿入力!AK291</f>
        <v>0</v>
      </c>
      <c r="AK407" s="3176"/>
      <c r="AL407" s="3176"/>
      <c r="AM407" s="3176"/>
      <c r="AN407" s="3176"/>
      <c r="AO407" s="3177"/>
      <c r="AP407" s="3137">
        <f>名簿入力!AO291</f>
        <v>0</v>
      </c>
      <c r="AQ407" s="3138"/>
      <c r="AR407" s="3138"/>
      <c r="AS407" s="3138"/>
      <c r="AT407" s="3139"/>
      <c r="AU407" s="113"/>
    </row>
    <row r="408" spans="2:47" ht="15" customHeight="1" x14ac:dyDescent="0.15">
      <c r="B408" s="3181"/>
      <c r="C408" s="3182"/>
      <c r="D408" s="3183"/>
      <c r="E408" s="3184"/>
      <c r="F408" s="3185"/>
      <c r="G408" s="3186"/>
      <c r="H408" s="3173"/>
      <c r="I408" s="3174"/>
      <c r="J408" s="3171"/>
      <c r="K408" s="3172"/>
      <c r="L408" s="3173"/>
      <c r="M408" s="3187"/>
      <c r="N408" s="3171"/>
      <c r="O408" s="3171"/>
      <c r="P408" s="3172"/>
      <c r="Q408" s="3173"/>
      <c r="R408" s="3174"/>
      <c r="S408" s="3171"/>
      <c r="T408" s="3171"/>
      <c r="U408" s="3172"/>
      <c r="V408" s="3173"/>
      <c r="W408" s="3174"/>
      <c r="X408" s="3171"/>
      <c r="Y408" s="3171"/>
      <c r="Z408" s="3172"/>
      <c r="AA408" s="3173"/>
      <c r="AB408" s="3174"/>
      <c r="AC408" s="3171"/>
      <c r="AD408" s="3171"/>
      <c r="AE408" s="3172"/>
      <c r="AF408" s="3173"/>
      <c r="AG408" s="3174"/>
      <c r="AH408" s="3171"/>
      <c r="AI408" s="3171"/>
      <c r="AJ408" s="3146">
        <f>名簿入力!AK292</f>
        <v>0</v>
      </c>
      <c r="AK408" s="3147"/>
      <c r="AL408" s="3147"/>
      <c r="AM408" s="3147"/>
      <c r="AN408" s="3147"/>
      <c r="AO408" s="3148"/>
      <c r="AP408" s="3178"/>
      <c r="AQ408" s="3179"/>
      <c r="AR408" s="3179"/>
      <c r="AS408" s="3179"/>
      <c r="AT408" s="3180"/>
      <c r="AU408" s="113"/>
    </row>
    <row r="409" spans="2:47" ht="15" customHeight="1" x14ac:dyDescent="0.15">
      <c r="B409" s="3149">
        <v>140</v>
      </c>
      <c r="C409" s="3151">
        <f>名簿入力!D293</f>
        <v>0</v>
      </c>
      <c r="D409" s="3152"/>
      <c r="E409" s="3155">
        <f>名簿入力!E293</f>
        <v>0</v>
      </c>
      <c r="F409" s="3157">
        <f>名簿入力!G293</f>
        <v>0</v>
      </c>
      <c r="G409" s="3159">
        <f>名簿入力!H293</f>
        <v>0</v>
      </c>
      <c r="H409" s="3161">
        <f>名簿入力!I293</f>
        <v>0</v>
      </c>
      <c r="I409" s="3162"/>
      <c r="J409" s="3165">
        <f>名簿入力!K293</f>
        <v>0</v>
      </c>
      <c r="K409" s="3167">
        <f>名簿入力!L293</f>
        <v>0</v>
      </c>
      <c r="L409" s="3161">
        <f>名簿入力!M293</f>
        <v>0</v>
      </c>
      <c r="M409" s="3169"/>
      <c r="N409" s="3165">
        <f>名簿入力!O293</f>
        <v>0</v>
      </c>
      <c r="O409" s="3165">
        <f>名簿入力!P293</f>
        <v>0</v>
      </c>
      <c r="P409" s="3167">
        <f>名簿入力!Q293</f>
        <v>0</v>
      </c>
      <c r="Q409" s="3161">
        <f>名簿入力!R293</f>
        <v>0</v>
      </c>
      <c r="R409" s="3162"/>
      <c r="S409" s="3165">
        <f>名簿入力!T293</f>
        <v>0</v>
      </c>
      <c r="T409" s="3165">
        <f>名簿入力!U293</f>
        <v>0</v>
      </c>
      <c r="U409" s="3167">
        <f>名簿入力!V293</f>
        <v>0</v>
      </c>
      <c r="V409" s="3161">
        <f>名簿入力!W293</f>
        <v>0</v>
      </c>
      <c r="W409" s="3162"/>
      <c r="X409" s="3165">
        <f>名簿入力!Y293</f>
        <v>0</v>
      </c>
      <c r="Y409" s="3165">
        <f>名簿入力!Z293</f>
        <v>0</v>
      </c>
      <c r="Z409" s="3167">
        <f>名簿入力!AA293</f>
        <v>0</v>
      </c>
      <c r="AA409" s="3161">
        <f>名簿入力!AB293</f>
        <v>0</v>
      </c>
      <c r="AB409" s="3162"/>
      <c r="AC409" s="3165">
        <f>名簿入力!AD293</f>
        <v>0</v>
      </c>
      <c r="AD409" s="3165">
        <f>名簿入力!AE293</f>
        <v>0</v>
      </c>
      <c r="AE409" s="3167">
        <f>名簿入力!AF293</f>
        <v>0</v>
      </c>
      <c r="AF409" s="3161">
        <f>名簿入力!AG293</f>
        <v>0</v>
      </c>
      <c r="AG409" s="3162"/>
      <c r="AH409" s="3165">
        <f>名簿入力!AI293</f>
        <v>0</v>
      </c>
      <c r="AI409" s="3165">
        <f>名簿入力!AJ293</f>
        <v>0</v>
      </c>
      <c r="AJ409" s="3175">
        <f>名簿入力!AK293</f>
        <v>0</v>
      </c>
      <c r="AK409" s="3176"/>
      <c r="AL409" s="3176"/>
      <c r="AM409" s="3176"/>
      <c r="AN409" s="3176"/>
      <c r="AO409" s="3177"/>
      <c r="AP409" s="3137">
        <f>名簿入力!AO293</f>
        <v>0</v>
      </c>
      <c r="AQ409" s="3138"/>
      <c r="AR409" s="3138"/>
      <c r="AS409" s="3138"/>
      <c r="AT409" s="3139"/>
      <c r="AU409" s="113"/>
    </row>
    <row r="410" spans="2:47" ht="15" customHeight="1" x14ac:dyDescent="0.15">
      <c r="B410" s="3181"/>
      <c r="C410" s="3182"/>
      <c r="D410" s="3183"/>
      <c r="E410" s="3184"/>
      <c r="F410" s="3185"/>
      <c r="G410" s="3186"/>
      <c r="H410" s="3173"/>
      <c r="I410" s="3174"/>
      <c r="J410" s="3171"/>
      <c r="K410" s="3172"/>
      <c r="L410" s="3173"/>
      <c r="M410" s="3187"/>
      <c r="N410" s="3171"/>
      <c r="O410" s="3171"/>
      <c r="P410" s="3172"/>
      <c r="Q410" s="3173"/>
      <c r="R410" s="3174"/>
      <c r="S410" s="3171"/>
      <c r="T410" s="3171"/>
      <c r="U410" s="3172"/>
      <c r="V410" s="3173"/>
      <c r="W410" s="3174"/>
      <c r="X410" s="3171"/>
      <c r="Y410" s="3171"/>
      <c r="Z410" s="3172"/>
      <c r="AA410" s="3173"/>
      <c r="AB410" s="3174"/>
      <c r="AC410" s="3171"/>
      <c r="AD410" s="3171"/>
      <c r="AE410" s="3172"/>
      <c r="AF410" s="3173"/>
      <c r="AG410" s="3174"/>
      <c r="AH410" s="3171"/>
      <c r="AI410" s="3171"/>
      <c r="AJ410" s="3146">
        <f>名簿入力!AK294</f>
        <v>0</v>
      </c>
      <c r="AK410" s="3147"/>
      <c r="AL410" s="3147"/>
      <c r="AM410" s="3147"/>
      <c r="AN410" s="3147"/>
      <c r="AO410" s="3148"/>
      <c r="AP410" s="3178"/>
      <c r="AQ410" s="3179"/>
      <c r="AR410" s="3179"/>
      <c r="AS410" s="3179"/>
      <c r="AT410" s="3180"/>
      <c r="AU410" s="113"/>
    </row>
    <row r="411" spans="2:47" ht="15" customHeight="1" x14ac:dyDescent="0.15">
      <c r="B411" s="3149">
        <v>141</v>
      </c>
      <c r="C411" s="3151">
        <f>名簿入力!D295</f>
        <v>0</v>
      </c>
      <c r="D411" s="3152"/>
      <c r="E411" s="3155">
        <f>名簿入力!E295</f>
        <v>0</v>
      </c>
      <c r="F411" s="3157">
        <f>名簿入力!G295</f>
        <v>0</v>
      </c>
      <c r="G411" s="3159">
        <f>名簿入力!H295</f>
        <v>0</v>
      </c>
      <c r="H411" s="3161">
        <f>名簿入力!I295</f>
        <v>0</v>
      </c>
      <c r="I411" s="3162"/>
      <c r="J411" s="3165">
        <f>名簿入力!K295</f>
        <v>0</v>
      </c>
      <c r="K411" s="3167">
        <f>名簿入力!L295</f>
        <v>0</v>
      </c>
      <c r="L411" s="3161">
        <f>名簿入力!M295</f>
        <v>0</v>
      </c>
      <c r="M411" s="3169"/>
      <c r="N411" s="3165">
        <f>名簿入力!O295</f>
        <v>0</v>
      </c>
      <c r="O411" s="3165">
        <f>名簿入力!P295</f>
        <v>0</v>
      </c>
      <c r="P411" s="3167">
        <f>名簿入力!Q295</f>
        <v>0</v>
      </c>
      <c r="Q411" s="3161">
        <f>名簿入力!R295</f>
        <v>0</v>
      </c>
      <c r="R411" s="3162"/>
      <c r="S411" s="3165">
        <f>名簿入力!T295</f>
        <v>0</v>
      </c>
      <c r="T411" s="3165">
        <f>名簿入力!U295</f>
        <v>0</v>
      </c>
      <c r="U411" s="3167">
        <f>名簿入力!V295</f>
        <v>0</v>
      </c>
      <c r="V411" s="3161">
        <f>名簿入力!W295</f>
        <v>0</v>
      </c>
      <c r="W411" s="3162"/>
      <c r="X411" s="3165">
        <f>名簿入力!Y295</f>
        <v>0</v>
      </c>
      <c r="Y411" s="3165">
        <f>名簿入力!Z295</f>
        <v>0</v>
      </c>
      <c r="Z411" s="3167">
        <f>名簿入力!AA295</f>
        <v>0</v>
      </c>
      <c r="AA411" s="3161">
        <f>名簿入力!AB295</f>
        <v>0</v>
      </c>
      <c r="AB411" s="3162"/>
      <c r="AC411" s="3165">
        <f>名簿入力!AD295</f>
        <v>0</v>
      </c>
      <c r="AD411" s="3165">
        <f>名簿入力!AE295</f>
        <v>0</v>
      </c>
      <c r="AE411" s="3167">
        <f>名簿入力!AF295</f>
        <v>0</v>
      </c>
      <c r="AF411" s="3161">
        <f>名簿入力!AG295</f>
        <v>0</v>
      </c>
      <c r="AG411" s="3162"/>
      <c r="AH411" s="3165">
        <f>名簿入力!AI295</f>
        <v>0</v>
      </c>
      <c r="AI411" s="3165">
        <f>名簿入力!AJ295</f>
        <v>0</v>
      </c>
      <c r="AJ411" s="3175">
        <f>名簿入力!AK295</f>
        <v>0</v>
      </c>
      <c r="AK411" s="3176"/>
      <c r="AL411" s="3176"/>
      <c r="AM411" s="3176"/>
      <c r="AN411" s="3176"/>
      <c r="AO411" s="3177"/>
      <c r="AP411" s="3137">
        <f>名簿入力!AO295</f>
        <v>0</v>
      </c>
      <c r="AQ411" s="3138"/>
      <c r="AR411" s="3138"/>
      <c r="AS411" s="3138"/>
      <c r="AT411" s="3139"/>
      <c r="AU411" s="113"/>
    </row>
    <row r="412" spans="2:47" ht="15" customHeight="1" x14ac:dyDescent="0.15">
      <c r="B412" s="3181"/>
      <c r="C412" s="3182"/>
      <c r="D412" s="3183"/>
      <c r="E412" s="3184"/>
      <c r="F412" s="3185"/>
      <c r="G412" s="3186"/>
      <c r="H412" s="3173"/>
      <c r="I412" s="3174"/>
      <c r="J412" s="3171"/>
      <c r="K412" s="3172"/>
      <c r="L412" s="3173"/>
      <c r="M412" s="3187"/>
      <c r="N412" s="3171"/>
      <c r="O412" s="3171"/>
      <c r="P412" s="3172"/>
      <c r="Q412" s="3173"/>
      <c r="R412" s="3174"/>
      <c r="S412" s="3171"/>
      <c r="T412" s="3171"/>
      <c r="U412" s="3172"/>
      <c r="V412" s="3173"/>
      <c r="W412" s="3174"/>
      <c r="X412" s="3171"/>
      <c r="Y412" s="3171"/>
      <c r="Z412" s="3172"/>
      <c r="AA412" s="3173"/>
      <c r="AB412" s="3174"/>
      <c r="AC412" s="3171"/>
      <c r="AD412" s="3171"/>
      <c r="AE412" s="3172"/>
      <c r="AF412" s="3173"/>
      <c r="AG412" s="3174"/>
      <c r="AH412" s="3171"/>
      <c r="AI412" s="3171"/>
      <c r="AJ412" s="3146">
        <f>名簿入力!AK296</f>
        <v>0</v>
      </c>
      <c r="AK412" s="3147"/>
      <c r="AL412" s="3147"/>
      <c r="AM412" s="3147"/>
      <c r="AN412" s="3147"/>
      <c r="AO412" s="3148"/>
      <c r="AP412" s="3178"/>
      <c r="AQ412" s="3179"/>
      <c r="AR412" s="3179"/>
      <c r="AS412" s="3179"/>
      <c r="AT412" s="3180"/>
      <c r="AU412" s="113"/>
    </row>
    <row r="413" spans="2:47" ht="15" customHeight="1" x14ac:dyDescent="0.15">
      <c r="B413" s="3149">
        <v>142</v>
      </c>
      <c r="C413" s="3151">
        <f>名簿入力!D297</f>
        <v>0</v>
      </c>
      <c r="D413" s="3152"/>
      <c r="E413" s="3155">
        <f>名簿入力!E297</f>
        <v>0</v>
      </c>
      <c r="F413" s="3157">
        <f>名簿入力!G297</f>
        <v>0</v>
      </c>
      <c r="G413" s="3159">
        <f>名簿入力!H297</f>
        <v>0</v>
      </c>
      <c r="H413" s="3161">
        <f>名簿入力!I297</f>
        <v>0</v>
      </c>
      <c r="I413" s="3162"/>
      <c r="J413" s="3165">
        <f>名簿入力!K297</f>
        <v>0</v>
      </c>
      <c r="K413" s="3167">
        <f>名簿入力!L297</f>
        <v>0</v>
      </c>
      <c r="L413" s="3161">
        <f>名簿入力!M297</f>
        <v>0</v>
      </c>
      <c r="M413" s="3169"/>
      <c r="N413" s="3165">
        <f>名簿入力!O297</f>
        <v>0</v>
      </c>
      <c r="O413" s="3165">
        <f>名簿入力!P297</f>
        <v>0</v>
      </c>
      <c r="P413" s="3167">
        <f>名簿入力!Q297</f>
        <v>0</v>
      </c>
      <c r="Q413" s="3161">
        <f>名簿入力!R297</f>
        <v>0</v>
      </c>
      <c r="R413" s="3162"/>
      <c r="S413" s="3165">
        <f>名簿入力!T297</f>
        <v>0</v>
      </c>
      <c r="T413" s="3165">
        <f>名簿入力!U297</f>
        <v>0</v>
      </c>
      <c r="U413" s="3167">
        <f>名簿入力!V297</f>
        <v>0</v>
      </c>
      <c r="V413" s="3161">
        <f>名簿入力!W297</f>
        <v>0</v>
      </c>
      <c r="W413" s="3162"/>
      <c r="X413" s="3165">
        <f>名簿入力!Y297</f>
        <v>0</v>
      </c>
      <c r="Y413" s="3165">
        <f>名簿入力!Z297</f>
        <v>0</v>
      </c>
      <c r="Z413" s="3167">
        <f>名簿入力!AA297</f>
        <v>0</v>
      </c>
      <c r="AA413" s="3161">
        <f>名簿入力!AB297</f>
        <v>0</v>
      </c>
      <c r="AB413" s="3162"/>
      <c r="AC413" s="3165">
        <f>名簿入力!AD297</f>
        <v>0</v>
      </c>
      <c r="AD413" s="3165">
        <f>名簿入力!AE297</f>
        <v>0</v>
      </c>
      <c r="AE413" s="3167">
        <f>名簿入力!AF297</f>
        <v>0</v>
      </c>
      <c r="AF413" s="3161">
        <f>名簿入力!AG297</f>
        <v>0</v>
      </c>
      <c r="AG413" s="3162"/>
      <c r="AH413" s="3165">
        <f>名簿入力!AI297</f>
        <v>0</v>
      </c>
      <c r="AI413" s="3165">
        <f>名簿入力!AJ297</f>
        <v>0</v>
      </c>
      <c r="AJ413" s="3175">
        <f>名簿入力!AK297</f>
        <v>0</v>
      </c>
      <c r="AK413" s="3176"/>
      <c r="AL413" s="3176"/>
      <c r="AM413" s="3176"/>
      <c r="AN413" s="3176"/>
      <c r="AO413" s="3177"/>
      <c r="AP413" s="3137">
        <f>名簿入力!AO297</f>
        <v>0</v>
      </c>
      <c r="AQ413" s="3138"/>
      <c r="AR413" s="3138"/>
      <c r="AS413" s="3138"/>
      <c r="AT413" s="3139"/>
      <c r="AU413" s="113"/>
    </row>
    <row r="414" spans="2:47" ht="15" customHeight="1" x14ac:dyDescent="0.15">
      <c r="B414" s="3181"/>
      <c r="C414" s="3182"/>
      <c r="D414" s="3183"/>
      <c r="E414" s="3184"/>
      <c r="F414" s="3185"/>
      <c r="G414" s="3186"/>
      <c r="H414" s="3173"/>
      <c r="I414" s="3174"/>
      <c r="J414" s="3171"/>
      <c r="K414" s="3172"/>
      <c r="L414" s="3173"/>
      <c r="M414" s="3187"/>
      <c r="N414" s="3171"/>
      <c r="O414" s="3171"/>
      <c r="P414" s="3172"/>
      <c r="Q414" s="3173"/>
      <c r="R414" s="3174"/>
      <c r="S414" s="3171"/>
      <c r="T414" s="3171"/>
      <c r="U414" s="3172"/>
      <c r="V414" s="3173"/>
      <c r="W414" s="3174"/>
      <c r="X414" s="3171"/>
      <c r="Y414" s="3171"/>
      <c r="Z414" s="3172"/>
      <c r="AA414" s="3173"/>
      <c r="AB414" s="3174"/>
      <c r="AC414" s="3171"/>
      <c r="AD414" s="3171"/>
      <c r="AE414" s="3172"/>
      <c r="AF414" s="3173"/>
      <c r="AG414" s="3174"/>
      <c r="AH414" s="3171"/>
      <c r="AI414" s="3171"/>
      <c r="AJ414" s="3146">
        <f>名簿入力!AK298</f>
        <v>0</v>
      </c>
      <c r="AK414" s="3147"/>
      <c r="AL414" s="3147"/>
      <c r="AM414" s="3147"/>
      <c r="AN414" s="3147"/>
      <c r="AO414" s="3148"/>
      <c r="AP414" s="3178"/>
      <c r="AQ414" s="3179"/>
      <c r="AR414" s="3179"/>
      <c r="AS414" s="3179"/>
      <c r="AT414" s="3180"/>
      <c r="AU414" s="113"/>
    </row>
    <row r="415" spans="2:47" ht="15" customHeight="1" x14ac:dyDescent="0.15">
      <c r="B415" s="3149">
        <v>143</v>
      </c>
      <c r="C415" s="3151">
        <f>名簿入力!D299</f>
        <v>0</v>
      </c>
      <c r="D415" s="3152"/>
      <c r="E415" s="3155">
        <f>名簿入力!E299</f>
        <v>0</v>
      </c>
      <c r="F415" s="3157">
        <f>名簿入力!G299</f>
        <v>0</v>
      </c>
      <c r="G415" s="3159">
        <f>名簿入力!H299</f>
        <v>0</v>
      </c>
      <c r="H415" s="3161">
        <f>名簿入力!I299</f>
        <v>0</v>
      </c>
      <c r="I415" s="3162"/>
      <c r="J415" s="3165">
        <f>名簿入力!K299</f>
        <v>0</v>
      </c>
      <c r="K415" s="3167">
        <f>名簿入力!L299</f>
        <v>0</v>
      </c>
      <c r="L415" s="3161">
        <f>名簿入力!M299</f>
        <v>0</v>
      </c>
      <c r="M415" s="3169"/>
      <c r="N415" s="3165">
        <f>名簿入力!O299</f>
        <v>0</v>
      </c>
      <c r="O415" s="3165">
        <f>名簿入力!P299</f>
        <v>0</v>
      </c>
      <c r="P415" s="3167">
        <f>名簿入力!Q299</f>
        <v>0</v>
      </c>
      <c r="Q415" s="3161">
        <f>名簿入力!R299</f>
        <v>0</v>
      </c>
      <c r="R415" s="3162"/>
      <c r="S415" s="3165">
        <f>名簿入力!T299</f>
        <v>0</v>
      </c>
      <c r="T415" s="3165">
        <f>名簿入力!U299</f>
        <v>0</v>
      </c>
      <c r="U415" s="3167">
        <f>名簿入力!V299</f>
        <v>0</v>
      </c>
      <c r="V415" s="3161">
        <f>名簿入力!W299</f>
        <v>0</v>
      </c>
      <c r="W415" s="3162"/>
      <c r="X415" s="3165">
        <f>名簿入力!Y299</f>
        <v>0</v>
      </c>
      <c r="Y415" s="3165">
        <f>名簿入力!Z299</f>
        <v>0</v>
      </c>
      <c r="Z415" s="3167">
        <f>名簿入力!AA299</f>
        <v>0</v>
      </c>
      <c r="AA415" s="3161">
        <f>名簿入力!AB299</f>
        <v>0</v>
      </c>
      <c r="AB415" s="3162"/>
      <c r="AC415" s="3165">
        <f>名簿入力!AD299</f>
        <v>0</v>
      </c>
      <c r="AD415" s="3165">
        <f>名簿入力!AE299</f>
        <v>0</v>
      </c>
      <c r="AE415" s="3167">
        <f>名簿入力!AF299</f>
        <v>0</v>
      </c>
      <c r="AF415" s="3161">
        <f>名簿入力!AG299</f>
        <v>0</v>
      </c>
      <c r="AG415" s="3162"/>
      <c r="AH415" s="3165">
        <f>名簿入力!AI299</f>
        <v>0</v>
      </c>
      <c r="AI415" s="3165">
        <f>名簿入力!AJ299</f>
        <v>0</v>
      </c>
      <c r="AJ415" s="3175">
        <f>名簿入力!AK299</f>
        <v>0</v>
      </c>
      <c r="AK415" s="3176"/>
      <c r="AL415" s="3176"/>
      <c r="AM415" s="3176"/>
      <c r="AN415" s="3176"/>
      <c r="AO415" s="3177"/>
      <c r="AP415" s="3137">
        <f>名簿入力!AO299</f>
        <v>0</v>
      </c>
      <c r="AQ415" s="3138"/>
      <c r="AR415" s="3138"/>
      <c r="AS415" s="3138"/>
      <c r="AT415" s="3139"/>
      <c r="AU415" s="113"/>
    </row>
    <row r="416" spans="2:47" ht="15" customHeight="1" x14ac:dyDescent="0.15">
      <c r="B416" s="3181"/>
      <c r="C416" s="3182"/>
      <c r="D416" s="3183"/>
      <c r="E416" s="3184"/>
      <c r="F416" s="3185"/>
      <c r="G416" s="3186"/>
      <c r="H416" s="3173"/>
      <c r="I416" s="3174"/>
      <c r="J416" s="3171"/>
      <c r="K416" s="3172"/>
      <c r="L416" s="3173"/>
      <c r="M416" s="3187"/>
      <c r="N416" s="3171"/>
      <c r="O416" s="3171"/>
      <c r="P416" s="3172"/>
      <c r="Q416" s="3173"/>
      <c r="R416" s="3174"/>
      <c r="S416" s="3171"/>
      <c r="T416" s="3171"/>
      <c r="U416" s="3172"/>
      <c r="V416" s="3173"/>
      <c r="W416" s="3174"/>
      <c r="X416" s="3171"/>
      <c r="Y416" s="3171"/>
      <c r="Z416" s="3172"/>
      <c r="AA416" s="3173"/>
      <c r="AB416" s="3174"/>
      <c r="AC416" s="3171"/>
      <c r="AD416" s="3171"/>
      <c r="AE416" s="3172"/>
      <c r="AF416" s="3173"/>
      <c r="AG416" s="3174"/>
      <c r="AH416" s="3171"/>
      <c r="AI416" s="3171"/>
      <c r="AJ416" s="3146">
        <f>名簿入力!AK300</f>
        <v>0</v>
      </c>
      <c r="AK416" s="3147"/>
      <c r="AL416" s="3147"/>
      <c r="AM416" s="3147"/>
      <c r="AN416" s="3147"/>
      <c r="AO416" s="3148"/>
      <c r="AP416" s="3178"/>
      <c r="AQ416" s="3179"/>
      <c r="AR416" s="3179"/>
      <c r="AS416" s="3179"/>
      <c r="AT416" s="3180"/>
      <c r="AU416" s="113"/>
    </row>
    <row r="417" spans="2:47" ht="15" customHeight="1" x14ac:dyDescent="0.15">
      <c r="B417" s="3149">
        <v>144</v>
      </c>
      <c r="C417" s="3151">
        <f>名簿入力!D301</f>
        <v>0</v>
      </c>
      <c r="D417" s="3152"/>
      <c r="E417" s="3155">
        <f>名簿入力!E301</f>
        <v>0</v>
      </c>
      <c r="F417" s="3157">
        <f>名簿入力!G301</f>
        <v>0</v>
      </c>
      <c r="G417" s="3159">
        <f>名簿入力!H301</f>
        <v>0</v>
      </c>
      <c r="H417" s="3161">
        <f>名簿入力!I301</f>
        <v>0</v>
      </c>
      <c r="I417" s="3162"/>
      <c r="J417" s="3165">
        <f>名簿入力!K301</f>
        <v>0</v>
      </c>
      <c r="K417" s="3167">
        <f>名簿入力!L301</f>
        <v>0</v>
      </c>
      <c r="L417" s="3161">
        <f>名簿入力!M301</f>
        <v>0</v>
      </c>
      <c r="M417" s="3169"/>
      <c r="N417" s="3165">
        <f>名簿入力!O301</f>
        <v>0</v>
      </c>
      <c r="O417" s="3165">
        <f>名簿入力!P301</f>
        <v>0</v>
      </c>
      <c r="P417" s="3167">
        <f>名簿入力!Q301</f>
        <v>0</v>
      </c>
      <c r="Q417" s="3161">
        <f>名簿入力!R301</f>
        <v>0</v>
      </c>
      <c r="R417" s="3162"/>
      <c r="S417" s="3165">
        <f>名簿入力!T301</f>
        <v>0</v>
      </c>
      <c r="T417" s="3165">
        <f>名簿入力!U301</f>
        <v>0</v>
      </c>
      <c r="U417" s="3167">
        <f>名簿入力!V301</f>
        <v>0</v>
      </c>
      <c r="V417" s="3161">
        <f>名簿入力!W301</f>
        <v>0</v>
      </c>
      <c r="W417" s="3162"/>
      <c r="X417" s="3165">
        <f>名簿入力!Y301</f>
        <v>0</v>
      </c>
      <c r="Y417" s="3165">
        <f>名簿入力!Z301</f>
        <v>0</v>
      </c>
      <c r="Z417" s="3167">
        <f>名簿入力!AA301</f>
        <v>0</v>
      </c>
      <c r="AA417" s="3161">
        <f>名簿入力!AB301</f>
        <v>0</v>
      </c>
      <c r="AB417" s="3162"/>
      <c r="AC417" s="3165">
        <f>名簿入力!AD301</f>
        <v>0</v>
      </c>
      <c r="AD417" s="3165">
        <f>名簿入力!AE301</f>
        <v>0</v>
      </c>
      <c r="AE417" s="3167">
        <f>名簿入力!AF301</f>
        <v>0</v>
      </c>
      <c r="AF417" s="3161">
        <f>名簿入力!AG301</f>
        <v>0</v>
      </c>
      <c r="AG417" s="3162"/>
      <c r="AH417" s="3165">
        <f>名簿入力!AI301</f>
        <v>0</v>
      </c>
      <c r="AI417" s="3165">
        <f>名簿入力!AJ301</f>
        <v>0</v>
      </c>
      <c r="AJ417" s="3175">
        <f>名簿入力!AK301</f>
        <v>0</v>
      </c>
      <c r="AK417" s="3176"/>
      <c r="AL417" s="3176"/>
      <c r="AM417" s="3176"/>
      <c r="AN417" s="3176"/>
      <c r="AO417" s="3177"/>
      <c r="AP417" s="3137">
        <f>名簿入力!AO301</f>
        <v>0</v>
      </c>
      <c r="AQ417" s="3138"/>
      <c r="AR417" s="3138"/>
      <c r="AS417" s="3138"/>
      <c r="AT417" s="3139"/>
      <c r="AU417" s="113"/>
    </row>
    <row r="418" spans="2:47" ht="15" customHeight="1" x14ac:dyDescent="0.15">
      <c r="B418" s="3181"/>
      <c r="C418" s="3182"/>
      <c r="D418" s="3183"/>
      <c r="E418" s="3184"/>
      <c r="F418" s="3185"/>
      <c r="G418" s="3186"/>
      <c r="H418" s="3173"/>
      <c r="I418" s="3174"/>
      <c r="J418" s="3171"/>
      <c r="K418" s="3172"/>
      <c r="L418" s="3173"/>
      <c r="M418" s="3187"/>
      <c r="N418" s="3171"/>
      <c r="O418" s="3171"/>
      <c r="P418" s="3172"/>
      <c r="Q418" s="3173"/>
      <c r="R418" s="3174"/>
      <c r="S418" s="3171"/>
      <c r="T418" s="3171"/>
      <c r="U418" s="3172"/>
      <c r="V418" s="3173"/>
      <c r="W418" s="3174"/>
      <c r="X418" s="3171"/>
      <c r="Y418" s="3171"/>
      <c r="Z418" s="3172"/>
      <c r="AA418" s="3173"/>
      <c r="AB418" s="3174"/>
      <c r="AC418" s="3171"/>
      <c r="AD418" s="3171"/>
      <c r="AE418" s="3172"/>
      <c r="AF418" s="3173"/>
      <c r="AG418" s="3174"/>
      <c r="AH418" s="3171"/>
      <c r="AI418" s="3171"/>
      <c r="AJ418" s="3146">
        <f>名簿入力!AK302</f>
        <v>0</v>
      </c>
      <c r="AK418" s="3147"/>
      <c r="AL418" s="3147"/>
      <c r="AM418" s="3147"/>
      <c r="AN418" s="3147"/>
      <c r="AO418" s="3148"/>
      <c r="AP418" s="3178"/>
      <c r="AQ418" s="3179"/>
      <c r="AR418" s="3179"/>
      <c r="AS418" s="3179"/>
      <c r="AT418" s="3180"/>
      <c r="AU418" s="113"/>
    </row>
    <row r="419" spans="2:47" ht="15" customHeight="1" x14ac:dyDescent="0.15">
      <c r="B419" s="3149">
        <v>145</v>
      </c>
      <c r="C419" s="3151">
        <f>名簿入力!D303</f>
        <v>0</v>
      </c>
      <c r="D419" s="3152"/>
      <c r="E419" s="3155">
        <f>名簿入力!E303</f>
        <v>0</v>
      </c>
      <c r="F419" s="3157">
        <f>名簿入力!G303</f>
        <v>0</v>
      </c>
      <c r="G419" s="3159">
        <f>名簿入力!H303</f>
        <v>0</v>
      </c>
      <c r="H419" s="3161">
        <f>名簿入力!I303</f>
        <v>0</v>
      </c>
      <c r="I419" s="3162"/>
      <c r="J419" s="3165">
        <f>名簿入力!K303</f>
        <v>0</v>
      </c>
      <c r="K419" s="3167">
        <f>名簿入力!L303</f>
        <v>0</v>
      </c>
      <c r="L419" s="3161">
        <f>名簿入力!M303</f>
        <v>0</v>
      </c>
      <c r="M419" s="3169"/>
      <c r="N419" s="3165">
        <f>名簿入力!O303</f>
        <v>0</v>
      </c>
      <c r="O419" s="3165">
        <f>名簿入力!P303</f>
        <v>0</v>
      </c>
      <c r="P419" s="3167">
        <f>名簿入力!Q303</f>
        <v>0</v>
      </c>
      <c r="Q419" s="3161">
        <f>名簿入力!R303</f>
        <v>0</v>
      </c>
      <c r="R419" s="3162"/>
      <c r="S419" s="3165">
        <f>名簿入力!T303</f>
        <v>0</v>
      </c>
      <c r="T419" s="3165">
        <f>名簿入力!U303</f>
        <v>0</v>
      </c>
      <c r="U419" s="3167">
        <f>名簿入力!V303</f>
        <v>0</v>
      </c>
      <c r="V419" s="3161">
        <f>名簿入力!W303</f>
        <v>0</v>
      </c>
      <c r="W419" s="3162"/>
      <c r="X419" s="3165">
        <f>名簿入力!Y303</f>
        <v>0</v>
      </c>
      <c r="Y419" s="3165">
        <f>名簿入力!Z303</f>
        <v>0</v>
      </c>
      <c r="Z419" s="3167">
        <f>名簿入力!AA303</f>
        <v>0</v>
      </c>
      <c r="AA419" s="3161">
        <f>名簿入力!AB303</f>
        <v>0</v>
      </c>
      <c r="AB419" s="3162"/>
      <c r="AC419" s="3165">
        <f>名簿入力!AD303</f>
        <v>0</v>
      </c>
      <c r="AD419" s="3165">
        <f>名簿入力!AE303</f>
        <v>0</v>
      </c>
      <c r="AE419" s="3167">
        <f>名簿入力!AF303</f>
        <v>0</v>
      </c>
      <c r="AF419" s="3161">
        <f>名簿入力!AG303</f>
        <v>0</v>
      </c>
      <c r="AG419" s="3162"/>
      <c r="AH419" s="3165">
        <f>名簿入力!AI303</f>
        <v>0</v>
      </c>
      <c r="AI419" s="3165">
        <f>名簿入力!AJ303</f>
        <v>0</v>
      </c>
      <c r="AJ419" s="3175">
        <f>名簿入力!AK303</f>
        <v>0</v>
      </c>
      <c r="AK419" s="3176"/>
      <c r="AL419" s="3176"/>
      <c r="AM419" s="3176"/>
      <c r="AN419" s="3176"/>
      <c r="AO419" s="3177"/>
      <c r="AP419" s="3137">
        <f>名簿入力!AO303</f>
        <v>0</v>
      </c>
      <c r="AQ419" s="3138"/>
      <c r="AR419" s="3138"/>
      <c r="AS419" s="3138"/>
      <c r="AT419" s="3139"/>
      <c r="AU419" s="113"/>
    </row>
    <row r="420" spans="2:47" ht="15" customHeight="1" x14ac:dyDescent="0.15">
      <c r="B420" s="3181"/>
      <c r="C420" s="3182"/>
      <c r="D420" s="3183"/>
      <c r="E420" s="3184"/>
      <c r="F420" s="3185"/>
      <c r="G420" s="3186"/>
      <c r="H420" s="3173"/>
      <c r="I420" s="3174"/>
      <c r="J420" s="3171"/>
      <c r="K420" s="3172"/>
      <c r="L420" s="3173"/>
      <c r="M420" s="3187"/>
      <c r="N420" s="3171"/>
      <c r="O420" s="3171"/>
      <c r="P420" s="3172"/>
      <c r="Q420" s="3173"/>
      <c r="R420" s="3174"/>
      <c r="S420" s="3171"/>
      <c r="T420" s="3171"/>
      <c r="U420" s="3172"/>
      <c r="V420" s="3173"/>
      <c r="W420" s="3174"/>
      <c r="X420" s="3171"/>
      <c r="Y420" s="3171"/>
      <c r="Z420" s="3172"/>
      <c r="AA420" s="3173"/>
      <c r="AB420" s="3174"/>
      <c r="AC420" s="3171"/>
      <c r="AD420" s="3171"/>
      <c r="AE420" s="3172"/>
      <c r="AF420" s="3173"/>
      <c r="AG420" s="3174"/>
      <c r="AH420" s="3171"/>
      <c r="AI420" s="3171"/>
      <c r="AJ420" s="3146">
        <f>名簿入力!AK304</f>
        <v>0</v>
      </c>
      <c r="AK420" s="3147"/>
      <c r="AL420" s="3147"/>
      <c r="AM420" s="3147"/>
      <c r="AN420" s="3147"/>
      <c r="AO420" s="3148"/>
      <c r="AP420" s="3178"/>
      <c r="AQ420" s="3179"/>
      <c r="AR420" s="3179"/>
      <c r="AS420" s="3179"/>
      <c r="AT420" s="3180"/>
      <c r="AU420" s="113"/>
    </row>
    <row r="421" spans="2:47" ht="15" customHeight="1" x14ac:dyDescent="0.15">
      <c r="B421" s="3149">
        <v>146</v>
      </c>
      <c r="C421" s="3151">
        <f>名簿入力!D305</f>
        <v>0</v>
      </c>
      <c r="D421" s="3152"/>
      <c r="E421" s="3155">
        <f>名簿入力!E305</f>
        <v>0</v>
      </c>
      <c r="F421" s="3157">
        <f>名簿入力!G305</f>
        <v>0</v>
      </c>
      <c r="G421" s="3159">
        <f>名簿入力!H305</f>
        <v>0</v>
      </c>
      <c r="H421" s="3161">
        <f>名簿入力!I305</f>
        <v>0</v>
      </c>
      <c r="I421" s="3162"/>
      <c r="J421" s="3165">
        <f>名簿入力!K305</f>
        <v>0</v>
      </c>
      <c r="K421" s="3167">
        <f>名簿入力!L305</f>
        <v>0</v>
      </c>
      <c r="L421" s="3161">
        <f>名簿入力!M305</f>
        <v>0</v>
      </c>
      <c r="M421" s="3169"/>
      <c r="N421" s="3165">
        <f>名簿入力!O305</f>
        <v>0</v>
      </c>
      <c r="O421" s="3165">
        <f>名簿入力!P305</f>
        <v>0</v>
      </c>
      <c r="P421" s="3167">
        <f>名簿入力!Q305</f>
        <v>0</v>
      </c>
      <c r="Q421" s="3161">
        <f>名簿入力!R305</f>
        <v>0</v>
      </c>
      <c r="R421" s="3162"/>
      <c r="S421" s="3165">
        <f>名簿入力!T305</f>
        <v>0</v>
      </c>
      <c r="T421" s="3165">
        <f>名簿入力!U305</f>
        <v>0</v>
      </c>
      <c r="U421" s="3167">
        <f>名簿入力!V305</f>
        <v>0</v>
      </c>
      <c r="V421" s="3161">
        <f>名簿入力!W305</f>
        <v>0</v>
      </c>
      <c r="W421" s="3162"/>
      <c r="X421" s="3165">
        <f>名簿入力!Y305</f>
        <v>0</v>
      </c>
      <c r="Y421" s="3165">
        <f>名簿入力!Z305</f>
        <v>0</v>
      </c>
      <c r="Z421" s="3167">
        <f>名簿入力!AA305</f>
        <v>0</v>
      </c>
      <c r="AA421" s="3161">
        <f>名簿入力!AB305</f>
        <v>0</v>
      </c>
      <c r="AB421" s="3162"/>
      <c r="AC421" s="3165">
        <f>名簿入力!AD305</f>
        <v>0</v>
      </c>
      <c r="AD421" s="3165">
        <f>名簿入力!AE305</f>
        <v>0</v>
      </c>
      <c r="AE421" s="3167">
        <f>名簿入力!AF305</f>
        <v>0</v>
      </c>
      <c r="AF421" s="3161">
        <f>名簿入力!AG305</f>
        <v>0</v>
      </c>
      <c r="AG421" s="3162"/>
      <c r="AH421" s="3165">
        <f>名簿入力!AI305</f>
        <v>0</v>
      </c>
      <c r="AI421" s="3165">
        <f>名簿入力!AJ305</f>
        <v>0</v>
      </c>
      <c r="AJ421" s="3175">
        <f>名簿入力!AK305</f>
        <v>0</v>
      </c>
      <c r="AK421" s="3176"/>
      <c r="AL421" s="3176"/>
      <c r="AM421" s="3176"/>
      <c r="AN421" s="3176"/>
      <c r="AO421" s="3177"/>
      <c r="AP421" s="3137">
        <f>名簿入力!AO305</f>
        <v>0</v>
      </c>
      <c r="AQ421" s="3138"/>
      <c r="AR421" s="3138"/>
      <c r="AS421" s="3138"/>
      <c r="AT421" s="3139"/>
      <c r="AU421" s="113"/>
    </row>
    <row r="422" spans="2:47" ht="15" customHeight="1" x14ac:dyDescent="0.15">
      <c r="B422" s="3181"/>
      <c r="C422" s="3182"/>
      <c r="D422" s="3183"/>
      <c r="E422" s="3184"/>
      <c r="F422" s="3185"/>
      <c r="G422" s="3186"/>
      <c r="H422" s="3173"/>
      <c r="I422" s="3174"/>
      <c r="J422" s="3171"/>
      <c r="K422" s="3172"/>
      <c r="L422" s="3173"/>
      <c r="M422" s="3187"/>
      <c r="N422" s="3171"/>
      <c r="O422" s="3171"/>
      <c r="P422" s="3172"/>
      <c r="Q422" s="3173"/>
      <c r="R422" s="3174"/>
      <c r="S422" s="3171"/>
      <c r="T422" s="3171"/>
      <c r="U422" s="3172"/>
      <c r="V422" s="3173"/>
      <c r="W422" s="3174"/>
      <c r="X422" s="3171"/>
      <c r="Y422" s="3171"/>
      <c r="Z422" s="3172"/>
      <c r="AA422" s="3173"/>
      <c r="AB422" s="3174"/>
      <c r="AC422" s="3171"/>
      <c r="AD422" s="3171"/>
      <c r="AE422" s="3172"/>
      <c r="AF422" s="3173"/>
      <c r="AG422" s="3174"/>
      <c r="AH422" s="3171"/>
      <c r="AI422" s="3171"/>
      <c r="AJ422" s="3146">
        <f>名簿入力!AK306</f>
        <v>0</v>
      </c>
      <c r="AK422" s="3147"/>
      <c r="AL422" s="3147"/>
      <c r="AM422" s="3147"/>
      <c r="AN422" s="3147"/>
      <c r="AO422" s="3148"/>
      <c r="AP422" s="3178"/>
      <c r="AQ422" s="3179"/>
      <c r="AR422" s="3179"/>
      <c r="AS422" s="3179"/>
      <c r="AT422" s="3180"/>
      <c r="AU422" s="113"/>
    </row>
    <row r="423" spans="2:47" ht="15" customHeight="1" x14ac:dyDescent="0.15">
      <c r="B423" s="3149">
        <v>147</v>
      </c>
      <c r="C423" s="3151">
        <f>名簿入力!D307</f>
        <v>0</v>
      </c>
      <c r="D423" s="3152"/>
      <c r="E423" s="3155">
        <f>名簿入力!E307</f>
        <v>0</v>
      </c>
      <c r="F423" s="3157">
        <f>名簿入力!G307</f>
        <v>0</v>
      </c>
      <c r="G423" s="3159">
        <f>名簿入力!H307</f>
        <v>0</v>
      </c>
      <c r="H423" s="3161">
        <f>名簿入力!I307</f>
        <v>0</v>
      </c>
      <c r="I423" s="3162"/>
      <c r="J423" s="3165">
        <f>名簿入力!K307</f>
        <v>0</v>
      </c>
      <c r="K423" s="3167">
        <f>名簿入力!L307</f>
        <v>0</v>
      </c>
      <c r="L423" s="3161">
        <f>名簿入力!M307</f>
        <v>0</v>
      </c>
      <c r="M423" s="3169"/>
      <c r="N423" s="3165">
        <f>名簿入力!O307</f>
        <v>0</v>
      </c>
      <c r="O423" s="3165">
        <f>名簿入力!P307</f>
        <v>0</v>
      </c>
      <c r="P423" s="3167">
        <f>名簿入力!Q307</f>
        <v>0</v>
      </c>
      <c r="Q423" s="3161">
        <f>名簿入力!R307</f>
        <v>0</v>
      </c>
      <c r="R423" s="3162"/>
      <c r="S423" s="3165">
        <f>名簿入力!T307</f>
        <v>0</v>
      </c>
      <c r="T423" s="3165">
        <f>名簿入力!U307</f>
        <v>0</v>
      </c>
      <c r="U423" s="3167">
        <f>名簿入力!V307</f>
        <v>0</v>
      </c>
      <c r="V423" s="3161">
        <f>名簿入力!W307</f>
        <v>0</v>
      </c>
      <c r="W423" s="3162"/>
      <c r="X423" s="3165">
        <f>名簿入力!Y307</f>
        <v>0</v>
      </c>
      <c r="Y423" s="3165">
        <f>名簿入力!Z307</f>
        <v>0</v>
      </c>
      <c r="Z423" s="3167">
        <f>名簿入力!AA307</f>
        <v>0</v>
      </c>
      <c r="AA423" s="3161">
        <f>名簿入力!AB307</f>
        <v>0</v>
      </c>
      <c r="AB423" s="3162"/>
      <c r="AC423" s="3165">
        <f>名簿入力!AD307</f>
        <v>0</v>
      </c>
      <c r="AD423" s="3165">
        <f>名簿入力!AE307</f>
        <v>0</v>
      </c>
      <c r="AE423" s="3167">
        <f>名簿入力!AF307</f>
        <v>0</v>
      </c>
      <c r="AF423" s="3161">
        <f>名簿入力!AG307</f>
        <v>0</v>
      </c>
      <c r="AG423" s="3162"/>
      <c r="AH423" s="3165">
        <f>名簿入力!AI307</f>
        <v>0</v>
      </c>
      <c r="AI423" s="3165">
        <f>名簿入力!AJ307</f>
        <v>0</v>
      </c>
      <c r="AJ423" s="3175">
        <f>名簿入力!AK307</f>
        <v>0</v>
      </c>
      <c r="AK423" s="3176"/>
      <c r="AL423" s="3176"/>
      <c r="AM423" s="3176"/>
      <c r="AN423" s="3176"/>
      <c r="AO423" s="3177"/>
      <c r="AP423" s="3137">
        <f>名簿入力!AO307</f>
        <v>0</v>
      </c>
      <c r="AQ423" s="3138"/>
      <c r="AR423" s="3138"/>
      <c r="AS423" s="3138"/>
      <c r="AT423" s="3139"/>
      <c r="AU423" s="113"/>
    </row>
    <row r="424" spans="2:47" ht="15" customHeight="1" x14ac:dyDescent="0.15">
      <c r="B424" s="3181"/>
      <c r="C424" s="3182"/>
      <c r="D424" s="3183"/>
      <c r="E424" s="3184"/>
      <c r="F424" s="3185"/>
      <c r="G424" s="3186"/>
      <c r="H424" s="3173"/>
      <c r="I424" s="3174"/>
      <c r="J424" s="3171"/>
      <c r="K424" s="3172"/>
      <c r="L424" s="3173"/>
      <c r="M424" s="3187"/>
      <c r="N424" s="3171"/>
      <c r="O424" s="3171"/>
      <c r="P424" s="3172"/>
      <c r="Q424" s="3173"/>
      <c r="R424" s="3174"/>
      <c r="S424" s="3171"/>
      <c r="T424" s="3171"/>
      <c r="U424" s="3172"/>
      <c r="V424" s="3173"/>
      <c r="W424" s="3174"/>
      <c r="X424" s="3171"/>
      <c r="Y424" s="3171"/>
      <c r="Z424" s="3172"/>
      <c r="AA424" s="3173"/>
      <c r="AB424" s="3174"/>
      <c r="AC424" s="3171"/>
      <c r="AD424" s="3171"/>
      <c r="AE424" s="3172"/>
      <c r="AF424" s="3173"/>
      <c r="AG424" s="3174"/>
      <c r="AH424" s="3171"/>
      <c r="AI424" s="3171"/>
      <c r="AJ424" s="3146">
        <f>名簿入力!AK308</f>
        <v>0</v>
      </c>
      <c r="AK424" s="3147"/>
      <c r="AL424" s="3147"/>
      <c r="AM424" s="3147"/>
      <c r="AN424" s="3147"/>
      <c r="AO424" s="3148"/>
      <c r="AP424" s="3178"/>
      <c r="AQ424" s="3179"/>
      <c r="AR424" s="3179"/>
      <c r="AS424" s="3179"/>
      <c r="AT424" s="3180"/>
      <c r="AU424" s="113"/>
    </row>
    <row r="425" spans="2:47" ht="15" customHeight="1" x14ac:dyDescent="0.15">
      <c r="B425" s="3149">
        <v>148</v>
      </c>
      <c r="C425" s="3151">
        <f>名簿入力!D309</f>
        <v>0</v>
      </c>
      <c r="D425" s="3152"/>
      <c r="E425" s="3155">
        <f>名簿入力!E309</f>
        <v>0</v>
      </c>
      <c r="F425" s="3157">
        <f>名簿入力!G309</f>
        <v>0</v>
      </c>
      <c r="G425" s="3159">
        <f>名簿入力!H309</f>
        <v>0</v>
      </c>
      <c r="H425" s="3161">
        <f>名簿入力!I309</f>
        <v>0</v>
      </c>
      <c r="I425" s="3162"/>
      <c r="J425" s="3165">
        <f>名簿入力!K309</f>
        <v>0</v>
      </c>
      <c r="K425" s="3167">
        <f>名簿入力!L309</f>
        <v>0</v>
      </c>
      <c r="L425" s="3161">
        <f>名簿入力!M309</f>
        <v>0</v>
      </c>
      <c r="M425" s="3169"/>
      <c r="N425" s="3165">
        <f>名簿入力!O309</f>
        <v>0</v>
      </c>
      <c r="O425" s="3165">
        <f>名簿入力!P309</f>
        <v>0</v>
      </c>
      <c r="P425" s="3167">
        <f>名簿入力!Q309</f>
        <v>0</v>
      </c>
      <c r="Q425" s="3161">
        <f>名簿入力!R309</f>
        <v>0</v>
      </c>
      <c r="R425" s="3162"/>
      <c r="S425" s="3165">
        <f>名簿入力!T309</f>
        <v>0</v>
      </c>
      <c r="T425" s="3165">
        <f>名簿入力!U309</f>
        <v>0</v>
      </c>
      <c r="U425" s="3167">
        <f>名簿入力!V309</f>
        <v>0</v>
      </c>
      <c r="V425" s="3161">
        <f>名簿入力!W309</f>
        <v>0</v>
      </c>
      <c r="W425" s="3162"/>
      <c r="X425" s="3165">
        <f>名簿入力!Y309</f>
        <v>0</v>
      </c>
      <c r="Y425" s="3165">
        <f>名簿入力!Z309</f>
        <v>0</v>
      </c>
      <c r="Z425" s="3167">
        <f>名簿入力!AA309</f>
        <v>0</v>
      </c>
      <c r="AA425" s="3161">
        <f>名簿入力!AB309</f>
        <v>0</v>
      </c>
      <c r="AB425" s="3162"/>
      <c r="AC425" s="3165">
        <f>名簿入力!AD309</f>
        <v>0</v>
      </c>
      <c r="AD425" s="3165">
        <f>名簿入力!AE309</f>
        <v>0</v>
      </c>
      <c r="AE425" s="3167">
        <f>名簿入力!AF309</f>
        <v>0</v>
      </c>
      <c r="AF425" s="3161">
        <f>名簿入力!AG309</f>
        <v>0</v>
      </c>
      <c r="AG425" s="3162"/>
      <c r="AH425" s="3165">
        <f>名簿入力!AI309</f>
        <v>0</v>
      </c>
      <c r="AI425" s="3165">
        <f>名簿入力!AJ309</f>
        <v>0</v>
      </c>
      <c r="AJ425" s="3175">
        <f>名簿入力!AK309</f>
        <v>0</v>
      </c>
      <c r="AK425" s="3176"/>
      <c r="AL425" s="3176"/>
      <c r="AM425" s="3176"/>
      <c r="AN425" s="3176"/>
      <c r="AO425" s="3177"/>
      <c r="AP425" s="3137">
        <f>名簿入力!AO309</f>
        <v>0</v>
      </c>
      <c r="AQ425" s="3138"/>
      <c r="AR425" s="3138"/>
      <c r="AS425" s="3138"/>
      <c r="AT425" s="3139"/>
      <c r="AU425" s="113"/>
    </row>
    <row r="426" spans="2:47" ht="15" customHeight="1" x14ac:dyDescent="0.15">
      <c r="B426" s="3181"/>
      <c r="C426" s="3182"/>
      <c r="D426" s="3183"/>
      <c r="E426" s="3184"/>
      <c r="F426" s="3185"/>
      <c r="G426" s="3186"/>
      <c r="H426" s="3173"/>
      <c r="I426" s="3174"/>
      <c r="J426" s="3171"/>
      <c r="K426" s="3172"/>
      <c r="L426" s="3173"/>
      <c r="M426" s="3187"/>
      <c r="N426" s="3171"/>
      <c r="O426" s="3171"/>
      <c r="P426" s="3172"/>
      <c r="Q426" s="3173"/>
      <c r="R426" s="3174"/>
      <c r="S426" s="3171"/>
      <c r="T426" s="3171"/>
      <c r="U426" s="3172"/>
      <c r="V426" s="3173"/>
      <c r="W426" s="3174"/>
      <c r="X426" s="3171"/>
      <c r="Y426" s="3171"/>
      <c r="Z426" s="3172"/>
      <c r="AA426" s="3173"/>
      <c r="AB426" s="3174"/>
      <c r="AC426" s="3171"/>
      <c r="AD426" s="3171"/>
      <c r="AE426" s="3172"/>
      <c r="AF426" s="3173"/>
      <c r="AG426" s="3174"/>
      <c r="AH426" s="3171"/>
      <c r="AI426" s="3171"/>
      <c r="AJ426" s="3146">
        <f>名簿入力!AK310</f>
        <v>0</v>
      </c>
      <c r="AK426" s="3147"/>
      <c r="AL426" s="3147"/>
      <c r="AM426" s="3147"/>
      <c r="AN426" s="3147"/>
      <c r="AO426" s="3148"/>
      <c r="AP426" s="3178"/>
      <c r="AQ426" s="3179"/>
      <c r="AR426" s="3179"/>
      <c r="AS426" s="3179"/>
      <c r="AT426" s="3180"/>
      <c r="AU426" s="113"/>
    </row>
    <row r="427" spans="2:47" ht="15" customHeight="1" x14ac:dyDescent="0.15">
      <c r="B427" s="3149">
        <v>149</v>
      </c>
      <c r="C427" s="3151">
        <f>名簿入力!D311</f>
        <v>0</v>
      </c>
      <c r="D427" s="3152"/>
      <c r="E427" s="3155">
        <f>名簿入力!E311</f>
        <v>0</v>
      </c>
      <c r="F427" s="3157">
        <f>名簿入力!G311</f>
        <v>0</v>
      </c>
      <c r="G427" s="3159">
        <f>名簿入力!H311</f>
        <v>0</v>
      </c>
      <c r="H427" s="3161">
        <f>名簿入力!I311</f>
        <v>0</v>
      </c>
      <c r="I427" s="3162"/>
      <c r="J427" s="3165">
        <f>名簿入力!K311</f>
        <v>0</v>
      </c>
      <c r="K427" s="3167">
        <f>名簿入力!L311</f>
        <v>0</v>
      </c>
      <c r="L427" s="3161">
        <f>名簿入力!M311</f>
        <v>0</v>
      </c>
      <c r="M427" s="3169"/>
      <c r="N427" s="3165">
        <f>名簿入力!O311</f>
        <v>0</v>
      </c>
      <c r="O427" s="3165">
        <f>名簿入力!P311</f>
        <v>0</v>
      </c>
      <c r="P427" s="3167">
        <f>名簿入力!Q311</f>
        <v>0</v>
      </c>
      <c r="Q427" s="3161">
        <f>名簿入力!R311</f>
        <v>0</v>
      </c>
      <c r="R427" s="3162"/>
      <c r="S427" s="3165">
        <f>名簿入力!T311</f>
        <v>0</v>
      </c>
      <c r="T427" s="3165">
        <f>名簿入力!U311</f>
        <v>0</v>
      </c>
      <c r="U427" s="3167">
        <f>名簿入力!V311</f>
        <v>0</v>
      </c>
      <c r="V427" s="3161">
        <f>名簿入力!W311</f>
        <v>0</v>
      </c>
      <c r="W427" s="3162"/>
      <c r="X427" s="3165">
        <f>名簿入力!Y311</f>
        <v>0</v>
      </c>
      <c r="Y427" s="3165">
        <f>名簿入力!Z311</f>
        <v>0</v>
      </c>
      <c r="Z427" s="3167">
        <f>名簿入力!AA311</f>
        <v>0</v>
      </c>
      <c r="AA427" s="3161">
        <f>名簿入力!AB311</f>
        <v>0</v>
      </c>
      <c r="AB427" s="3162"/>
      <c r="AC427" s="3165">
        <f>名簿入力!AD311</f>
        <v>0</v>
      </c>
      <c r="AD427" s="3165">
        <f>名簿入力!AE311</f>
        <v>0</v>
      </c>
      <c r="AE427" s="3167">
        <f>名簿入力!AF311</f>
        <v>0</v>
      </c>
      <c r="AF427" s="3161">
        <f>名簿入力!AG311</f>
        <v>0</v>
      </c>
      <c r="AG427" s="3162"/>
      <c r="AH427" s="3165">
        <f>名簿入力!AI311</f>
        <v>0</v>
      </c>
      <c r="AI427" s="3165">
        <f>名簿入力!AJ311</f>
        <v>0</v>
      </c>
      <c r="AJ427" s="3175">
        <f>名簿入力!AK311</f>
        <v>0</v>
      </c>
      <c r="AK427" s="3176"/>
      <c r="AL427" s="3176"/>
      <c r="AM427" s="3176"/>
      <c r="AN427" s="3176"/>
      <c r="AO427" s="3177"/>
      <c r="AP427" s="3137">
        <f>名簿入力!AO311</f>
        <v>0</v>
      </c>
      <c r="AQ427" s="3138"/>
      <c r="AR427" s="3138"/>
      <c r="AS427" s="3138"/>
      <c r="AT427" s="3139"/>
      <c r="AU427" s="113"/>
    </row>
    <row r="428" spans="2:47" ht="15" customHeight="1" x14ac:dyDescent="0.15">
      <c r="B428" s="3181"/>
      <c r="C428" s="3182"/>
      <c r="D428" s="3183"/>
      <c r="E428" s="3184"/>
      <c r="F428" s="3185"/>
      <c r="G428" s="3186"/>
      <c r="H428" s="3173"/>
      <c r="I428" s="3174"/>
      <c r="J428" s="3171"/>
      <c r="K428" s="3172"/>
      <c r="L428" s="3173"/>
      <c r="M428" s="3187"/>
      <c r="N428" s="3171"/>
      <c r="O428" s="3171"/>
      <c r="P428" s="3172"/>
      <c r="Q428" s="3173"/>
      <c r="R428" s="3174"/>
      <c r="S428" s="3171"/>
      <c r="T428" s="3171"/>
      <c r="U428" s="3172"/>
      <c r="V428" s="3173"/>
      <c r="W428" s="3174"/>
      <c r="X428" s="3171"/>
      <c r="Y428" s="3171"/>
      <c r="Z428" s="3172"/>
      <c r="AA428" s="3173"/>
      <c r="AB428" s="3174"/>
      <c r="AC428" s="3171"/>
      <c r="AD428" s="3171"/>
      <c r="AE428" s="3172"/>
      <c r="AF428" s="3173"/>
      <c r="AG428" s="3174"/>
      <c r="AH428" s="3171"/>
      <c r="AI428" s="3171"/>
      <c r="AJ428" s="3146">
        <f>名簿入力!AK312</f>
        <v>0</v>
      </c>
      <c r="AK428" s="3147"/>
      <c r="AL428" s="3147"/>
      <c r="AM428" s="3147"/>
      <c r="AN428" s="3147"/>
      <c r="AO428" s="3148"/>
      <c r="AP428" s="3178"/>
      <c r="AQ428" s="3179"/>
      <c r="AR428" s="3179"/>
      <c r="AS428" s="3179"/>
      <c r="AT428" s="3180"/>
      <c r="AU428" s="113"/>
    </row>
    <row r="429" spans="2:47" ht="15" customHeight="1" x14ac:dyDescent="0.15">
      <c r="B429" s="3149">
        <v>150</v>
      </c>
      <c r="C429" s="3151">
        <f>名簿入力!D313</f>
        <v>0</v>
      </c>
      <c r="D429" s="3152"/>
      <c r="E429" s="3155">
        <f>名簿入力!E313</f>
        <v>0</v>
      </c>
      <c r="F429" s="3157">
        <f>名簿入力!G313</f>
        <v>0</v>
      </c>
      <c r="G429" s="3159">
        <f>名簿入力!H313</f>
        <v>0</v>
      </c>
      <c r="H429" s="3161">
        <f>名簿入力!I313</f>
        <v>0</v>
      </c>
      <c r="I429" s="3162"/>
      <c r="J429" s="3165">
        <f>名簿入力!K313</f>
        <v>0</v>
      </c>
      <c r="K429" s="3167">
        <f>名簿入力!L313</f>
        <v>0</v>
      </c>
      <c r="L429" s="3161">
        <f>名簿入力!M313</f>
        <v>0</v>
      </c>
      <c r="M429" s="3169"/>
      <c r="N429" s="3165">
        <f>名簿入力!O313</f>
        <v>0</v>
      </c>
      <c r="O429" s="3165">
        <f>名簿入力!P313</f>
        <v>0</v>
      </c>
      <c r="P429" s="3167">
        <f>名簿入力!Q313</f>
        <v>0</v>
      </c>
      <c r="Q429" s="3161">
        <f>名簿入力!R313</f>
        <v>0</v>
      </c>
      <c r="R429" s="3162"/>
      <c r="S429" s="3165">
        <f>名簿入力!T313</f>
        <v>0</v>
      </c>
      <c r="T429" s="3165">
        <f>名簿入力!U313</f>
        <v>0</v>
      </c>
      <c r="U429" s="3167">
        <f>名簿入力!V313</f>
        <v>0</v>
      </c>
      <c r="V429" s="3161">
        <f>名簿入力!W313</f>
        <v>0</v>
      </c>
      <c r="W429" s="3162"/>
      <c r="X429" s="3165">
        <f>名簿入力!Y313</f>
        <v>0</v>
      </c>
      <c r="Y429" s="3165">
        <f>名簿入力!Z313</f>
        <v>0</v>
      </c>
      <c r="Z429" s="3167">
        <f>名簿入力!AA313</f>
        <v>0</v>
      </c>
      <c r="AA429" s="3161">
        <f>名簿入力!AB313</f>
        <v>0</v>
      </c>
      <c r="AB429" s="3162"/>
      <c r="AC429" s="3165">
        <f>名簿入力!AD313</f>
        <v>0</v>
      </c>
      <c r="AD429" s="3165">
        <f>名簿入力!AE313</f>
        <v>0</v>
      </c>
      <c r="AE429" s="3167">
        <f>名簿入力!AF313</f>
        <v>0</v>
      </c>
      <c r="AF429" s="3161">
        <f>名簿入力!AG313</f>
        <v>0</v>
      </c>
      <c r="AG429" s="3162"/>
      <c r="AH429" s="3165">
        <f>名簿入力!AI313</f>
        <v>0</v>
      </c>
      <c r="AI429" s="3165">
        <f>名簿入力!AJ313</f>
        <v>0</v>
      </c>
      <c r="AJ429" s="3175">
        <f>名簿入力!AK313</f>
        <v>0</v>
      </c>
      <c r="AK429" s="3176"/>
      <c r="AL429" s="3176"/>
      <c r="AM429" s="3176"/>
      <c r="AN429" s="3176"/>
      <c r="AO429" s="3177"/>
      <c r="AP429" s="3137">
        <f>名簿入力!AO313</f>
        <v>0</v>
      </c>
      <c r="AQ429" s="3138"/>
      <c r="AR429" s="3138"/>
      <c r="AS429" s="3138"/>
      <c r="AT429" s="3139"/>
      <c r="AU429" s="113"/>
    </row>
    <row r="430" spans="2:47" ht="15" customHeight="1" thickBot="1" x14ac:dyDescent="0.2">
      <c r="B430" s="3150"/>
      <c r="C430" s="3153"/>
      <c r="D430" s="3154"/>
      <c r="E430" s="3156"/>
      <c r="F430" s="3158"/>
      <c r="G430" s="3160"/>
      <c r="H430" s="3163"/>
      <c r="I430" s="3164"/>
      <c r="J430" s="3166"/>
      <c r="K430" s="3168"/>
      <c r="L430" s="3163"/>
      <c r="M430" s="3170"/>
      <c r="N430" s="3166"/>
      <c r="O430" s="3166"/>
      <c r="P430" s="3168"/>
      <c r="Q430" s="3163"/>
      <c r="R430" s="3164"/>
      <c r="S430" s="3166"/>
      <c r="T430" s="3166"/>
      <c r="U430" s="3168"/>
      <c r="V430" s="3163"/>
      <c r="W430" s="3164"/>
      <c r="X430" s="3166"/>
      <c r="Y430" s="3166"/>
      <c r="Z430" s="3168"/>
      <c r="AA430" s="3163"/>
      <c r="AB430" s="3164"/>
      <c r="AC430" s="3166"/>
      <c r="AD430" s="3166"/>
      <c r="AE430" s="3168"/>
      <c r="AF430" s="3163"/>
      <c r="AG430" s="3164"/>
      <c r="AH430" s="3166"/>
      <c r="AI430" s="3166"/>
      <c r="AJ430" s="3143">
        <f>名簿入力!AK314</f>
        <v>0</v>
      </c>
      <c r="AK430" s="3144"/>
      <c r="AL430" s="3144"/>
      <c r="AM430" s="3144"/>
      <c r="AN430" s="3144"/>
      <c r="AO430" s="3145"/>
      <c r="AP430" s="3140"/>
      <c r="AQ430" s="3141"/>
      <c r="AR430" s="3141"/>
      <c r="AS430" s="3141"/>
      <c r="AT430" s="3142"/>
      <c r="AU430" s="113"/>
    </row>
    <row r="431" spans="2:47" ht="46.5" customHeight="1" x14ac:dyDescent="0.15">
      <c r="B431" s="524"/>
      <c r="C431" s="525"/>
      <c r="D431" s="525"/>
      <c r="E431" s="526"/>
      <c r="F431" s="527"/>
      <c r="G431" s="527"/>
      <c r="H431" s="528"/>
      <c r="I431" s="528"/>
      <c r="J431" s="529"/>
      <c r="K431" s="529"/>
      <c r="L431" s="528"/>
      <c r="M431" s="528"/>
      <c r="N431" s="529"/>
      <c r="O431" s="529"/>
      <c r="P431" s="529"/>
      <c r="Q431" s="528"/>
      <c r="R431" s="528"/>
      <c r="S431" s="529"/>
      <c r="T431" s="529"/>
      <c r="U431" s="529"/>
      <c r="V431" s="528"/>
      <c r="W431" s="528"/>
      <c r="X431" s="529"/>
      <c r="Y431" s="529"/>
      <c r="Z431" s="529"/>
      <c r="AA431" s="528"/>
      <c r="AB431" s="528"/>
      <c r="AC431" s="529"/>
      <c r="AD431" s="529"/>
      <c r="AE431" s="529"/>
      <c r="AF431" s="528"/>
      <c r="AG431" s="528"/>
      <c r="AH431" s="529"/>
      <c r="AI431" s="1112"/>
      <c r="AJ431" s="1113"/>
      <c r="AK431" s="1113"/>
      <c r="AL431" s="1113"/>
      <c r="AM431" s="1113"/>
      <c r="AN431" s="1113"/>
      <c r="AO431" s="1113"/>
      <c r="AP431" s="1114"/>
      <c r="AQ431" s="1114"/>
      <c r="AR431" s="1114"/>
      <c r="AS431" s="1114"/>
      <c r="AT431" s="1114"/>
      <c r="AU431" s="113"/>
    </row>
    <row r="432" spans="2:47" ht="26.25" customHeight="1" x14ac:dyDescent="0.15">
      <c r="C432" s="3279" t="s">
        <v>282</v>
      </c>
      <c r="D432" s="3279"/>
      <c r="E432" s="3279"/>
      <c r="F432" s="3279"/>
      <c r="G432" s="3279"/>
      <c r="H432" s="3279"/>
      <c r="I432" s="3279"/>
      <c r="J432" s="3279"/>
      <c r="K432" s="3279"/>
      <c r="L432" s="3279"/>
      <c r="M432" s="3279"/>
      <c r="N432" s="3279"/>
      <c r="O432" s="3279"/>
      <c r="P432" s="3279"/>
      <c r="Q432" s="3279"/>
      <c r="R432" s="3279"/>
      <c r="S432" s="3279"/>
      <c r="T432" s="3279"/>
      <c r="U432" s="3279"/>
      <c r="V432" s="3279"/>
      <c r="W432" s="3279"/>
      <c r="X432" s="3279"/>
      <c r="Y432" s="3279"/>
      <c r="Z432" s="3279"/>
      <c r="AA432" s="1014"/>
      <c r="AB432" s="1014"/>
      <c r="AC432" s="1014"/>
      <c r="AD432" s="1014"/>
      <c r="AE432" s="1014"/>
      <c r="AF432" s="1014"/>
      <c r="AG432" s="1014"/>
      <c r="AH432" s="1014"/>
      <c r="AI432" s="1014"/>
      <c r="AJ432" s="1014"/>
      <c r="AK432" s="1014"/>
      <c r="AL432" s="1014"/>
      <c r="AM432" s="1014"/>
      <c r="AN432" s="1014"/>
      <c r="AP432" s="499"/>
      <c r="AQ432" s="3230" t="s">
        <v>175</v>
      </c>
      <c r="AR432" s="3230"/>
      <c r="AS432" s="3230">
        <v>11</v>
      </c>
      <c r="AT432" s="3230"/>
    </row>
    <row r="433" spans="2:50" ht="3.75" customHeight="1" thickBot="1" x14ac:dyDescent="0.2">
      <c r="B433" s="854"/>
      <c r="C433" s="854"/>
      <c r="D433" s="854"/>
      <c r="E433" s="854"/>
      <c r="F433" s="854"/>
      <c r="G433" s="854"/>
      <c r="H433" s="854"/>
      <c r="I433" s="854"/>
      <c r="J433" s="854"/>
      <c r="K433" s="854"/>
      <c r="L433" s="854"/>
      <c r="M433" s="854"/>
      <c r="N433" s="854"/>
      <c r="O433" s="854"/>
      <c r="P433" s="854"/>
      <c r="Q433" s="854"/>
      <c r="R433" s="854"/>
      <c r="S433" s="854"/>
      <c r="T433" s="854"/>
      <c r="U433" s="854"/>
      <c r="V433" s="854"/>
      <c r="W433" s="854"/>
      <c r="X433" s="854"/>
      <c r="Y433" s="854"/>
      <c r="Z433" s="854"/>
      <c r="AA433" s="854"/>
      <c r="AB433" s="854"/>
      <c r="AC433" s="854"/>
      <c r="AD433" s="854"/>
      <c r="AE433" s="854"/>
      <c r="AF433" s="854"/>
      <c r="AG433" s="854"/>
      <c r="AH433" s="854"/>
      <c r="AI433" s="854"/>
      <c r="AJ433" s="854"/>
      <c r="AK433" s="854"/>
      <c r="AL433" s="854"/>
      <c r="AM433" s="854"/>
      <c r="AN433" s="854"/>
      <c r="AP433" s="499"/>
      <c r="AQ433" s="855"/>
      <c r="AR433" s="855"/>
      <c r="AS433" s="855"/>
      <c r="AT433" s="855"/>
    </row>
    <row r="434" spans="2:50" ht="15" customHeight="1" x14ac:dyDescent="0.15">
      <c r="B434" s="3231" t="s">
        <v>174</v>
      </c>
      <c r="C434" s="3232"/>
      <c r="D434" s="3235" t="str">
        <f>$D$4</f>
        <v xml:space="preserve"> </v>
      </c>
      <c r="E434" s="3235"/>
      <c r="F434" s="3235"/>
      <c r="G434" s="3235"/>
      <c r="H434" s="3235"/>
      <c r="I434" s="3235"/>
      <c r="J434" s="3235"/>
      <c r="K434" s="3235"/>
      <c r="L434" s="3235"/>
      <c r="M434" s="3235"/>
      <c r="N434" s="3235"/>
      <c r="O434" s="3235"/>
      <c r="P434" s="3235"/>
      <c r="Q434" s="3235"/>
      <c r="R434" s="3235"/>
      <c r="S434" s="3235"/>
      <c r="T434" s="3235"/>
      <c r="U434" s="3235"/>
      <c r="V434" s="3235"/>
      <c r="W434" s="3235"/>
      <c r="X434" s="3235"/>
      <c r="Y434" s="3235"/>
      <c r="Z434" s="3236"/>
      <c r="AA434" s="502"/>
      <c r="AB434" s="503"/>
      <c r="AC434" s="497"/>
      <c r="AD434" s="497"/>
      <c r="AE434" s="497"/>
      <c r="AF434" s="48"/>
      <c r="AG434" s="48"/>
      <c r="AJ434" s="48"/>
      <c r="AK434" s="48"/>
    </row>
    <row r="435" spans="2:50" ht="22.5" customHeight="1" x14ac:dyDescent="0.15">
      <c r="B435" s="3233"/>
      <c r="C435" s="3234"/>
      <c r="D435" s="3237"/>
      <c r="E435" s="3237"/>
      <c r="F435" s="3237"/>
      <c r="G435" s="3237"/>
      <c r="H435" s="3237"/>
      <c r="I435" s="3237"/>
      <c r="J435" s="3237"/>
      <c r="K435" s="3237"/>
      <c r="L435" s="3237"/>
      <c r="M435" s="3237"/>
      <c r="N435" s="3237"/>
      <c r="O435" s="3237"/>
      <c r="P435" s="3237"/>
      <c r="Q435" s="3237"/>
      <c r="R435" s="3237"/>
      <c r="S435" s="3237"/>
      <c r="T435" s="3237"/>
      <c r="U435" s="3237"/>
      <c r="V435" s="3237"/>
      <c r="W435" s="3237"/>
      <c r="X435" s="3237"/>
      <c r="Y435" s="3237"/>
      <c r="Z435" s="3238"/>
      <c r="AA435" s="502"/>
      <c r="AB435" s="504"/>
      <c r="AC435" s="497"/>
      <c r="AD435" s="497"/>
      <c r="AE435" s="497"/>
      <c r="AF435" s="497"/>
      <c r="AG435" s="48"/>
      <c r="AJ435" s="48"/>
      <c r="AK435" s="48"/>
    </row>
    <row r="436" spans="2:50" ht="24.75" customHeight="1" thickBot="1" x14ac:dyDescent="0.2">
      <c r="B436" s="3239" t="s">
        <v>173</v>
      </c>
      <c r="C436" s="3240"/>
      <c r="D436" s="3241">
        <f>$D$6</f>
        <v>0</v>
      </c>
      <c r="E436" s="3241"/>
      <c r="F436" s="513" t="s">
        <v>60</v>
      </c>
      <c r="G436" s="3241">
        <f>$G$6</f>
        <v>0</v>
      </c>
      <c r="H436" s="3241"/>
      <c r="I436" s="514" t="s">
        <v>61</v>
      </c>
      <c r="J436" s="3241">
        <f>$J$6</f>
        <v>0</v>
      </c>
      <c r="K436" s="3241"/>
      <c r="L436" s="514" t="s">
        <v>62</v>
      </c>
      <c r="M436" s="515" t="s">
        <v>96</v>
      </c>
      <c r="N436" s="514" t="str">
        <f>$N$6</f>
        <v/>
      </c>
      <c r="O436" s="514" t="s">
        <v>104</v>
      </c>
      <c r="P436" s="3242" t="s">
        <v>110</v>
      </c>
      <c r="Q436" s="3242"/>
      <c r="R436" s="3243" t="str">
        <f>$R$6</f>
        <v/>
      </c>
      <c r="S436" s="3243"/>
      <c r="T436" s="514" t="s">
        <v>61</v>
      </c>
      <c r="U436" s="3244" t="str">
        <f>$U$6</f>
        <v/>
      </c>
      <c r="V436" s="3244"/>
      <c r="W436" s="514" t="s">
        <v>62</v>
      </c>
      <c r="X436" s="515" t="s">
        <v>96</v>
      </c>
      <c r="Y436" s="516" t="str">
        <f>$Y$6</f>
        <v/>
      </c>
      <c r="Z436" s="517" t="s">
        <v>104</v>
      </c>
      <c r="AA436" s="507"/>
      <c r="AB436" s="48"/>
      <c r="AF436" s="48"/>
      <c r="AG436" s="48"/>
      <c r="AJ436" s="48"/>
      <c r="AK436" s="48"/>
    </row>
    <row r="437" spans="2:50" ht="13.5" customHeight="1" thickBot="1" x14ac:dyDescent="0.2">
      <c r="B437" s="508"/>
      <c r="C437" s="508"/>
      <c r="D437" s="509"/>
      <c r="E437" s="509"/>
      <c r="F437" s="509"/>
      <c r="G437" s="509"/>
      <c r="H437" s="509"/>
      <c r="I437" s="509"/>
      <c r="J437" s="509"/>
      <c r="K437" s="509"/>
      <c r="L437" s="509"/>
      <c r="M437" s="509"/>
      <c r="N437" s="509"/>
      <c r="O437" s="509"/>
      <c r="P437" s="509"/>
      <c r="Q437" s="509"/>
      <c r="R437" s="509"/>
      <c r="S437" s="509"/>
      <c r="T437" s="509"/>
      <c r="U437" s="509"/>
      <c r="V437" s="509"/>
      <c r="W437" s="509"/>
      <c r="X437" s="510"/>
      <c r="Y437" s="510"/>
      <c r="Z437" s="510"/>
      <c r="AA437" s="511"/>
      <c r="AB437" s="48"/>
      <c r="AF437" s="48"/>
      <c r="AG437" s="48"/>
      <c r="AJ437" s="48"/>
      <c r="AK437" s="48"/>
    </row>
    <row r="438" spans="2:50" ht="15" customHeight="1" x14ac:dyDescent="0.15">
      <c r="B438" s="3200" t="s">
        <v>287</v>
      </c>
      <c r="C438" s="3203" t="s">
        <v>167</v>
      </c>
      <c r="D438" s="1959"/>
      <c r="E438" s="1962" t="s">
        <v>341</v>
      </c>
      <c r="F438" s="2097" t="s">
        <v>166</v>
      </c>
      <c r="G438" s="2098"/>
      <c r="H438" s="3245" t="s">
        <v>165</v>
      </c>
      <c r="I438" s="3246"/>
      <c r="J438" s="3246"/>
      <c r="K438" s="3247"/>
      <c r="L438" s="3245" t="s">
        <v>164</v>
      </c>
      <c r="M438" s="3246"/>
      <c r="N438" s="3246"/>
      <c r="O438" s="3246"/>
      <c r="P438" s="3247"/>
      <c r="Q438" s="3245" t="s">
        <v>163</v>
      </c>
      <c r="R438" s="3246"/>
      <c r="S438" s="3246"/>
      <c r="T438" s="3246"/>
      <c r="U438" s="3247"/>
      <c r="V438" s="3245" t="s">
        <v>249</v>
      </c>
      <c r="W438" s="3246"/>
      <c r="X438" s="3246"/>
      <c r="Y438" s="3246"/>
      <c r="Z438" s="3247"/>
      <c r="AA438" s="3245" t="s">
        <v>250</v>
      </c>
      <c r="AB438" s="3246"/>
      <c r="AC438" s="3246"/>
      <c r="AD438" s="3246"/>
      <c r="AE438" s="3247"/>
      <c r="AF438" s="3245" t="s">
        <v>251</v>
      </c>
      <c r="AG438" s="3246"/>
      <c r="AH438" s="3246"/>
      <c r="AI438" s="3246"/>
      <c r="AJ438" s="3248" t="s">
        <v>438</v>
      </c>
      <c r="AK438" s="3249"/>
      <c r="AL438" s="3249"/>
      <c r="AM438" s="3249"/>
      <c r="AN438" s="3249"/>
      <c r="AO438" s="3250"/>
      <c r="AP438" s="3248" t="s">
        <v>162</v>
      </c>
      <c r="AQ438" s="3249"/>
      <c r="AR438" s="3249"/>
      <c r="AS438" s="3249"/>
      <c r="AT438" s="3250"/>
      <c r="AU438" s="117"/>
      <c r="AW438" s="501"/>
      <c r="AX438" s="501"/>
    </row>
    <row r="439" spans="2:50" ht="26.25" customHeight="1" x14ac:dyDescent="0.15">
      <c r="B439" s="3201"/>
      <c r="C439" s="3204"/>
      <c r="D439" s="1960"/>
      <c r="E439" s="1963"/>
      <c r="F439" s="2099"/>
      <c r="G439" s="1972"/>
      <c r="H439" s="3251" t="str">
        <f>$H$9</f>
        <v/>
      </c>
      <c r="I439" s="3252"/>
      <c r="J439" s="3252"/>
      <c r="K439" s="3253"/>
      <c r="L439" s="3254" t="str">
        <f>$L$9</f>
        <v/>
      </c>
      <c r="M439" s="3255"/>
      <c r="N439" s="3255"/>
      <c r="O439" s="3255"/>
      <c r="P439" s="3256"/>
      <c r="Q439" s="3254" t="str">
        <f>$Q$9</f>
        <v/>
      </c>
      <c r="R439" s="3255"/>
      <c r="S439" s="3255"/>
      <c r="T439" s="3255"/>
      <c r="U439" s="3256"/>
      <c r="V439" s="3254" t="str">
        <f>$V$9</f>
        <v/>
      </c>
      <c r="W439" s="3255"/>
      <c r="X439" s="3255"/>
      <c r="Y439" s="3255"/>
      <c r="Z439" s="3256"/>
      <c r="AA439" s="3254" t="str">
        <f>$AA$9</f>
        <v/>
      </c>
      <c r="AB439" s="3255"/>
      <c r="AC439" s="3255"/>
      <c r="AD439" s="3255"/>
      <c r="AE439" s="3256"/>
      <c r="AF439" s="3254" t="str">
        <f>$AF$9</f>
        <v/>
      </c>
      <c r="AG439" s="3255"/>
      <c r="AH439" s="3255"/>
      <c r="AI439" s="3255"/>
      <c r="AJ439" s="3257" t="s">
        <v>441</v>
      </c>
      <c r="AK439" s="3258"/>
      <c r="AL439" s="3258"/>
      <c r="AM439" s="3258"/>
      <c r="AN439" s="3258"/>
      <c r="AO439" s="3259"/>
      <c r="AP439" s="3263" t="s">
        <v>442</v>
      </c>
      <c r="AQ439" s="3264"/>
      <c r="AR439" s="3264"/>
      <c r="AS439" s="3264"/>
      <c r="AT439" s="3265"/>
      <c r="AU439" s="116"/>
    </row>
    <row r="440" spans="2:50" ht="16.5" customHeight="1" x14ac:dyDescent="0.15">
      <c r="B440" s="3201"/>
      <c r="C440" s="3204"/>
      <c r="D440" s="1960"/>
      <c r="E440" s="1963"/>
      <c r="F440" s="3266" t="s">
        <v>78</v>
      </c>
      <c r="G440" s="3206" t="s">
        <v>79</v>
      </c>
      <c r="H440" s="1974" t="s">
        <v>176</v>
      </c>
      <c r="I440" s="3208"/>
      <c r="J440" s="3210" t="s">
        <v>161</v>
      </c>
      <c r="K440" s="3211"/>
      <c r="L440" s="1974" t="s">
        <v>176</v>
      </c>
      <c r="M440" s="3208"/>
      <c r="N440" s="3210" t="s">
        <v>160</v>
      </c>
      <c r="O440" s="3213"/>
      <c r="P440" s="3211"/>
      <c r="Q440" s="1974" t="s">
        <v>176</v>
      </c>
      <c r="R440" s="3208"/>
      <c r="S440" s="3210" t="s">
        <v>160</v>
      </c>
      <c r="T440" s="3213"/>
      <c r="U440" s="3211"/>
      <c r="V440" s="1974" t="s">
        <v>176</v>
      </c>
      <c r="W440" s="3208"/>
      <c r="X440" s="3210" t="s">
        <v>160</v>
      </c>
      <c r="Y440" s="3213"/>
      <c r="Z440" s="3211"/>
      <c r="AA440" s="1974" t="s">
        <v>176</v>
      </c>
      <c r="AB440" s="3208"/>
      <c r="AC440" s="3210" t="s">
        <v>160</v>
      </c>
      <c r="AD440" s="3213"/>
      <c r="AE440" s="3211"/>
      <c r="AF440" s="1974" t="s">
        <v>176</v>
      </c>
      <c r="AG440" s="3208"/>
      <c r="AH440" s="3210" t="s">
        <v>160</v>
      </c>
      <c r="AI440" s="3213"/>
      <c r="AJ440" s="3257"/>
      <c r="AK440" s="3258"/>
      <c r="AL440" s="3258"/>
      <c r="AM440" s="3258"/>
      <c r="AN440" s="3258"/>
      <c r="AO440" s="3259"/>
      <c r="AP440" s="3257"/>
      <c r="AQ440" s="3258"/>
      <c r="AR440" s="3258"/>
      <c r="AS440" s="3258"/>
      <c r="AT440" s="3259"/>
      <c r="AU440" s="115"/>
    </row>
    <row r="441" spans="2:50" ht="19.5" customHeight="1" thickBot="1" x14ac:dyDescent="0.2">
      <c r="B441" s="3202"/>
      <c r="C441" s="3205"/>
      <c r="D441" s="1961"/>
      <c r="E441" s="1964"/>
      <c r="F441" s="3267"/>
      <c r="G441" s="3207"/>
      <c r="H441" s="1978"/>
      <c r="I441" s="3209"/>
      <c r="J441" s="523" t="s">
        <v>153</v>
      </c>
      <c r="K441" s="522" t="s">
        <v>280</v>
      </c>
      <c r="L441" s="1978"/>
      <c r="M441" s="3212"/>
      <c r="N441" s="523" t="s">
        <v>154</v>
      </c>
      <c r="O441" s="523" t="s">
        <v>153</v>
      </c>
      <c r="P441" s="522" t="s">
        <v>280</v>
      </c>
      <c r="Q441" s="1978"/>
      <c r="R441" s="3209"/>
      <c r="S441" s="523" t="s">
        <v>154</v>
      </c>
      <c r="T441" s="523" t="s">
        <v>153</v>
      </c>
      <c r="U441" s="522" t="s">
        <v>280</v>
      </c>
      <c r="V441" s="1978"/>
      <c r="W441" s="3209"/>
      <c r="X441" s="523" t="s">
        <v>154</v>
      </c>
      <c r="Y441" s="523" t="s">
        <v>153</v>
      </c>
      <c r="Z441" s="522" t="s">
        <v>280</v>
      </c>
      <c r="AA441" s="1978"/>
      <c r="AB441" s="3209"/>
      <c r="AC441" s="523" t="s">
        <v>154</v>
      </c>
      <c r="AD441" s="523" t="s">
        <v>153</v>
      </c>
      <c r="AE441" s="522" t="s">
        <v>280</v>
      </c>
      <c r="AF441" s="1978"/>
      <c r="AG441" s="3209"/>
      <c r="AH441" s="523" t="s">
        <v>154</v>
      </c>
      <c r="AI441" s="523" t="s">
        <v>153</v>
      </c>
      <c r="AJ441" s="3260"/>
      <c r="AK441" s="3261"/>
      <c r="AL441" s="3261"/>
      <c r="AM441" s="3261"/>
      <c r="AN441" s="3261"/>
      <c r="AO441" s="3262"/>
      <c r="AP441" s="3260"/>
      <c r="AQ441" s="3261"/>
      <c r="AR441" s="3261"/>
      <c r="AS441" s="3261"/>
      <c r="AT441" s="3262"/>
      <c r="AU441" s="114"/>
    </row>
    <row r="442" spans="2:50" ht="15" customHeight="1" x14ac:dyDescent="0.15">
      <c r="B442" s="3214" t="s">
        <v>159</v>
      </c>
      <c r="C442" s="3216" t="s">
        <v>158</v>
      </c>
      <c r="D442" s="3217"/>
      <c r="E442" s="3220" t="s">
        <v>157</v>
      </c>
      <c r="F442" s="3222" t="s">
        <v>98</v>
      </c>
      <c r="G442" s="3224"/>
      <c r="H442" s="3190" t="s">
        <v>155</v>
      </c>
      <c r="I442" s="3191"/>
      <c r="J442" s="3194" t="s">
        <v>98</v>
      </c>
      <c r="K442" s="3188" t="s">
        <v>98</v>
      </c>
      <c r="L442" s="3190" t="s">
        <v>155</v>
      </c>
      <c r="M442" s="3226"/>
      <c r="N442" s="3194" t="s">
        <v>98</v>
      </c>
      <c r="O442" s="3194" t="s">
        <v>98</v>
      </c>
      <c r="P442" s="3188" t="s">
        <v>98</v>
      </c>
      <c r="Q442" s="2087" t="s">
        <v>414</v>
      </c>
      <c r="R442" s="3196"/>
      <c r="S442" s="3194" t="s">
        <v>98</v>
      </c>
      <c r="T442" s="3198"/>
      <c r="U442" s="3228"/>
      <c r="V442" s="3190"/>
      <c r="W442" s="3191"/>
      <c r="X442" s="3194"/>
      <c r="Y442" s="3194"/>
      <c r="Z442" s="3188"/>
      <c r="AA442" s="3190"/>
      <c r="AB442" s="3191"/>
      <c r="AC442" s="3194"/>
      <c r="AD442" s="3194"/>
      <c r="AE442" s="3188"/>
      <c r="AF442" s="2087"/>
      <c r="AG442" s="3196"/>
      <c r="AH442" s="3194"/>
      <c r="AI442" s="3198"/>
      <c r="AJ442" s="2032" t="s">
        <v>433</v>
      </c>
      <c r="AK442" s="2033"/>
      <c r="AL442" s="2033"/>
      <c r="AM442" s="2033"/>
      <c r="AN442" s="2033"/>
      <c r="AO442" s="2034"/>
      <c r="AP442" s="2026" t="s">
        <v>342</v>
      </c>
      <c r="AQ442" s="2027"/>
      <c r="AR442" s="2027"/>
      <c r="AS442" s="2027"/>
      <c r="AT442" s="2028"/>
      <c r="AU442" s="113"/>
    </row>
    <row r="443" spans="2:50" ht="15" customHeight="1" x14ac:dyDescent="0.15">
      <c r="B443" s="3215"/>
      <c r="C443" s="3218"/>
      <c r="D443" s="3219"/>
      <c r="E443" s="3221"/>
      <c r="F443" s="3223"/>
      <c r="G443" s="3225"/>
      <c r="H443" s="3192"/>
      <c r="I443" s="3193"/>
      <c r="J443" s="3195"/>
      <c r="K443" s="3189"/>
      <c r="L443" s="3192"/>
      <c r="M443" s="3227"/>
      <c r="N443" s="3195"/>
      <c r="O443" s="3195"/>
      <c r="P443" s="3189"/>
      <c r="Q443" s="2089"/>
      <c r="R443" s="3197"/>
      <c r="S443" s="3195"/>
      <c r="T443" s="3199"/>
      <c r="U443" s="3229"/>
      <c r="V443" s="3192"/>
      <c r="W443" s="3193"/>
      <c r="X443" s="3195"/>
      <c r="Y443" s="3195"/>
      <c r="Z443" s="3189"/>
      <c r="AA443" s="3192"/>
      <c r="AB443" s="3193"/>
      <c r="AC443" s="3195"/>
      <c r="AD443" s="3195"/>
      <c r="AE443" s="3189"/>
      <c r="AF443" s="2089"/>
      <c r="AG443" s="3197"/>
      <c r="AH443" s="3195"/>
      <c r="AI443" s="3199"/>
      <c r="AJ443" s="2035" t="s">
        <v>434</v>
      </c>
      <c r="AK443" s="2036"/>
      <c r="AL443" s="2036"/>
      <c r="AM443" s="2036"/>
      <c r="AN443" s="2036"/>
      <c r="AO443" s="2037"/>
      <c r="AP443" s="2029"/>
      <c r="AQ443" s="2030"/>
      <c r="AR443" s="2030"/>
      <c r="AS443" s="2030"/>
      <c r="AT443" s="2031"/>
      <c r="AU443" s="113"/>
    </row>
    <row r="444" spans="2:50" ht="15" customHeight="1" x14ac:dyDescent="0.15">
      <c r="B444" s="3149">
        <v>151</v>
      </c>
      <c r="C444" s="3151">
        <f>名簿入力!D315</f>
        <v>0</v>
      </c>
      <c r="D444" s="3152"/>
      <c r="E444" s="3155">
        <f>名簿入力!E315</f>
        <v>0</v>
      </c>
      <c r="F444" s="3157">
        <f>名簿入力!G315</f>
        <v>0</v>
      </c>
      <c r="G444" s="3159">
        <f>名簿入力!H315</f>
        <v>0</v>
      </c>
      <c r="H444" s="3161">
        <f>名簿入力!I315</f>
        <v>0</v>
      </c>
      <c r="I444" s="3162"/>
      <c r="J444" s="3165">
        <f>名簿入力!K315</f>
        <v>0</v>
      </c>
      <c r="K444" s="3167">
        <f>名簿入力!L315</f>
        <v>0</v>
      </c>
      <c r="L444" s="3161">
        <f>名簿入力!M315</f>
        <v>0</v>
      </c>
      <c r="M444" s="3169"/>
      <c r="N444" s="3165">
        <f>名簿入力!O315</f>
        <v>0</v>
      </c>
      <c r="O444" s="3165">
        <f>名簿入力!P315</f>
        <v>0</v>
      </c>
      <c r="P444" s="3167">
        <f>名簿入力!Q315</f>
        <v>0</v>
      </c>
      <c r="Q444" s="3161">
        <f>名簿入力!R315</f>
        <v>0</v>
      </c>
      <c r="R444" s="3162"/>
      <c r="S444" s="3165">
        <f>名簿入力!T315</f>
        <v>0</v>
      </c>
      <c r="T444" s="3165">
        <f>名簿入力!U315</f>
        <v>0</v>
      </c>
      <c r="U444" s="3167">
        <f>名簿入力!V315</f>
        <v>0</v>
      </c>
      <c r="V444" s="3161">
        <f>名簿入力!W315</f>
        <v>0</v>
      </c>
      <c r="W444" s="3162"/>
      <c r="X444" s="3165">
        <f>名簿入力!Y315</f>
        <v>0</v>
      </c>
      <c r="Y444" s="3165">
        <f>名簿入力!Z315</f>
        <v>0</v>
      </c>
      <c r="Z444" s="3167">
        <f>名簿入力!AA315</f>
        <v>0</v>
      </c>
      <c r="AA444" s="3161">
        <f>名簿入力!AB315</f>
        <v>0</v>
      </c>
      <c r="AB444" s="3162"/>
      <c r="AC444" s="3165">
        <f>名簿入力!AD315</f>
        <v>0</v>
      </c>
      <c r="AD444" s="3165">
        <f>名簿入力!AE315</f>
        <v>0</v>
      </c>
      <c r="AE444" s="3167">
        <f>名簿入力!AF315</f>
        <v>0</v>
      </c>
      <c r="AF444" s="3161">
        <f>名簿入力!AG315</f>
        <v>0</v>
      </c>
      <c r="AG444" s="3162"/>
      <c r="AH444" s="3165">
        <f>名簿入力!AI315</f>
        <v>0</v>
      </c>
      <c r="AI444" s="3165">
        <f>名簿入力!AJ315</f>
        <v>0</v>
      </c>
      <c r="AJ444" s="3175">
        <f>名簿入力!AK315</f>
        <v>0</v>
      </c>
      <c r="AK444" s="3176"/>
      <c r="AL444" s="3176"/>
      <c r="AM444" s="3176"/>
      <c r="AN444" s="3176"/>
      <c r="AO444" s="3177"/>
      <c r="AP444" s="3137">
        <f>名簿入力!AO315</f>
        <v>0</v>
      </c>
      <c r="AQ444" s="3138"/>
      <c r="AR444" s="3138"/>
      <c r="AS444" s="3138"/>
      <c r="AT444" s="3139"/>
      <c r="AU444" s="113"/>
    </row>
    <row r="445" spans="2:50" ht="15" customHeight="1" x14ac:dyDescent="0.15">
      <c r="B445" s="3181"/>
      <c r="C445" s="3182"/>
      <c r="D445" s="3183"/>
      <c r="E445" s="3184"/>
      <c r="F445" s="3185"/>
      <c r="G445" s="3186"/>
      <c r="H445" s="3173"/>
      <c r="I445" s="3174"/>
      <c r="J445" s="3171"/>
      <c r="K445" s="3172"/>
      <c r="L445" s="3173"/>
      <c r="M445" s="3187"/>
      <c r="N445" s="3171"/>
      <c r="O445" s="3171"/>
      <c r="P445" s="3172"/>
      <c r="Q445" s="3173"/>
      <c r="R445" s="3174"/>
      <c r="S445" s="3171"/>
      <c r="T445" s="3171"/>
      <c r="U445" s="3172"/>
      <c r="V445" s="3173"/>
      <c r="W445" s="3174"/>
      <c r="X445" s="3171"/>
      <c r="Y445" s="3171"/>
      <c r="Z445" s="3172"/>
      <c r="AA445" s="3173"/>
      <c r="AB445" s="3174"/>
      <c r="AC445" s="3171"/>
      <c r="AD445" s="3171"/>
      <c r="AE445" s="3172"/>
      <c r="AF445" s="3173"/>
      <c r="AG445" s="3174"/>
      <c r="AH445" s="3171"/>
      <c r="AI445" s="3171"/>
      <c r="AJ445" s="3146">
        <f>名簿入力!AK316</f>
        <v>0</v>
      </c>
      <c r="AK445" s="3147"/>
      <c r="AL445" s="3147"/>
      <c r="AM445" s="3147"/>
      <c r="AN445" s="3147"/>
      <c r="AO445" s="3148"/>
      <c r="AP445" s="3178"/>
      <c r="AQ445" s="3179"/>
      <c r="AR445" s="3179"/>
      <c r="AS445" s="3179"/>
      <c r="AT445" s="3180"/>
      <c r="AU445" s="113"/>
    </row>
    <row r="446" spans="2:50" ht="15" customHeight="1" x14ac:dyDescent="0.15">
      <c r="B446" s="3149">
        <v>152</v>
      </c>
      <c r="C446" s="3151">
        <f>名簿入力!D317</f>
        <v>0</v>
      </c>
      <c r="D446" s="3152"/>
      <c r="E446" s="3155">
        <f>名簿入力!E317</f>
        <v>0</v>
      </c>
      <c r="F446" s="3157">
        <f>名簿入力!G317</f>
        <v>0</v>
      </c>
      <c r="G446" s="3159">
        <f>名簿入力!H317</f>
        <v>0</v>
      </c>
      <c r="H446" s="3161">
        <f>名簿入力!I317</f>
        <v>0</v>
      </c>
      <c r="I446" s="3162"/>
      <c r="J446" s="3165">
        <f>名簿入力!K317</f>
        <v>0</v>
      </c>
      <c r="K446" s="3167">
        <f>名簿入力!L317</f>
        <v>0</v>
      </c>
      <c r="L446" s="3161">
        <f>名簿入力!M317</f>
        <v>0</v>
      </c>
      <c r="M446" s="3169"/>
      <c r="N446" s="3165">
        <f>名簿入力!O317</f>
        <v>0</v>
      </c>
      <c r="O446" s="3165">
        <f>名簿入力!P317</f>
        <v>0</v>
      </c>
      <c r="P446" s="3167">
        <f>名簿入力!Q317</f>
        <v>0</v>
      </c>
      <c r="Q446" s="3161">
        <f>名簿入力!R317</f>
        <v>0</v>
      </c>
      <c r="R446" s="3162"/>
      <c r="S446" s="3165">
        <f>名簿入力!T317</f>
        <v>0</v>
      </c>
      <c r="T446" s="3165">
        <f>名簿入力!U317</f>
        <v>0</v>
      </c>
      <c r="U446" s="3167">
        <f>名簿入力!V317</f>
        <v>0</v>
      </c>
      <c r="V446" s="3161">
        <f>名簿入力!W317</f>
        <v>0</v>
      </c>
      <c r="W446" s="3162"/>
      <c r="X446" s="3165">
        <f>名簿入力!Y317</f>
        <v>0</v>
      </c>
      <c r="Y446" s="3165">
        <f>名簿入力!Z317</f>
        <v>0</v>
      </c>
      <c r="Z446" s="3167">
        <f>名簿入力!AA317</f>
        <v>0</v>
      </c>
      <c r="AA446" s="3161">
        <f>名簿入力!AB317</f>
        <v>0</v>
      </c>
      <c r="AB446" s="3162"/>
      <c r="AC446" s="3165">
        <f>名簿入力!AD317</f>
        <v>0</v>
      </c>
      <c r="AD446" s="3165">
        <f>名簿入力!AE317</f>
        <v>0</v>
      </c>
      <c r="AE446" s="3167">
        <f>名簿入力!AF317</f>
        <v>0</v>
      </c>
      <c r="AF446" s="3161">
        <f>名簿入力!AG317</f>
        <v>0</v>
      </c>
      <c r="AG446" s="3162"/>
      <c r="AH446" s="3165">
        <f>名簿入力!AI317</f>
        <v>0</v>
      </c>
      <c r="AI446" s="3165">
        <f>名簿入力!AJ317</f>
        <v>0</v>
      </c>
      <c r="AJ446" s="3175">
        <f>名簿入力!AK317</f>
        <v>0</v>
      </c>
      <c r="AK446" s="3176"/>
      <c r="AL446" s="3176"/>
      <c r="AM446" s="3176"/>
      <c r="AN446" s="3176"/>
      <c r="AO446" s="3177"/>
      <c r="AP446" s="3137">
        <f>名簿入力!AO317</f>
        <v>0</v>
      </c>
      <c r="AQ446" s="3138"/>
      <c r="AR446" s="3138"/>
      <c r="AS446" s="3138"/>
      <c r="AT446" s="3139"/>
      <c r="AU446" s="113"/>
    </row>
    <row r="447" spans="2:50" ht="15" customHeight="1" x14ac:dyDescent="0.15">
      <c r="B447" s="3181"/>
      <c r="C447" s="3182"/>
      <c r="D447" s="3183"/>
      <c r="E447" s="3184"/>
      <c r="F447" s="3185"/>
      <c r="G447" s="3186"/>
      <c r="H447" s="3173"/>
      <c r="I447" s="3174"/>
      <c r="J447" s="3171"/>
      <c r="K447" s="3172"/>
      <c r="L447" s="3173"/>
      <c r="M447" s="3187"/>
      <c r="N447" s="3171"/>
      <c r="O447" s="3171"/>
      <c r="P447" s="3172"/>
      <c r="Q447" s="3173"/>
      <c r="R447" s="3174"/>
      <c r="S447" s="3171"/>
      <c r="T447" s="3171"/>
      <c r="U447" s="3172"/>
      <c r="V447" s="3173"/>
      <c r="W447" s="3174"/>
      <c r="X447" s="3171"/>
      <c r="Y447" s="3171"/>
      <c r="Z447" s="3172"/>
      <c r="AA447" s="3173"/>
      <c r="AB447" s="3174"/>
      <c r="AC447" s="3171"/>
      <c r="AD447" s="3171"/>
      <c r="AE447" s="3172"/>
      <c r="AF447" s="3173"/>
      <c r="AG447" s="3174"/>
      <c r="AH447" s="3171"/>
      <c r="AI447" s="3171"/>
      <c r="AJ447" s="3146">
        <f>名簿入力!AK318</f>
        <v>0</v>
      </c>
      <c r="AK447" s="3147"/>
      <c r="AL447" s="3147"/>
      <c r="AM447" s="3147"/>
      <c r="AN447" s="3147"/>
      <c r="AO447" s="3148"/>
      <c r="AP447" s="3178"/>
      <c r="AQ447" s="3179"/>
      <c r="AR447" s="3179"/>
      <c r="AS447" s="3179"/>
      <c r="AT447" s="3180"/>
      <c r="AU447" s="113"/>
    </row>
    <row r="448" spans="2:50" ht="15" customHeight="1" x14ac:dyDescent="0.15">
      <c r="B448" s="3149">
        <v>153</v>
      </c>
      <c r="C448" s="3151">
        <f>名簿入力!D319</f>
        <v>0</v>
      </c>
      <c r="D448" s="3152"/>
      <c r="E448" s="3155">
        <f>名簿入力!E319</f>
        <v>0</v>
      </c>
      <c r="F448" s="3157">
        <f>名簿入力!G319</f>
        <v>0</v>
      </c>
      <c r="G448" s="3159">
        <f>名簿入力!H319</f>
        <v>0</v>
      </c>
      <c r="H448" s="3161">
        <f>名簿入力!I319</f>
        <v>0</v>
      </c>
      <c r="I448" s="3162"/>
      <c r="J448" s="3165">
        <f>名簿入力!K319</f>
        <v>0</v>
      </c>
      <c r="K448" s="3167">
        <f>名簿入力!L319</f>
        <v>0</v>
      </c>
      <c r="L448" s="3161">
        <f>名簿入力!M319</f>
        <v>0</v>
      </c>
      <c r="M448" s="3169"/>
      <c r="N448" s="3165">
        <f>名簿入力!O319</f>
        <v>0</v>
      </c>
      <c r="O448" s="3165">
        <f>名簿入力!P319</f>
        <v>0</v>
      </c>
      <c r="P448" s="3167">
        <f>名簿入力!Q319</f>
        <v>0</v>
      </c>
      <c r="Q448" s="3161">
        <f>名簿入力!R319</f>
        <v>0</v>
      </c>
      <c r="R448" s="3162"/>
      <c r="S448" s="3165">
        <f>名簿入力!T319</f>
        <v>0</v>
      </c>
      <c r="T448" s="3165">
        <f>名簿入力!U319</f>
        <v>0</v>
      </c>
      <c r="U448" s="3167">
        <f>名簿入力!V319</f>
        <v>0</v>
      </c>
      <c r="V448" s="3161">
        <f>名簿入力!W319</f>
        <v>0</v>
      </c>
      <c r="W448" s="3162"/>
      <c r="X448" s="3165">
        <f>名簿入力!Y319</f>
        <v>0</v>
      </c>
      <c r="Y448" s="3165">
        <f>名簿入力!Z319</f>
        <v>0</v>
      </c>
      <c r="Z448" s="3167">
        <f>名簿入力!AA319</f>
        <v>0</v>
      </c>
      <c r="AA448" s="3161">
        <f>名簿入力!AB319</f>
        <v>0</v>
      </c>
      <c r="AB448" s="3162"/>
      <c r="AC448" s="3165">
        <f>名簿入力!AD319</f>
        <v>0</v>
      </c>
      <c r="AD448" s="3165">
        <f>名簿入力!AE319</f>
        <v>0</v>
      </c>
      <c r="AE448" s="3167">
        <f>名簿入力!AF319</f>
        <v>0</v>
      </c>
      <c r="AF448" s="3161">
        <f>名簿入力!AG319</f>
        <v>0</v>
      </c>
      <c r="AG448" s="3162"/>
      <c r="AH448" s="3165">
        <f>名簿入力!AI319</f>
        <v>0</v>
      </c>
      <c r="AI448" s="3165">
        <f>名簿入力!AJ319</f>
        <v>0</v>
      </c>
      <c r="AJ448" s="3175">
        <f>名簿入力!AK319</f>
        <v>0</v>
      </c>
      <c r="AK448" s="3176"/>
      <c r="AL448" s="3176"/>
      <c r="AM448" s="3176"/>
      <c r="AN448" s="3176"/>
      <c r="AO448" s="3177"/>
      <c r="AP448" s="3137">
        <f>名簿入力!AO319</f>
        <v>0</v>
      </c>
      <c r="AQ448" s="3138"/>
      <c r="AR448" s="3138"/>
      <c r="AS448" s="3138"/>
      <c r="AT448" s="3139"/>
      <c r="AU448" s="113"/>
    </row>
    <row r="449" spans="2:47" ht="15" customHeight="1" x14ac:dyDescent="0.15">
      <c r="B449" s="3181"/>
      <c r="C449" s="3182"/>
      <c r="D449" s="3183"/>
      <c r="E449" s="3184"/>
      <c r="F449" s="3185"/>
      <c r="G449" s="3186"/>
      <c r="H449" s="3173"/>
      <c r="I449" s="3174"/>
      <c r="J449" s="3171"/>
      <c r="K449" s="3172"/>
      <c r="L449" s="3173"/>
      <c r="M449" s="3187"/>
      <c r="N449" s="3171"/>
      <c r="O449" s="3171"/>
      <c r="P449" s="3172"/>
      <c r="Q449" s="3173"/>
      <c r="R449" s="3174"/>
      <c r="S449" s="3171"/>
      <c r="T449" s="3171"/>
      <c r="U449" s="3172"/>
      <c r="V449" s="3173"/>
      <c r="W449" s="3174"/>
      <c r="X449" s="3171"/>
      <c r="Y449" s="3171"/>
      <c r="Z449" s="3172"/>
      <c r="AA449" s="3173"/>
      <c r="AB449" s="3174"/>
      <c r="AC449" s="3171"/>
      <c r="AD449" s="3171"/>
      <c r="AE449" s="3172"/>
      <c r="AF449" s="3173"/>
      <c r="AG449" s="3174"/>
      <c r="AH449" s="3171"/>
      <c r="AI449" s="3171"/>
      <c r="AJ449" s="3146">
        <f>名簿入力!AK320</f>
        <v>0</v>
      </c>
      <c r="AK449" s="3147"/>
      <c r="AL449" s="3147"/>
      <c r="AM449" s="3147"/>
      <c r="AN449" s="3147"/>
      <c r="AO449" s="3148"/>
      <c r="AP449" s="3178"/>
      <c r="AQ449" s="3179"/>
      <c r="AR449" s="3179"/>
      <c r="AS449" s="3179"/>
      <c r="AT449" s="3180"/>
      <c r="AU449" s="113"/>
    </row>
    <row r="450" spans="2:47" ht="15" customHeight="1" x14ac:dyDescent="0.15">
      <c r="B450" s="3149">
        <v>154</v>
      </c>
      <c r="C450" s="3151">
        <f>名簿入力!D321</f>
        <v>0</v>
      </c>
      <c r="D450" s="3152"/>
      <c r="E450" s="3155">
        <f>名簿入力!E321</f>
        <v>0</v>
      </c>
      <c r="F450" s="3157">
        <f>名簿入力!G321</f>
        <v>0</v>
      </c>
      <c r="G450" s="3159">
        <f>名簿入力!H321</f>
        <v>0</v>
      </c>
      <c r="H450" s="3161">
        <f>名簿入力!I321</f>
        <v>0</v>
      </c>
      <c r="I450" s="3162"/>
      <c r="J450" s="3165">
        <f>名簿入力!K321</f>
        <v>0</v>
      </c>
      <c r="K450" s="3167">
        <f>名簿入力!L321</f>
        <v>0</v>
      </c>
      <c r="L450" s="3161">
        <f>名簿入力!M321</f>
        <v>0</v>
      </c>
      <c r="M450" s="3169"/>
      <c r="N450" s="3165">
        <f>名簿入力!O321</f>
        <v>0</v>
      </c>
      <c r="O450" s="3165">
        <f>名簿入力!P321</f>
        <v>0</v>
      </c>
      <c r="P450" s="3167">
        <f>名簿入力!Q321</f>
        <v>0</v>
      </c>
      <c r="Q450" s="3161">
        <f>名簿入力!R321</f>
        <v>0</v>
      </c>
      <c r="R450" s="3162"/>
      <c r="S450" s="3165">
        <f>名簿入力!T321</f>
        <v>0</v>
      </c>
      <c r="T450" s="3165">
        <f>名簿入力!U321</f>
        <v>0</v>
      </c>
      <c r="U450" s="3167">
        <f>名簿入力!V321</f>
        <v>0</v>
      </c>
      <c r="V450" s="3161">
        <f>名簿入力!W321</f>
        <v>0</v>
      </c>
      <c r="W450" s="3162"/>
      <c r="X450" s="3165">
        <f>名簿入力!Y321</f>
        <v>0</v>
      </c>
      <c r="Y450" s="3165">
        <f>名簿入力!Z321</f>
        <v>0</v>
      </c>
      <c r="Z450" s="3167">
        <f>名簿入力!AA321</f>
        <v>0</v>
      </c>
      <c r="AA450" s="3161">
        <f>名簿入力!AB321</f>
        <v>0</v>
      </c>
      <c r="AB450" s="3162"/>
      <c r="AC450" s="3165">
        <f>名簿入力!AD321</f>
        <v>0</v>
      </c>
      <c r="AD450" s="3165">
        <f>名簿入力!AE321</f>
        <v>0</v>
      </c>
      <c r="AE450" s="3167">
        <f>名簿入力!AF321</f>
        <v>0</v>
      </c>
      <c r="AF450" s="3161">
        <f>名簿入力!AG321</f>
        <v>0</v>
      </c>
      <c r="AG450" s="3162"/>
      <c r="AH450" s="3165">
        <f>名簿入力!AI321</f>
        <v>0</v>
      </c>
      <c r="AI450" s="3165">
        <f>名簿入力!AJ321</f>
        <v>0</v>
      </c>
      <c r="AJ450" s="3175">
        <f>名簿入力!AK321</f>
        <v>0</v>
      </c>
      <c r="AK450" s="3176"/>
      <c r="AL450" s="3176"/>
      <c r="AM450" s="3176"/>
      <c r="AN450" s="3176"/>
      <c r="AO450" s="3177"/>
      <c r="AP450" s="3137">
        <f>名簿入力!AO321</f>
        <v>0</v>
      </c>
      <c r="AQ450" s="3138"/>
      <c r="AR450" s="3138"/>
      <c r="AS450" s="3138"/>
      <c r="AT450" s="3139"/>
      <c r="AU450" s="113"/>
    </row>
    <row r="451" spans="2:47" ht="15" customHeight="1" x14ac:dyDescent="0.15">
      <c r="B451" s="3181"/>
      <c r="C451" s="3182"/>
      <c r="D451" s="3183"/>
      <c r="E451" s="3184"/>
      <c r="F451" s="3185"/>
      <c r="G451" s="3186"/>
      <c r="H451" s="3173"/>
      <c r="I451" s="3174"/>
      <c r="J451" s="3171"/>
      <c r="K451" s="3172"/>
      <c r="L451" s="3173"/>
      <c r="M451" s="3187"/>
      <c r="N451" s="3171"/>
      <c r="O451" s="3171"/>
      <c r="P451" s="3172"/>
      <c r="Q451" s="3173"/>
      <c r="R451" s="3174"/>
      <c r="S451" s="3171"/>
      <c r="T451" s="3171"/>
      <c r="U451" s="3172"/>
      <c r="V451" s="3173"/>
      <c r="W451" s="3174"/>
      <c r="X451" s="3171"/>
      <c r="Y451" s="3171"/>
      <c r="Z451" s="3172"/>
      <c r="AA451" s="3173"/>
      <c r="AB451" s="3174"/>
      <c r="AC451" s="3171"/>
      <c r="AD451" s="3171"/>
      <c r="AE451" s="3172"/>
      <c r="AF451" s="3173"/>
      <c r="AG451" s="3174"/>
      <c r="AH451" s="3171"/>
      <c r="AI451" s="3171"/>
      <c r="AJ451" s="3146">
        <f>名簿入力!AK322</f>
        <v>0</v>
      </c>
      <c r="AK451" s="3147"/>
      <c r="AL451" s="3147"/>
      <c r="AM451" s="3147"/>
      <c r="AN451" s="3147"/>
      <c r="AO451" s="3148"/>
      <c r="AP451" s="3178"/>
      <c r="AQ451" s="3179"/>
      <c r="AR451" s="3179"/>
      <c r="AS451" s="3179"/>
      <c r="AT451" s="3180"/>
      <c r="AU451" s="113"/>
    </row>
    <row r="452" spans="2:47" ht="15" customHeight="1" x14ac:dyDescent="0.15">
      <c r="B452" s="3149">
        <v>155</v>
      </c>
      <c r="C452" s="3151">
        <f>名簿入力!D323</f>
        <v>0</v>
      </c>
      <c r="D452" s="3152"/>
      <c r="E452" s="3155">
        <f>名簿入力!E323</f>
        <v>0</v>
      </c>
      <c r="F452" s="3157">
        <f>名簿入力!G323</f>
        <v>0</v>
      </c>
      <c r="G452" s="3159">
        <f>名簿入力!H323</f>
        <v>0</v>
      </c>
      <c r="H452" s="3161">
        <f>名簿入力!I323</f>
        <v>0</v>
      </c>
      <c r="I452" s="3162"/>
      <c r="J452" s="3165">
        <f>名簿入力!K323</f>
        <v>0</v>
      </c>
      <c r="K452" s="3167">
        <f>名簿入力!L323</f>
        <v>0</v>
      </c>
      <c r="L452" s="3161">
        <f>名簿入力!M323</f>
        <v>0</v>
      </c>
      <c r="M452" s="3169"/>
      <c r="N452" s="3165">
        <f>名簿入力!O323</f>
        <v>0</v>
      </c>
      <c r="O452" s="3165">
        <f>名簿入力!P323</f>
        <v>0</v>
      </c>
      <c r="P452" s="3167">
        <f>名簿入力!Q323</f>
        <v>0</v>
      </c>
      <c r="Q452" s="3161">
        <f>名簿入力!R323</f>
        <v>0</v>
      </c>
      <c r="R452" s="3162"/>
      <c r="S452" s="3165">
        <f>名簿入力!T323</f>
        <v>0</v>
      </c>
      <c r="T452" s="3165">
        <f>名簿入力!U323</f>
        <v>0</v>
      </c>
      <c r="U452" s="3167">
        <f>名簿入力!V323</f>
        <v>0</v>
      </c>
      <c r="V452" s="3161">
        <f>名簿入力!W323</f>
        <v>0</v>
      </c>
      <c r="W452" s="3162"/>
      <c r="X452" s="3165">
        <f>名簿入力!Y323</f>
        <v>0</v>
      </c>
      <c r="Y452" s="3165">
        <f>名簿入力!Z323</f>
        <v>0</v>
      </c>
      <c r="Z452" s="3167">
        <f>名簿入力!AA323</f>
        <v>0</v>
      </c>
      <c r="AA452" s="3161">
        <f>名簿入力!AB323</f>
        <v>0</v>
      </c>
      <c r="AB452" s="3162"/>
      <c r="AC452" s="3165">
        <f>名簿入力!AD323</f>
        <v>0</v>
      </c>
      <c r="AD452" s="3165">
        <f>名簿入力!AE323</f>
        <v>0</v>
      </c>
      <c r="AE452" s="3167">
        <f>名簿入力!AF323</f>
        <v>0</v>
      </c>
      <c r="AF452" s="3161">
        <f>名簿入力!AG323</f>
        <v>0</v>
      </c>
      <c r="AG452" s="3162"/>
      <c r="AH452" s="3165">
        <f>名簿入力!AI323</f>
        <v>0</v>
      </c>
      <c r="AI452" s="3165">
        <f>名簿入力!AJ323</f>
        <v>0</v>
      </c>
      <c r="AJ452" s="3175">
        <f>名簿入力!AK323</f>
        <v>0</v>
      </c>
      <c r="AK452" s="3176"/>
      <c r="AL452" s="3176"/>
      <c r="AM452" s="3176"/>
      <c r="AN452" s="3176"/>
      <c r="AO452" s="3177"/>
      <c r="AP452" s="3137">
        <f>名簿入力!AO323</f>
        <v>0</v>
      </c>
      <c r="AQ452" s="3138"/>
      <c r="AR452" s="3138"/>
      <c r="AS452" s="3138"/>
      <c r="AT452" s="3139"/>
      <c r="AU452" s="113"/>
    </row>
    <row r="453" spans="2:47" ht="15" customHeight="1" x14ac:dyDescent="0.15">
      <c r="B453" s="3181"/>
      <c r="C453" s="3182"/>
      <c r="D453" s="3183"/>
      <c r="E453" s="3184"/>
      <c r="F453" s="3185"/>
      <c r="G453" s="3186"/>
      <c r="H453" s="3173"/>
      <c r="I453" s="3174"/>
      <c r="J453" s="3171"/>
      <c r="K453" s="3172"/>
      <c r="L453" s="3173"/>
      <c r="M453" s="3187"/>
      <c r="N453" s="3171"/>
      <c r="O453" s="3171"/>
      <c r="P453" s="3172"/>
      <c r="Q453" s="3173"/>
      <c r="R453" s="3174"/>
      <c r="S453" s="3171"/>
      <c r="T453" s="3171"/>
      <c r="U453" s="3172"/>
      <c r="V453" s="3173"/>
      <c r="W453" s="3174"/>
      <c r="X453" s="3171"/>
      <c r="Y453" s="3171"/>
      <c r="Z453" s="3172"/>
      <c r="AA453" s="3173"/>
      <c r="AB453" s="3174"/>
      <c r="AC453" s="3171"/>
      <c r="AD453" s="3171"/>
      <c r="AE453" s="3172"/>
      <c r="AF453" s="3173"/>
      <c r="AG453" s="3174"/>
      <c r="AH453" s="3171"/>
      <c r="AI453" s="3171"/>
      <c r="AJ453" s="3146">
        <f>名簿入力!AK324</f>
        <v>0</v>
      </c>
      <c r="AK453" s="3147"/>
      <c r="AL453" s="3147"/>
      <c r="AM453" s="3147"/>
      <c r="AN453" s="3147"/>
      <c r="AO453" s="3148"/>
      <c r="AP453" s="3178"/>
      <c r="AQ453" s="3179"/>
      <c r="AR453" s="3179"/>
      <c r="AS453" s="3179"/>
      <c r="AT453" s="3180"/>
      <c r="AU453" s="113"/>
    </row>
    <row r="454" spans="2:47" ht="15" customHeight="1" x14ac:dyDescent="0.15">
      <c r="B454" s="3149">
        <v>156</v>
      </c>
      <c r="C454" s="3151">
        <f>名簿入力!D325</f>
        <v>0</v>
      </c>
      <c r="D454" s="3152"/>
      <c r="E454" s="3155">
        <f>名簿入力!E325</f>
        <v>0</v>
      </c>
      <c r="F454" s="3157">
        <f>名簿入力!G325</f>
        <v>0</v>
      </c>
      <c r="G454" s="3159">
        <f>名簿入力!H325</f>
        <v>0</v>
      </c>
      <c r="H454" s="3161">
        <f>名簿入力!I325</f>
        <v>0</v>
      </c>
      <c r="I454" s="3162"/>
      <c r="J454" s="3165">
        <f>名簿入力!K325</f>
        <v>0</v>
      </c>
      <c r="K454" s="3167">
        <f>名簿入力!L325</f>
        <v>0</v>
      </c>
      <c r="L454" s="3161">
        <f>名簿入力!M325</f>
        <v>0</v>
      </c>
      <c r="M454" s="3169"/>
      <c r="N454" s="3165">
        <f>名簿入力!O325</f>
        <v>0</v>
      </c>
      <c r="O454" s="3165">
        <f>名簿入力!P325</f>
        <v>0</v>
      </c>
      <c r="P454" s="3167">
        <f>名簿入力!Q325</f>
        <v>0</v>
      </c>
      <c r="Q454" s="3161">
        <f>名簿入力!R325</f>
        <v>0</v>
      </c>
      <c r="R454" s="3162"/>
      <c r="S454" s="3165">
        <f>名簿入力!T325</f>
        <v>0</v>
      </c>
      <c r="T454" s="3165">
        <f>名簿入力!U325</f>
        <v>0</v>
      </c>
      <c r="U454" s="3167">
        <f>名簿入力!V325</f>
        <v>0</v>
      </c>
      <c r="V454" s="3161">
        <f>名簿入力!W325</f>
        <v>0</v>
      </c>
      <c r="W454" s="3162"/>
      <c r="X454" s="3165">
        <f>名簿入力!Y325</f>
        <v>0</v>
      </c>
      <c r="Y454" s="3165">
        <f>名簿入力!Z325</f>
        <v>0</v>
      </c>
      <c r="Z454" s="3167">
        <f>名簿入力!AA325</f>
        <v>0</v>
      </c>
      <c r="AA454" s="3161">
        <f>名簿入力!AB325</f>
        <v>0</v>
      </c>
      <c r="AB454" s="3162"/>
      <c r="AC454" s="3165">
        <f>名簿入力!AD325</f>
        <v>0</v>
      </c>
      <c r="AD454" s="3165">
        <f>名簿入力!AE325</f>
        <v>0</v>
      </c>
      <c r="AE454" s="3167">
        <f>名簿入力!AF325</f>
        <v>0</v>
      </c>
      <c r="AF454" s="3161">
        <f>名簿入力!AG325</f>
        <v>0</v>
      </c>
      <c r="AG454" s="3162"/>
      <c r="AH454" s="3165">
        <f>名簿入力!AI325</f>
        <v>0</v>
      </c>
      <c r="AI454" s="3165">
        <f>名簿入力!AJ325</f>
        <v>0</v>
      </c>
      <c r="AJ454" s="3175">
        <f>名簿入力!AK325</f>
        <v>0</v>
      </c>
      <c r="AK454" s="3176"/>
      <c r="AL454" s="3176"/>
      <c r="AM454" s="3176"/>
      <c r="AN454" s="3176"/>
      <c r="AO454" s="3177"/>
      <c r="AP454" s="3137">
        <f>名簿入力!AO325</f>
        <v>0</v>
      </c>
      <c r="AQ454" s="3138"/>
      <c r="AR454" s="3138"/>
      <c r="AS454" s="3138"/>
      <c r="AT454" s="3139"/>
      <c r="AU454" s="113"/>
    </row>
    <row r="455" spans="2:47" ht="15" customHeight="1" x14ac:dyDescent="0.15">
      <c r="B455" s="3181"/>
      <c r="C455" s="3182"/>
      <c r="D455" s="3183"/>
      <c r="E455" s="3184"/>
      <c r="F455" s="3185"/>
      <c r="G455" s="3186"/>
      <c r="H455" s="3173"/>
      <c r="I455" s="3174"/>
      <c r="J455" s="3171"/>
      <c r="K455" s="3172"/>
      <c r="L455" s="3173"/>
      <c r="M455" s="3187"/>
      <c r="N455" s="3171"/>
      <c r="O455" s="3171"/>
      <c r="P455" s="3172"/>
      <c r="Q455" s="3173"/>
      <c r="R455" s="3174"/>
      <c r="S455" s="3171"/>
      <c r="T455" s="3171"/>
      <c r="U455" s="3172"/>
      <c r="V455" s="3173"/>
      <c r="W455" s="3174"/>
      <c r="X455" s="3171"/>
      <c r="Y455" s="3171"/>
      <c r="Z455" s="3172"/>
      <c r="AA455" s="3173"/>
      <c r="AB455" s="3174"/>
      <c r="AC455" s="3171"/>
      <c r="AD455" s="3171"/>
      <c r="AE455" s="3172"/>
      <c r="AF455" s="3173"/>
      <c r="AG455" s="3174"/>
      <c r="AH455" s="3171"/>
      <c r="AI455" s="3171"/>
      <c r="AJ455" s="3146">
        <f>名簿入力!AK326</f>
        <v>0</v>
      </c>
      <c r="AK455" s="3147"/>
      <c r="AL455" s="3147"/>
      <c r="AM455" s="3147"/>
      <c r="AN455" s="3147"/>
      <c r="AO455" s="3148"/>
      <c r="AP455" s="3178"/>
      <c r="AQ455" s="3179"/>
      <c r="AR455" s="3179"/>
      <c r="AS455" s="3179"/>
      <c r="AT455" s="3180"/>
      <c r="AU455" s="113"/>
    </row>
    <row r="456" spans="2:47" ht="15" customHeight="1" x14ac:dyDescent="0.15">
      <c r="B456" s="3149">
        <v>157</v>
      </c>
      <c r="C456" s="3151">
        <f>名簿入力!D327</f>
        <v>0</v>
      </c>
      <c r="D456" s="3152"/>
      <c r="E456" s="3155">
        <f>名簿入力!E327</f>
        <v>0</v>
      </c>
      <c r="F456" s="3157">
        <f>名簿入力!G327</f>
        <v>0</v>
      </c>
      <c r="G456" s="3159">
        <f>名簿入力!H327</f>
        <v>0</v>
      </c>
      <c r="H456" s="3161">
        <f>名簿入力!I327</f>
        <v>0</v>
      </c>
      <c r="I456" s="3162"/>
      <c r="J456" s="3165">
        <f>名簿入力!K327</f>
        <v>0</v>
      </c>
      <c r="K456" s="3167">
        <f>名簿入力!L327</f>
        <v>0</v>
      </c>
      <c r="L456" s="3161">
        <f>名簿入力!M327</f>
        <v>0</v>
      </c>
      <c r="M456" s="3169"/>
      <c r="N456" s="3165">
        <f>名簿入力!O327</f>
        <v>0</v>
      </c>
      <c r="O456" s="3165">
        <f>名簿入力!P327</f>
        <v>0</v>
      </c>
      <c r="P456" s="3167">
        <f>名簿入力!Q327</f>
        <v>0</v>
      </c>
      <c r="Q456" s="3161">
        <f>名簿入力!R327</f>
        <v>0</v>
      </c>
      <c r="R456" s="3162"/>
      <c r="S456" s="3165">
        <f>名簿入力!T327</f>
        <v>0</v>
      </c>
      <c r="T456" s="3165">
        <f>名簿入力!U327</f>
        <v>0</v>
      </c>
      <c r="U456" s="3167">
        <f>名簿入力!V327</f>
        <v>0</v>
      </c>
      <c r="V456" s="3161">
        <f>名簿入力!W327</f>
        <v>0</v>
      </c>
      <c r="W456" s="3162"/>
      <c r="X456" s="3165">
        <f>名簿入力!Y327</f>
        <v>0</v>
      </c>
      <c r="Y456" s="3165">
        <f>名簿入力!Z327</f>
        <v>0</v>
      </c>
      <c r="Z456" s="3167">
        <f>名簿入力!AA327</f>
        <v>0</v>
      </c>
      <c r="AA456" s="3161">
        <f>名簿入力!AB327</f>
        <v>0</v>
      </c>
      <c r="AB456" s="3162"/>
      <c r="AC456" s="3165">
        <f>名簿入力!AD327</f>
        <v>0</v>
      </c>
      <c r="AD456" s="3165">
        <f>名簿入力!AE327</f>
        <v>0</v>
      </c>
      <c r="AE456" s="3167">
        <f>名簿入力!AF327</f>
        <v>0</v>
      </c>
      <c r="AF456" s="3161">
        <f>名簿入力!AG327</f>
        <v>0</v>
      </c>
      <c r="AG456" s="3162"/>
      <c r="AH456" s="3165">
        <f>名簿入力!AI327</f>
        <v>0</v>
      </c>
      <c r="AI456" s="3165">
        <f>名簿入力!AJ327</f>
        <v>0</v>
      </c>
      <c r="AJ456" s="3175">
        <f>名簿入力!AK327</f>
        <v>0</v>
      </c>
      <c r="AK456" s="3176"/>
      <c r="AL456" s="3176"/>
      <c r="AM456" s="3176"/>
      <c r="AN456" s="3176"/>
      <c r="AO456" s="3177"/>
      <c r="AP456" s="3137">
        <f>名簿入力!AO327</f>
        <v>0</v>
      </c>
      <c r="AQ456" s="3138"/>
      <c r="AR456" s="3138"/>
      <c r="AS456" s="3138"/>
      <c r="AT456" s="3139"/>
      <c r="AU456" s="113"/>
    </row>
    <row r="457" spans="2:47" ht="15" customHeight="1" x14ac:dyDescent="0.15">
      <c r="B457" s="3181"/>
      <c r="C457" s="3182"/>
      <c r="D457" s="3183"/>
      <c r="E457" s="3184"/>
      <c r="F457" s="3185"/>
      <c r="G457" s="3186"/>
      <c r="H457" s="3173"/>
      <c r="I457" s="3174"/>
      <c r="J457" s="3171"/>
      <c r="K457" s="3172"/>
      <c r="L457" s="3173"/>
      <c r="M457" s="3187"/>
      <c r="N457" s="3171"/>
      <c r="O457" s="3171"/>
      <c r="P457" s="3172"/>
      <c r="Q457" s="3173"/>
      <c r="R457" s="3174"/>
      <c r="S457" s="3171"/>
      <c r="T457" s="3171"/>
      <c r="U457" s="3172"/>
      <c r="V457" s="3173"/>
      <c r="W457" s="3174"/>
      <c r="X457" s="3171"/>
      <c r="Y457" s="3171"/>
      <c r="Z457" s="3172"/>
      <c r="AA457" s="3173"/>
      <c r="AB457" s="3174"/>
      <c r="AC457" s="3171"/>
      <c r="AD457" s="3171"/>
      <c r="AE457" s="3172"/>
      <c r="AF457" s="3173"/>
      <c r="AG457" s="3174"/>
      <c r="AH457" s="3171"/>
      <c r="AI457" s="3171"/>
      <c r="AJ457" s="3146">
        <f>名簿入力!AK328</f>
        <v>0</v>
      </c>
      <c r="AK457" s="3147"/>
      <c r="AL457" s="3147"/>
      <c r="AM457" s="3147"/>
      <c r="AN457" s="3147"/>
      <c r="AO457" s="3148"/>
      <c r="AP457" s="3178"/>
      <c r="AQ457" s="3179"/>
      <c r="AR457" s="3179"/>
      <c r="AS457" s="3179"/>
      <c r="AT457" s="3180"/>
      <c r="AU457" s="113"/>
    </row>
    <row r="458" spans="2:47" ht="15" customHeight="1" x14ac:dyDescent="0.15">
      <c r="B458" s="3149">
        <v>158</v>
      </c>
      <c r="C458" s="3151">
        <f>名簿入力!D329</f>
        <v>0</v>
      </c>
      <c r="D458" s="3152"/>
      <c r="E458" s="3155">
        <f>名簿入力!E329</f>
        <v>0</v>
      </c>
      <c r="F458" s="3157">
        <f>名簿入力!G329</f>
        <v>0</v>
      </c>
      <c r="G458" s="3159">
        <f>名簿入力!H329</f>
        <v>0</v>
      </c>
      <c r="H458" s="3161">
        <f>名簿入力!I329</f>
        <v>0</v>
      </c>
      <c r="I458" s="3162"/>
      <c r="J458" s="3165">
        <f>名簿入力!K329</f>
        <v>0</v>
      </c>
      <c r="K458" s="3167">
        <f>名簿入力!L329</f>
        <v>0</v>
      </c>
      <c r="L458" s="3161">
        <f>名簿入力!M329</f>
        <v>0</v>
      </c>
      <c r="M458" s="3169"/>
      <c r="N458" s="3165">
        <f>名簿入力!O329</f>
        <v>0</v>
      </c>
      <c r="O458" s="3165">
        <f>名簿入力!P329</f>
        <v>0</v>
      </c>
      <c r="P458" s="3167">
        <f>名簿入力!Q329</f>
        <v>0</v>
      </c>
      <c r="Q458" s="3161">
        <f>名簿入力!R329</f>
        <v>0</v>
      </c>
      <c r="R458" s="3162"/>
      <c r="S458" s="3165">
        <f>名簿入力!T329</f>
        <v>0</v>
      </c>
      <c r="T458" s="3165">
        <f>名簿入力!U329</f>
        <v>0</v>
      </c>
      <c r="U458" s="3167">
        <f>名簿入力!V329</f>
        <v>0</v>
      </c>
      <c r="V458" s="3161">
        <f>名簿入力!W329</f>
        <v>0</v>
      </c>
      <c r="W458" s="3162"/>
      <c r="X458" s="3165">
        <f>名簿入力!Y329</f>
        <v>0</v>
      </c>
      <c r="Y458" s="3165">
        <f>名簿入力!Z329</f>
        <v>0</v>
      </c>
      <c r="Z458" s="3167">
        <f>名簿入力!AA329</f>
        <v>0</v>
      </c>
      <c r="AA458" s="3161">
        <f>名簿入力!AB329</f>
        <v>0</v>
      </c>
      <c r="AB458" s="3162"/>
      <c r="AC458" s="3165">
        <f>名簿入力!AD329</f>
        <v>0</v>
      </c>
      <c r="AD458" s="3165">
        <f>名簿入力!AE329</f>
        <v>0</v>
      </c>
      <c r="AE458" s="3167">
        <f>名簿入力!AF329</f>
        <v>0</v>
      </c>
      <c r="AF458" s="3161">
        <f>名簿入力!AG329</f>
        <v>0</v>
      </c>
      <c r="AG458" s="3162"/>
      <c r="AH458" s="3165">
        <f>名簿入力!AI329</f>
        <v>0</v>
      </c>
      <c r="AI458" s="3165">
        <f>名簿入力!AJ329</f>
        <v>0</v>
      </c>
      <c r="AJ458" s="3175">
        <f>名簿入力!AK329</f>
        <v>0</v>
      </c>
      <c r="AK458" s="3176"/>
      <c r="AL458" s="3176"/>
      <c r="AM458" s="3176"/>
      <c r="AN458" s="3176"/>
      <c r="AO458" s="3177"/>
      <c r="AP458" s="3137">
        <f>名簿入力!AO329</f>
        <v>0</v>
      </c>
      <c r="AQ458" s="3138"/>
      <c r="AR458" s="3138"/>
      <c r="AS458" s="3138"/>
      <c r="AT458" s="3139"/>
      <c r="AU458" s="113"/>
    </row>
    <row r="459" spans="2:47" ht="15" customHeight="1" x14ac:dyDescent="0.15">
      <c r="B459" s="3181"/>
      <c r="C459" s="3182"/>
      <c r="D459" s="3183"/>
      <c r="E459" s="3184"/>
      <c r="F459" s="3185"/>
      <c r="G459" s="3186"/>
      <c r="H459" s="3173"/>
      <c r="I459" s="3174"/>
      <c r="J459" s="3171"/>
      <c r="K459" s="3172"/>
      <c r="L459" s="3173"/>
      <c r="M459" s="3187"/>
      <c r="N459" s="3171"/>
      <c r="O459" s="3171"/>
      <c r="P459" s="3172"/>
      <c r="Q459" s="3173"/>
      <c r="R459" s="3174"/>
      <c r="S459" s="3171"/>
      <c r="T459" s="3171"/>
      <c r="U459" s="3172"/>
      <c r="V459" s="3173"/>
      <c r="W459" s="3174"/>
      <c r="X459" s="3171"/>
      <c r="Y459" s="3171"/>
      <c r="Z459" s="3172"/>
      <c r="AA459" s="3173"/>
      <c r="AB459" s="3174"/>
      <c r="AC459" s="3171"/>
      <c r="AD459" s="3171"/>
      <c r="AE459" s="3172"/>
      <c r="AF459" s="3173"/>
      <c r="AG459" s="3174"/>
      <c r="AH459" s="3171"/>
      <c r="AI459" s="3171"/>
      <c r="AJ459" s="3146">
        <f>名簿入力!AK330</f>
        <v>0</v>
      </c>
      <c r="AK459" s="3147"/>
      <c r="AL459" s="3147"/>
      <c r="AM459" s="3147"/>
      <c r="AN459" s="3147"/>
      <c r="AO459" s="3148"/>
      <c r="AP459" s="3178"/>
      <c r="AQ459" s="3179"/>
      <c r="AR459" s="3179"/>
      <c r="AS459" s="3179"/>
      <c r="AT459" s="3180"/>
      <c r="AU459" s="113"/>
    </row>
    <row r="460" spans="2:47" ht="15" customHeight="1" x14ac:dyDescent="0.15">
      <c r="B460" s="3149">
        <v>159</v>
      </c>
      <c r="C460" s="3151">
        <f>名簿入力!D331</f>
        <v>0</v>
      </c>
      <c r="D460" s="3152"/>
      <c r="E460" s="3155">
        <f>名簿入力!E331</f>
        <v>0</v>
      </c>
      <c r="F460" s="3157">
        <f>名簿入力!G331</f>
        <v>0</v>
      </c>
      <c r="G460" s="3159">
        <f>名簿入力!H331</f>
        <v>0</v>
      </c>
      <c r="H460" s="3161">
        <f>名簿入力!I331</f>
        <v>0</v>
      </c>
      <c r="I460" s="3162"/>
      <c r="J460" s="3165">
        <f>名簿入力!K331</f>
        <v>0</v>
      </c>
      <c r="K460" s="3167">
        <f>名簿入力!L331</f>
        <v>0</v>
      </c>
      <c r="L460" s="3161">
        <f>名簿入力!M331</f>
        <v>0</v>
      </c>
      <c r="M460" s="3169"/>
      <c r="N460" s="3165">
        <f>名簿入力!O331</f>
        <v>0</v>
      </c>
      <c r="O460" s="3165">
        <f>名簿入力!P331</f>
        <v>0</v>
      </c>
      <c r="P460" s="3167">
        <f>名簿入力!Q331</f>
        <v>0</v>
      </c>
      <c r="Q460" s="3161">
        <f>名簿入力!R331</f>
        <v>0</v>
      </c>
      <c r="R460" s="3162"/>
      <c r="S460" s="3165">
        <f>名簿入力!T331</f>
        <v>0</v>
      </c>
      <c r="T460" s="3165">
        <f>名簿入力!U331</f>
        <v>0</v>
      </c>
      <c r="U460" s="3167">
        <f>名簿入力!V331</f>
        <v>0</v>
      </c>
      <c r="V460" s="3161">
        <f>名簿入力!W331</f>
        <v>0</v>
      </c>
      <c r="W460" s="3162"/>
      <c r="X460" s="3165">
        <f>名簿入力!Y331</f>
        <v>0</v>
      </c>
      <c r="Y460" s="3165">
        <f>名簿入力!Z331</f>
        <v>0</v>
      </c>
      <c r="Z460" s="3167">
        <f>名簿入力!AA331</f>
        <v>0</v>
      </c>
      <c r="AA460" s="3161">
        <f>名簿入力!AB331</f>
        <v>0</v>
      </c>
      <c r="AB460" s="3162"/>
      <c r="AC460" s="3165">
        <f>名簿入力!AD331</f>
        <v>0</v>
      </c>
      <c r="AD460" s="3165">
        <f>名簿入力!AE331</f>
        <v>0</v>
      </c>
      <c r="AE460" s="3167">
        <f>名簿入力!AF331</f>
        <v>0</v>
      </c>
      <c r="AF460" s="3161">
        <f>名簿入力!AG331</f>
        <v>0</v>
      </c>
      <c r="AG460" s="3162"/>
      <c r="AH460" s="3165">
        <f>名簿入力!AI331</f>
        <v>0</v>
      </c>
      <c r="AI460" s="3165">
        <f>名簿入力!AJ331</f>
        <v>0</v>
      </c>
      <c r="AJ460" s="3175">
        <f>名簿入力!AK331</f>
        <v>0</v>
      </c>
      <c r="AK460" s="3176"/>
      <c r="AL460" s="3176"/>
      <c r="AM460" s="3176"/>
      <c r="AN460" s="3176"/>
      <c r="AO460" s="3177"/>
      <c r="AP460" s="3137">
        <f>名簿入力!AO331</f>
        <v>0</v>
      </c>
      <c r="AQ460" s="3138"/>
      <c r="AR460" s="3138"/>
      <c r="AS460" s="3138"/>
      <c r="AT460" s="3139"/>
      <c r="AU460" s="113"/>
    </row>
    <row r="461" spans="2:47" ht="15" customHeight="1" x14ac:dyDescent="0.15">
      <c r="B461" s="3181"/>
      <c r="C461" s="3182"/>
      <c r="D461" s="3183"/>
      <c r="E461" s="3184"/>
      <c r="F461" s="3185"/>
      <c r="G461" s="3186"/>
      <c r="H461" s="3173"/>
      <c r="I461" s="3174"/>
      <c r="J461" s="3171"/>
      <c r="K461" s="3172"/>
      <c r="L461" s="3173"/>
      <c r="M461" s="3187"/>
      <c r="N461" s="3171"/>
      <c r="O461" s="3171"/>
      <c r="P461" s="3172"/>
      <c r="Q461" s="3173"/>
      <c r="R461" s="3174"/>
      <c r="S461" s="3171"/>
      <c r="T461" s="3171"/>
      <c r="U461" s="3172"/>
      <c r="V461" s="3173"/>
      <c r="W461" s="3174"/>
      <c r="X461" s="3171"/>
      <c r="Y461" s="3171"/>
      <c r="Z461" s="3172"/>
      <c r="AA461" s="3173"/>
      <c r="AB461" s="3174"/>
      <c r="AC461" s="3171"/>
      <c r="AD461" s="3171"/>
      <c r="AE461" s="3172"/>
      <c r="AF461" s="3173"/>
      <c r="AG461" s="3174"/>
      <c r="AH461" s="3171"/>
      <c r="AI461" s="3171"/>
      <c r="AJ461" s="3146">
        <f>名簿入力!AK332</f>
        <v>0</v>
      </c>
      <c r="AK461" s="3147"/>
      <c r="AL461" s="3147"/>
      <c r="AM461" s="3147"/>
      <c r="AN461" s="3147"/>
      <c r="AO461" s="3148"/>
      <c r="AP461" s="3178"/>
      <c r="AQ461" s="3179"/>
      <c r="AR461" s="3179"/>
      <c r="AS461" s="3179"/>
      <c r="AT461" s="3180"/>
      <c r="AU461" s="113"/>
    </row>
    <row r="462" spans="2:47" ht="15" customHeight="1" x14ac:dyDescent="0.15">
      <c r="B462" s="3149">
        <v>160</v>
      </c>
      <c r="C462" s="3151">
        <f>名簿入力!D333</f>
        <v>0</v>
      </c>
      <c r="D462" s="3152"/>
      <c r="E462" s="3155">
        <f>名簿入力!E333</f>
        <v>0</v>
      </c>
      <c r="F462" s="3157">
        <f>名簿入力!G333</f>
        <v>0</v>
      </c>
      <c r="G462" s="3159">
        <f>名簿入力!H333</f>
        <v>0</v>
      </c>
      <c r="H462" s="3161">
        <f>名簿入力!I333</f>
        <v>0</v>
      </c>
      <c r="I462" s="3162"/>
      <c r="J462" s="3165">
        <f>名簿入力!K333</f>
        <v>0</v>
      </c>
      <c r="K462" s="3167">
        <f>名簿入力!L333</f>
        <v>0</v>
      </c>
      <c r="L462" s="3161">
        <f>名簿入力!M333</f>
        <v>0</v>
      </c>
      <c r="M462" s="3169"/>
      <c r="N462" s="3165">
        <f>名簿入力!O333</f>
        <v>0</v>
      </c>
      <c r="O462" s="3165">
        <f>名簿入力!P333</f>
        <v>0</v>
      </c>
      <c r="P462" s="3167">
        <f>名簿入力!Q333</f>
        <v>0</v>
      </c>
      <c r="Q462" s="3161">
        <f>名簿入力!R333</f>
        <v>0</v>
      </c>
      <c r="R462" s="3162"/>
      <c r="S462" s="3165">
        <f>名簿入力!T333</f>
        <v>0</v>
      </c>
      <c r="T462" s="3165">
        <f>名簿入力!U333</f>
        <v>0</v>
      </c>
      <c r="U462" s="3167">
        <f>名簿入力!V333</f>
        <v>0</v>
      </c>
      <c r="V462" s="3161">
        <f>名簿入力!W333</f>
        <v>0</v>
      </c>
      <c r="W462" s="3162"/>
      <c r="X462" s="3165">
        <f>名簿入力!Y333</f>
        <v>0</v>
      </c>
      <c r="Y462" s="3165">
        <f>名簿入力!Z333</f>
        <v>0</v>
      </c>
      <c r="Z462" s="3167">
        <f>名簿入力!AA333</f>
        <v>0</v>
      </c>
      <c r="AA462" s="3161">
        <f>名簿入力!AB333</f>
        <v>0</v>
      </c>
      <c r="AB462" s="3162"/>
      <c r="AC462" s="3165">
        <f>名簿入力!AD333</f>
        <v>0</v>
      </c>
      <c r="AD462" s="3165">
        <f>名簿入力!AE333</f>
        <v>0</v>
      </c>
      <c r="AE462" s="3167">
        <f>名簿入力!AF333</f>
        <v>0</v>
      </c>
      <c r="AF462" s="3161">
        <f>名簿入力!AG333</f>
        <v>0</v>
      </c>
      <c r="AG462" s="3162"/>
      <c r="AH462" s="3165">
        <f>名簿入力!AI333</f>
        <v>0</v>
      </c>
      <c r="AI462" s="3165">
        <f>名簿入力!AJ333</f>
        <v>0</v>
      </c>
      <c r="AJ462" s="3175">
        <f>名簿入力!AK333</f>
        <v>0</v>
      </c>
      <c r="AK462" s="3176"/>
      <c r="AL462" s="3176"/>
      <c r="AM462" s="3176"/>
      <c r="AN462" s="3176"/>
      <c r="AO462" s="3177"/>
      <c r="AP462" s="3137">
        <f>名簿入力!AO333</f>
        <v>0</v>
      </c>
      <c r="AQ462" s="3138"/>
      <c r="AR462" s="3138"/>
      <c r="AS462" s="3138"/>
      <c r="AT462" s="3139"/>
      <c r="AU462" s="113"/>
    </row>
    <row r="463" spans="2:47" ht="15" customHeight="1" x14ac:dyDescent="0.15">
      <c r="B463" s="3181"/>
      <c r="C463" s="3182"/>
      <c r="D463" s="3183"/>
      <c r="E463" s="3184"/>
      <c r="F463" s="3185"/>
      <c r="G463" s="3186"/>
      <c r="H463" s="3173"/>
      <c r="I463" s="3174"/>
      <c r="J463" s="3171"/>
      <c r="K463" s="3172"/>
      <c r="L463" s="3173"/>
      <c r="M463" s="3187"/>
      <c r="N463" s="3171"/>
      <c r="O463" s="3171"/>
      <c r="P463" s="3172"/>
      <c r="Q463" s="3173"/>
      <c r="R463" s="3174"/>
      <c r="S463" s="3171"/>
      <c r="T463" s="3171"/>
      <c r="U463" s="3172"/>
      <c r="V463" s="3173"/>
      <c r="W463" s="3174"/>
      <c r="X463" s="3171"/>
      <c r="Y463" s="3171"/>
      <c r="Z463" s="3172"/>
      <c r="AA463" s="3173"/>
      <c r="AB463" s="3174"/>
      <c r="AC463" s="3171"/>
      <c r="AD463" s="3171"/>
      <c r="AE463" s="3172"/>
      <c r="AF463" s="3173"/>
      <c r="AG463" s="3174"/>
      <c r="AH463" s="3171"/>
      <c r="AI463" s="3171"/>
      <c r="AJ463" s="3146">
        <f>名簿入力!AK334</f>
        <v>0</v>
      </c>
      <c r="AK463" s="3147"/>
      <c r="AL463" s="3147"/>
      <c r="AM463" s="3147"/>
      <c r="AN463" s="3147"/>
      <c r="AO463" s="3148"/>
      <c r="AP463" s="3178"/>
      <c r="AQ463" s="3179"/>
      <c r="AR463" s="3179"/>
      <c r="AS463" s="3179"/>
      <c r="AT463" s="3180"/>
      <c r="AU463" s="113"/>
    </row>
    <row r="464" spans="2:47" ht="15" customHeight="1" x14ac:dyDescent="0.15">
      <c r="B464" s="3149">
        <v>161</v>
      </c>
      <c r="C464" s="3151">
        <f>名簿入力!D335</f>
        <v>0</v>
      </c>
      <c r="D464" s="3152"/>
      <c r="E464" s="3155">
        <f>名簿入力!E335</f>
        <v>0</v>
      </c>
      <c r="F464" s="3157">
        <f>名簿入力!G335</f>
        <v>0</v>
      </c>
      <c r="G464" s="3159">
        <f>名簿入力!H335</f>
        <v>0</v>
      </c>
      <c r="H464" s="3161">
        <f>名簿入力!I335</f>
        <v>0</v>
      </c>
      <c r="I464" s="3162"/>
      <c r="J464" s="3165">
        <f>名簿入力!K335</f>
        <v>0</v>
      </c>
      <c r="K464" s="3167">
        <f>名簿入力!L335</f>
        <v>0</v>
      </c>
      <c r="L464" s="3161">
        <f>名簿入力!M335</f>
        <v>0</v>
      </c>
      <c r="M464" s="3169"/>
      <c r="N464" s="3165">
        <f>名簿入力!O335</f>
        <v>0</v>
      </c>
      <c r="O464" s="3165">
        <f>名簿入力!P335</f>
        <v>0</v>
      </c>
      <c r="P464" s="3167">
        <f>名簿入力!Q335</f>
        <v>0</v>
      </c>
      <c r="Q464" s="3161">
        <f>名簿入力!R335</f>
        <v>0</v>
      </c>
      <c r="R464" s="3162"/>
      <c r="S464" s="3165">
        <f>名簿入力!T335</f>
        <v>0</v>
      </c>
      <c r="T464" s="3165">
        <f>名簿入力!U335</f>
        <v>0</v>
      </c>
      <c r="U464" s="3167">
        <f>名簿入力!V335</f>
        <v>0</v>
      </c>
      <c r="V464" s="3161">
        <f>名簿入力!W335</f>
        <v>0</v>
      </c>
      <c r="W464" s="3162"/>
      <c r="X464" s="3165">
        <f>名簿入力!Y335</f>
        <v>0</v>
      </c>
      <c r="Y464" s="3165">
        <f>名簿入力!Z335</f>
        <v>0</v>
      </c>
      <c r="Z464" s="3167">
        <f>名簿入力!AA335</f>
        <v>0</v>
      </c>
      <c r="AA464" s="3161">
        <f>名簿入力!AB335</f>
        <v>0</v>
      </c>
      <c r="AB464" s="3162"/>
      <c r="AC464" s="3165">
        <f>名簿入力!AD335</f>
        <v>0</v>
      </c>
      <c r="AD464" s="3165">
        <f>名簿入力!AE335</f>
        <v>0</v>
      </c>
      <c r="AE464" s="3167">
        <f>名簿入力!AF335</f>
        <v>0</v>
      </c>
      <c r="AF464" s="3161">
        <f>名簿入力!AG335</f>
        <v>0</v>
      </c>
      <c r="AG464" s="3162"/>
      <c r="AH464" s="3165">
        <f>名簿入力!AI335</f>
        <v>0</v>
      </c>
      <c r="AI464" s="3165">
        <f>名簿入力!AJ335</f>
        <v>0</v>
      </c>
      <c r="AJ464" s="3175">
        <f>名簿入力!AK335</f>
        <v>0</v>
      </c>
      <c r="AK464" s="3176"/>
      <c r="AL464" s="3176"/>
      <c r="AM464" s="3176"/>
      <c r="AN464" s="3176"/>
      <c r="AO464" s="3177"/>
      <c r="AP464" s="3137">
        <f>名簿入力!AO335</f>
        <v>0</v>
      </c>
      <c r="AQ464" s="3138"/>
      <c r="AR464" s="3138"/>
      <c r="AS464" s="3138"/>
      <c r="AT464" s="3139"/>
      <c r="AU464" s="113"/>
    </row>
    <row r="465" spans="2:47" ht="15" customHeight="1" x14ac:dyDescent="0.15">
      <c r="B465" s="3181"/>
      <c r="C465" s="3182"/>
      <c r="D465" s="3183"/>
      <c r="E465" s="3184"/>
      <c r="F465" s="3185"/>
      <c r="G465" s="3186"/>
      <c r="H465" s="3173"/>
      <c r="I465" s="3174"/>
      <c r="J465" s="3171"/>
      <c r="K465" s="3172"/>
      <c r="L465" s="3173"/>
      <c r="M465" s="3187"/>
      <c r="N465" s="3171"/>
      <c r="O465" s="3171"/>
      <c r="P465" s="3172"/>
      <c r="Q465" s="3173"/>
      <c r="R465" s="3174"/>
      <c r="S465" s="3171"/>
      <c r="T465" s="3171"/>
      <c r="U465" s="3172"/>
      <c r="V465" s="3173"/>
      <c r="W465" s="3174"/>
      <c r="X465" s="3171"/>
      <c r="Y465" s="3171"/>
      <c r="Z465" s="3172"/>
      <c r="AA465" s="3173"/>
      <c r="AB465" s="3174"/>
      <c r="AC465" s="3171"/>
      <c r="AD465" s="3171"/>
      <c r="AE465" s="3172"/>
      <c r="AF465" s="3173"/>
      <c r="AG465" s="3174"/>
      <c r="AH465" s="3171"/>
      <c r="AI465" s="3171"/>
      <c r="AJ465" s="3146">
        <f>名簿入力!AK336</f>
        <v>0</v>
      </c>
      <c r="AK465" s="3147"/>
      <c r="AL465" s="3147"/>
      <c r="AM465" s="3147"/>
      <c r="AN465" s="3147"/>
      <c r="AO465" s="3148"/>
      <c r="AP465" s="3178"/>
      <c r="AQ465" s="3179"/>
      <c r="AR465" s="3179"/>
      <c r="AS465" s="3179"/>
      <c r="AT465" s="3180"/>
      <c r="AU465" s="113"/>
    </row>
    <row r="466" spans="2:47" ht="15" customHeight="1" x14ac:dyDescent="0.15">
      <c r="B466" s="3149">
        <v>162</v>
      </c>
      <c r="C466" s="3151">
        <f>名簿入力!D337</f>
        <v>0</v>
      </c>
      <c r="D466" s="3152"/>
      <c r="E466" s="3155">
        <f>名簿入力!E337</f>
        <v>0</v>
      </c>
      <c r="F466" s="3157">
        <f>名簿入力!G337</f>
        <v>0</v>
      </c>
      <c r="G466" s="3159">
        <f>名簿入力!H337</f>
        <v>0</v>
      </c>
      <c r="H466" s="3161">
        <f>名簿入力!I337</f>
        <v>0</v>
      </c>
      <c r="I466" s="3162"/>
      <c r="J466" s="3165">
        <f>名簿入力!K337</f>
        <v>0</v>
      </c>
      <c r="K466" s="3167">
        <f>名簿入力!L337</f>
        <v>0</v>
      </c>
      <c r="L466" s="3161">
        <f>名簿入力!M337</f>
        <v>0</v>
      </c>
      <c r="M466" s="3169"/>
      <c r="N466" s="3165">
        <f>名簿入力!O337</f>
        <v>0</v>
      </c>
      <c r="O466" s="3165">
        <f>名簿入力!P337</f>
        <v>0</v>
      </c>
      <c r="P466" s="3167">
        <f>名簿入力!Q337</f>
        <v>0</v>
      </c>
      <c r="Q466" s="3161">
        <f>名簿入力!R337</f>
        <v>0</v>
      </c>
      <c r="R466" s="3162"/>
      <c r="S466" s="3165">
        <f>名簿入力!T337</f>
        <v>0</v>
      </c>
      <c r="T466" s="3165">
        <f>名簿入力!U337</f>
        <v>0</v>
      </c>
      <c r="U466" s="3167">
        <f>名簿入力!V337</f>
        <v>0</v>
      </c>
      <c r="V466" s="3161">
        <f>名簿入力!W337</f>
        <v>0</v>
      </c>
      <c r="W466" s="3162"/>
      <c r="X466" s="3165">
        <f>名簿入力!Y337</f>
        <v>0</v>
      </c>
      <c r="Y466" s="3165">
        <f>名簿入力!Z337</f>
        <v>0</v>
      </c>
      <c r="Z466" s="3167">
        <f>名簿入力!AA337</f>
        <v>0</v>
      </c>
      <c r="AA466" s="3161">
        <f>名簿入力!AB337</f>
        <v>0</v>
      </c>
      <c r="AB466" s="3162"/>
      <c r="AC466" s="3165">
        <f>名簿入力!AD337</f>
        <v>0</v>
      </c>
      <c r="AD466" s="3165">
        <f>名簿入力!AE337</f>
        <v>0</v>
      </c>
      <c r="AE466" s="3167">
        <f>名簿入力!AF337</f>
        <v>0</v>
      </c>
      <c r="AF466" s="3161">
        <f>名簿入力!AG337</f>
        <v>0</v>
      </c>
      <c r="AG466" s="3162"/>
      <c r="AH466" s="3165">
        <f>名簿入力!AI337</f>
        <v>0</v>
      </c>
      <c r="AI466" s="3165">
        <f>名簿入力!AJ337</f>
        <v>0</v>
      </c>
      <c r="AJ466" s="3175">
        <f>名簿入力!AK337</f>
        <v>0</v>
      </c>
      <c r="AK466" s="3176"/>
      <c r="AL466" s="3176"/>
      <c r="AM466" s="3176"/>
      <c r="AN466" s="3176"/>
      <c r="AO466" s="3177"/>
      <c r="AP466" s="3137">
        <f>名簿入力!AO337</f>
        <v>0</v>
      </c>
      <c r="AQ466" s="3138"/>
      <c r="AR466" s="3138"/>
      <c r="AS466" s="3138"/>
      <c r="AT466" s="3139"/>
      <c r="AU466" s="113"/>
    </row>
    <row r="467" spans="2:47" ht="15" customHeight="1" x14ac:dyDescent="0.15">
      <c r="B467" s="3181"/>
      <c r="C467" s="3182"/>
      <c r="D467" s="3183"/>
      <c r="E467" s="3184"/>
      <c r="F467" s="3185"/>
      <c r="G467" s="3186"/>
      <c r="H467" s="3173"/>
      <c r="I467" s="3174"/>
      <c r="J467" s="3171"/>
      <c r="K467" s="3172"/>
      <c r="L467" s="3173"/>
      <c r="M467" s="3187"/>
      <c r="N467" s="3171"/>
      <c r="O467" s="3171"/>
      <c r="P467" s="3172"/>
      <c r="Q467" s="3173"/>
      <c r="R467" s="3174"/>
      <c r="S467" s="3171"/>
      <c r="T467" s="3171"/>
      <c r="U467" s="3172"/>
      <c r="V467" s="3173"/>
      <c r="W467" s="3174"/>
      <c r="X467" s="3171"/>
      <c r="Y467" s="3171"/>
      <c r="Z467" s="3172"/>
      <c r="AA467" s="3173"/>
      <c r="AB467" s="3174"/>
      <c r="AC467" s="3171"/>
      <c r="AD467" s="3171"/>
      <c r="AE467" s="3172"/>
      <c r="AF467" s="3173"/>
      <c r="AG467" s="3174"/>
      <c r="AH467" s="3171"/>
      <c r="AI467" s="3171"/>
      <c r="AJ467" s="3146">
        <f>名簿入力!AK338</f>
        <v>0</v>
      </c>
      <c r="AK467" s="3147"/>
      <c r="AL467" s="3147"/>
      <c r="AM467" s="3147"/>
      <c r="AN467" s="3147"/>
      <c r="AO467" s="3148"/>
      <c r="AP467" s="3178"/>
      <c r="AQ467" s="3179"/>
      <c r="AR467" s="3179"/>
      <c r="AS467" s="3179"/>
      <c r="AT467" s="3180"/>
      <c r="AU467" s="113"/>
    </row>
    <row r="468" spans="2:47" ht="15" customHeight="1" x14ac:dyDescent="0.15">
      <c r="B468" s="3149">
        <v>163</v>
      </c>
      <c r="C468" s="3151">
        <f>名簿入力!D339</f>
        <v>0</v>
      </c>
      <c r="D468" s="3152"/>
      <c r="E468" s="3155">
        <f>名簿入力!E339</f>
        <v>0</v>
      </c>
      <c r="F468" s="3157">
        <f>名簿入力!G339</f>
        <v>0</v>
      </c>
      <c r="G468" s="3159">
        <f>名簿入力!H339</f>
        <v>0</v>
      </c>
      <c r="H468" s="3161">
        <f>名簿入力!I339</f>
        <v>0</v>
      </c>
      <c r="I468" s="3162"/>
      <c r="J468" s="3165">
        <f>名簿入力!K339</f>
        <v>0</v>
      </c>
      <c r="K468" s="3167">
        <f>名簿入力!L339</f>
        <v>0</v>
      </c>
      <c r="L468" s="3161">
        <f>名簿入力!M339</f>
        <v>0</v>
      </c>
      <c r="M468" s="3169"/>
      <c r="N468" s="3165">
        <f>名簿入力!O339</f>
        <v>0</v>
      </c>
      <c r="O468" s="3165">
        <f>名簿入力!P339</f>
        <v>0</v>
      </c>
      <c r="P468" s="3167">
        <f>名簿入力!Q339</f>
        <v>0</v>
      </c>
      <c r="Q468" s="3161">
        <f>名簿入力!R339</f>
        <v>0</v>
      </c>
      <c r="R468" s="3162"/>
      <c r="S468" s="3165">
        <f>名簿入力!T339</f>
        <v>0</v>
      </c>
      <c r="T468" s="3165">
        <f>名簿入力!U339</f>
        <v>0</v>
      </c>
      <c r="U468" s="3167">
        <f>名簿入力!V339</f>
        <v>0</v>
      </c>
      <c r="V468" s="3161">
        <f>名簿入力!W339</f>
        <v>0</v>
      </c>
      <c r="W468" s="3162"/>
      <c r="X468" s="3165">
        <f>名簿入力!Y339</f>
        <v>0</v>
      </c>
      <c r="Y468" s="3165">
        <f>名簿入力!Z339</f>
        <v>0</v>
      </c>
      <c r="Z468" s="3167">
        <f>名簿入力!AA339</f>
        <v>0</v>
      </c>
      <c r="AA468" s="3161">
        <f>名簿入力!AB339</f>
        <v>0</v>
      </c>
      <c r="AB468" s="3162"/>
      <c r="AC468" s="3165">
        <f>名簿入力!AD339</f>
        <v>0</v>
      </c>
      <c r="AD468" s="3165">
        <f>名簿入力!AE339</f>
        <v>0</v>
      </c>
      <c r="AE468" s="3167">
        <f>名簿入力!AF339</f>
        <v>0</v>
      </c>
      <c r="AF468" s="3161">
        <f>名簿入力!AG339</f>
        <v>0</v>
      </c>
      <c r="AG468" s="3162"/>
      <c r="AH468" s="3165">
        <f>名簿入力!AI339</f>
        <v>0</v>
      </c>
      <c r="AI468" s="3165">
        <f>名簿入力!AJ339</f>
        <v>0</v>
      </c>
      <c r="AJ468" s="3175">
        <f>名簿入力!AK339</f>
        <v>0</v>
      </c>
      <c r="AK468" s="3176"/>
      <c r="AL468" s="3176"/>
      <c r="AM468" s="3176"/>
      <c r="AN468" s="3176"/>
      <c r="AO468" s="3177"/>
      <c r="AP468" s="3137">
        <f>名簿入力!AO339</f>
        <v>0</v>
      </c>
      <c r="AQ468" s="3138"/>
      <c r="AR468" s="3138"/>
      <c r="AS468" s="3138"/>
      <c r="AT468" s="3139"/>
      <c r="AU468" s="113"/>
    </row>
    <row r="469" spans="2:47" ht="15" customHeight="1" x14ac:dyDescent="0.15">
      <c r="B469" s="3181"/>
      <c r="C469" s="3182"/>
      <c r="D469" s="3183"/>
      <c r="E469" s="3184"/>
      <c r="F469" s="3185"/>
      <c r="G469" s="3186"/>
      <c r="H469" s="3173"/>
      <c r="I469" s="3174"/>
      <c r="J469" s="3171"/>
      <c r="K469" s="3172"/>
      <c r="L469" s="3173"/>
      <c r="M469" s="3187"/>
      <c r="N469" s="3171"/>
      <c r="O469" s="3171"/>
      <c r="P469" s="3172"/>
      <c r="Q469" s="3173"/>
      <c r="R469" s="3174"/>
      <c r="S469" s="3171"/>
      <c r="T469" s="3171"/>
      <c r="U469" s="3172"/>
      <c r="V469" s="3173"/>
      <c r="W469" s="3174"/>
      <c r="X469" s="3171"/>
      <c r="Y469" s="3171"/>
      <c r="Z469" s="3172"/>
      <c r="AA469" s="3173"/>
      <c r="AB469" s="3174"/>
      <c r="AC469" s="3171"/>
      <c r="AD469" s="3171"/>
      <c r="AE469" s="3172"/>
      <c r="AF469" s="3173"/>
      <c r="AG469" s="3174"/>
      <c r="AH469" s="3171"/>
      <c r="AI469" s="3171"/>
      <c r="AJ469" s="3146">
        <f>名簿入力!AK340</f>
        <v>0</v>
      </c>
      <c r="AK469" s="3147"/>
      <c r="AL469" s="3147"/>
      <c r="AM469" s="3147"/>
      <c r="AN469" s="3147"/>
      <c r="AO469" s="3148"/>
      <c r="AP469" s="3178"/>
      <c r="AQ469" s="3179"/>
      <c r="AR469" s="3179"/>
      <c r="AS469" s="3179"/>
      <c r="AT469" s="3180"/>
      <c r="AU469" s="113"/>
    </row>
    <row r="470" spans="2:47" ht="15" customHeight="1" x14ac:dyDescent="0.15">
      <c r="B470" s="3149">
        <v>164</v>
      </c>
      <c r="C470" s="3151">
        <f>名簿入力!D341</f>
        <v>0</v>
      </c>
      <c r="D470" s="3152"/>
      <c r="E470" s="3155">
        <f>名簿入力!E341</f>
        <v>0</v>
      </c>
      <c r="F470" s="3157">
        <f>名簿入力!G341</f>
        <v>0</v>
      </c>
      <c r="G470" s="3159">
        <f>名簿入力!H341</f>
        <v>0</v>
      </c>
      <c r="H470" s="3161">
        <f>名簿入力!I341</f>
        <v>0</v>
      </c>
      <c r="I470" s="3162"/>
      <c r="J470" s="3165">
        <f>名簿入力!K341</f>
        <v>0</v>
      </c>
      <c r="K470" s="3167">
        <f>名簿入力!L341</f>
        <v>0</v>
      </c>
      <c r="L470" s="3161">
        <f>名簿入力!M341</f>
        <v>0</v>
      </c>
      <c r="M470" s="3169"/>
      <c r="N470" s="3165">
        <f>名簿入力!O341</f>
        <v>0</v>
      </c>
      <c r="O470" s="3165">
        <f>名簿入力!P341</f>
        <v>0</v>
      </c>
      <c r="P470" s="3167">
        <f>名簿入力!Q341</f>
        <v>0</v>
      </c>
      <c r="Q470" s="3161">
        <f>名簿入力!R341</f>
        <v>0</v>
      </c>
      <c r="R470" s="3162"/>
      <c r="S470" s="3165">
        <f>名簿入力!T341</f>
        <v>0</v>
      </c>
      <c r="T470" s="3165">
        <f>名簿入力!U341</f>
        <v>0</v>
      </c>
      <c r="U470" s="3167">
        <f>名簿入力!V341</f>
        <v>0</v>
      </c>
      <c r="V470" s="3161">
        <f>名簿入力!W341</f>
        <v>0</v>
      </c>
      <c r="W470" s="3162"/>
      <c r="X470" s="3165">
        <f>名簿入力!Y341</f>
        <v>0</v>
      </c>
      <c r="Y470" s="3165">
        <f>名簿入力!Z341</f>
        <v>0</v>
      </c>
      <c r="Z470" s="3167">
        <f>名簿入力!AA341</f>
        <v>0</v>
      </c>
      <c r="AA470" s="3161">
        <f>名簿入力!AB341</f>
        <v>0</v>
      </c>
      <c r="AB470" s="3162"/>
      <c r="AC470" s="3165">
        <f>名簿入力!AD341</f>
        <v>0</v>
      </c>
      <c r="AD470" s="3165">
        <f>名簿入力!AE341</f>
        <v>0</v>
      </c>
      <c r="AE470" s="3167">
        <f>名簿入力!AF341</f>
        <v>0</v>
      </c>
      <c r="AF470" s="3161">
        <f>名簿入力!AG341</f>
        <v>0</v>
      </c>
      <c r="AG470" s="3162"/>
      <c r="AH470" s="3165">
        <f>名簿入力!AI341</f>
        <v>0</v>
      </c>
      <c r="AI470" s="3165">
        <f>名簿入力!AJ341</f>
        <v>0</v>
      </c>
      <c r="AJ470" s="3175">
        <f>名簿入力!AK341</f>
        <v>0</v>
      </c>
      <c r="AK470" s="3176"/>
      <c r="AL470" s="3176"/>
      <c r="AM470" s="3176"/>
      <c r="AN470" s="3176"/>
      <c r="AO470" s="3177"/>
      <c r="AP470" s="3137">
        <f>名簿入力!AO341</f>
        <v>0</v>
      </c>
      <c r="AQ470" s="3138"/>
      <c r="AR470" s="3138"/>
      <c r="AS470" s="3138"/>
      <c r="AT470" s="3139"/>
      <c r="AU470" s="113"/>
    </row>
    <row r="471" spans="2:47" ht="15" customHeight="1" x14ac:dyDescent="0.15">
      <c r="B471" s="3181"/>
      <c r="C471" s="3182"/>
      <c r="D471" s="3183"/>
      <c r="E471" s="3184"/>
      <c r="F471" s="3185"/>
      <c r="G471" s="3186"/>
      <c r="H471" s="3173"/>
      <c r="I471" s="3174"/>
      <c r="J471" s="3171"/>
      <c r="K471" s="3172"/>
      <c r="L471" s="3173"/>
      <c r="M471" s="3187"/>
      <c r="N471" s="3171"/>
      <c r="O471" s="3171"/>
      <c r="P471" s="3172"/>
      <c r="Q471" s="3173"/>
      <c r="R471" s="3174"/>
      <c r="S471" s="3171"/>
      <c r="T471" s="3171"/>
      <c r="U471" s="3172"/>
      <c r="V471" s="3173"/>
      <c r="W471" s="3174"/>
      <c r="X471" s="3171"/>
      <c r="Y471" s="3171"/>
      <c r="Z471" s="3172"/>
      <c r="AA471" s="3173"/>
      <c r="AB471" s="3174"/>
      <c r="AC471" s="3171"/>
      <c r="AD471" s="3171"/>
      <c r="AE471" s="3172"/>
      <c r="AF471" s="3173"/>
      <c r="AG471" s="3174"/>
      <c r="AH471" s="3171"/>
      <c r="AI471" s="3171"/>
      <c r="AJ471" s="3146">
        <f>名簿入力!AK342</f>
        <v>0</v>
      </c>
      <c r="AK471" s="3147"/>
      <c r="AL471" s="3147"/>
      <c r="AM471" s="3147"/>
      <c r="AN471" s="3147"/>
      <c r="AO471" s="3148"/>
      <c r="AP471" s="3178"/>
      <c r="AQ471" s="3179"/>
      <c r="AR471" s="3179"/>
      <c r="AS471" s="3179"/>
      <c r="AT471" s="3180"/>
      <c r="AU471" s="113"/>
    </row>
    <row r="472" spans="2:47" ht="15" customHeight="1" x14ac:dyDescent="0.15">
      <c r="B472" s="3149">
        <v>165</v>
      </c>
      <c r="C472" s="3151">
        <f>名簿入力!D343</f>
        <v>0</v>
      </c>
      <c r="D472" s="3152"/>
      <c r="E472" s="3155">
        <f>名簿入力!E343</f>
        <v>0</v>
      </c>
      <c r="F472" s="3157">
        <f>名簿入力!G343</f>
        <v>0</v>
      </c>
      <c r="G472" s="3159">
        <f>名簿入力!H343</f>
        <v>0</v>
      </c>
      <c r="H472" s="3161">
        <f>名簿入力!I343</f>
        <v>0</v>
      </c>
      <c r="I472" s="3162"/>
      <c r="J472" s="3165">
        <f>名簿入力!K343</f>
        <v>0</v>
      </c>
      <c r="K472" s="3167">
        <f>名簿入力!L343</f>
        <v>0</v>
      </c>
      <c r="L472" s="3161">
        <f>名簿入力!M343</f>
        <v>0</v>
      </c>
      <c r="M472" s="3169"/>
      <c r="N472" s="3165">
        <f>名簿入力!O343</f>
        <v>0</v>
      </c>
      <c r="O472" s="3165">
        <f>名簿入力!P343</f>
        <v>0</v>
      </c>
      <c r="P472" s="3167">
        <f>名簿入力!Q343</f>
        <v>0</v>
      </c>
      <c r="Q472" s="3161">
        <f>名簿入力!R343</f>
        <v>0</v>
      </c>
      <c r="R472" s="3162"/>
      <c r="S472" s="3165">
        <f>名簿入力!T343</f>
        <v>0</v>
      </c>
      <c r="T472" s="3165">
        <f>名簿入力!U343</f>
        <v>0</v>
      </c>
      <c r="U472" s="3167">
        <f>名簿入力!V343</f>
        <v>0</v>
      </c>
      <c r="V472" s="3161">
        <f>名簿入力!W343</f>
        <v>0</v>
      </c>
      <c r="W472" s="3162"/>
      <c r="X472" s="3165">
        <f>名簿入力!Y343</f>
        <v>0</v>
      </c>
      <c r="Y472" s="3165">
        <f>名簿入力!Z343</f>
        <v>0</v>
      </c>
      <c r="Z472" s="3167">
        <f>名簿入力!AA343</f>
        <v>0</v>
      </c>
      <c r="AA472" s="3161">
        <f>名簿入力!AB343</f>
        <v>0</v>
      </c>
      <c r="AB472" s="3162"/>
      <c r="AC472" s="3165">
        <f>名簿入力!AD343</f>
        <v>0</v>
      </c>
      <c r="AD472" s="3165">
        <f>名簿入力!AE343</f>
        <v>0</v>
      </c>
      <c r="AE472" s="3167">
        <f>名簿入力!AF343</f>
        <v>0</v>
      </c>
      <c r="AF472" s="3161">
        <f>名簿入力!AG343</f>
        <v>0</v>
      </c>
      <c r="AG472" s="3162"/>
      <c r="AH472" s="3165">
        <f>名簿入力!AI343</f>
        <v>0</v>
      </c>
      <c r="AI472" s="3165">
        <f>名簿入力!AJ343</f>
        <v>0</v>
      </c>
      <c r="AJ472" s="3175">
        <f>名簿入力!AK343</f>
        <v>0</v>
      </c>
      <c r="AK472" s="3176"/>
      <c r="AL472" s="3176"/>
      <c r="AM472" s="3176"/>
      <c r="AN472" s="3176"/>
      <c r="AO472" s="3177"/>
      <c r="AP472" s="3137">
        <f>名簿入力!AO343</f>
        <v>0</v>
      </c>
      <c r="AQ472" s="3138"/>
      <c r="AR472" s="3138"/>
      <c r="AS472" s="3138"/>
      <c r="AT472" s="3139"/>
      <c r="AU472" s="113"/>
    </row>
    <row r="473" spans="2:47" ht="15" customHeight="1" thickBot="1" x14ac:dyDescent="0.2">
      <c r="B473" s="3150"/>
      <c r="C473" s="3153"/>
      <c r="D473" s="3154"/>
      <c r="E473" s="3156"/>
      <c r="F473" s="3158"/>
      <c r="G473" s="3160"/>
      <c r="H473" s="3163"/>
      <c r="I473" s="3164"/>
      <c r="J473" s="3166"/>
      <c r="K473" s="3168"/>
      <c r="L473" s="3163"/>
      <c r="M473" s="3170"/>
      <c r="N473" s="3166"/>
      <c r="O473" s="3166"/>
      <c r="P473" s="3168"/>
      <c r="Q473" s="3163"/>
      <c r="R473" s="3164"/>
      <c r="S473" s="3166"/>
      <c r="T473" s="3166"/>
      <c r="U473" s="3168"/>
      <c r="V473" s="3163"/>
      <c r="W473" s="3164"/>
      <c r="X473" s="3166"/>
      <c r="Y473" s="3166"/>
      <c r="Z473" s="3168"/>
      <c r="AA473" s="3163"/>
      <c r="AB473" s="3164"/>
      <c r="AC473" s="3166"/>
      <c r="AD473" s="3166"/>
      <c r="AE473" s="3168"/>
      <c r="AF473" s="3163"/>
      <c r="AG473" s="3164"/>
      <c r="AH473" s="3166"/>
      <c r="AI473" s="3166"/>
      <c r="AJ473" s="3143">
        <f>名簿入力!AK344</f>
        <v>0</v>
      </c>
      <c r="AK473" s="3144"/>
      <c r="AL473" s="3144"/>
      <c r="AM473" s="3144"/>
      <c r="AN473" s="3144"/>
      <c r="AO473" s="3145"/>
      <c r="AP473" s="3140"/>
      <c r="AQ473" s="3141"/>
      <c r="AR473" s="3141"/>
      <c r="AS473" s="3141"/>
      <c r="AT473" s="3142"/>
      <c r="AU473" s="113"/>
    </row>
    <row r="474" spans="2:47" ht="46.5" customHeight="1" x14ac:dyDescent="0.15">
      <c r="B474" s="524"/>
      <c r="C474" s="525"/>
      <c r="D474" s="525"/>
      <c r="E474" s="526"/>
      <c r="F474" s="527"/>
      <c r="G474" s="527"/>
      <c r="H474" s="528"/>
      <c r="I474" s="528"/>
      <c r="J474" s="529"/>
      <c r="K474" s="529"/>
      <c r="L474" s="528"/>
      <c r="M474" s="528"/>
      <c r="N474" s="529"/>
      <c r="O474" s="529"/>
      <c r="P474" s="529"/>
      <c r="Q474" s="528"/>
      <c r="R474" s="528"/>
      <c r="S474" s="529"/>
      <c r="T474" s="529"/>
      <c r="U474" s="529"/>
      <c r="V474" s="528"/>
      <c r="W474" s="528"/>
      <c r="X474" s="529"/>
      <c r="Y474" s="529"/>
      <c r="Z474" s="529"/>
      <c r="AA474" s="528"/>
      <c r="AB474" s="528"/>
      <c r="AC474" s="529"/>
      <c r="AD474" s="529"/>
      <c r="AE474" s="529"/>
      <c r="AF474" s="528"/>
      <c r="AG474" s="528"/>
      <c r="AH474" s="1112"/>
      <c r="AI474" s="1112"/>
      <c r="AJ474" s="1113"/>
      <c r="AK474" s="1113"/>
      <c r="AL474" s="1113"/>
      <c r="AM474" s="1113"/>
      <c r="AN474" s="1113"/>
      <c r="AO474" s="1113"/>
      <c r="AP474" s="1114"/>
      <c r="AQ474" s="1114"/>
      <c r="AR474" s="1114"/>
      <c r="AS474" s="1114"/>
      <c r="AT474" s="1114"/>
      <c r="AU474" s="113"/>
    </row>
    <row r="475" spans="2:47" ht="26.25" customHeight="1" x14ac:dyDescent="0.15">
      <c r="C475" s="3279" t="s">
        <v>282</v>
      </c>
      <c r="D475" s="3279"/>
      <c r="E475" s="3279"/>
      <c r="F475" s="3279"/>
      <c r="G475" s="3279"/>
      <c r="H475" s="3279"/>
      <c r="I475" s="3279"/>
      <c r="J475" s="3279"/>
      <c r="K475" s="3279"/>
      <c r="L475" s="3279"/>
      <c r="M475" s="3279"/>
      <c r="N475" s="3279"/>
      <c r="O475" s="3279"/>
      <c r="P475" s="3279"/>
      <c r="Q475" s="3279"/>
      <c r="R475" s="3279"/>
      <c r="S475" s="3279"/>
      <c r="T475" s="3279"/>
      <c r="U475" s="3279"/>
      <c r="V475" s="3279"/>
      <c r="W475" s="3279"/>
      <c r="X475" s="3279"/>
      <c r="Y475" s="3279"/>
      <c r="Z475" s="3279"/>
      <c r="AA475" s="1014"/>
      <c r="AB475" s="1014"/>
      <c r="AC475" s="1014"/>
      <c r="AD475" s="1014"/>
      <c r="AE475" s="1014"/>
      <c r="AF475" s="1014"/>
      <c r="AG475" s="1014"/>
      <c r="AH475" s="1014"/>
      <c r="AI475" s="1014"/>
      <c r="AJ475" s="1014"/>
      <c r="AK475" s="1014"/>
      <c r="AL475" s="1014"/>
      <c r="AM475" s="1014"/>
      <c r="AN475" s="1014"/>
      <c r="AP475" s="499"/>
      <c r="AQ475" s="3230" t="s">
        <v>175</v>
      </c>
      <c r="AR475" s="3230"/>
      <c r="AS475" s="3230">
        <v>12</v>
      </c>
      <c r="AT475" s="3230"/>
    </row>
    <row r="476" spans="2:47" ht="3.75" customHeight="1" thickBot="1" x14ac:dyDescent="0.2">
      <c r="B476" s="854"/>
      <c r="C476" s="854"/>
      <c r="D476" s="854"/>
      <c r="E476" s="854"/>
      <c r="F476" s="854"/>
      <c r="G476" s="854"/>
      <c r="H476" s="854"/>
      <c r="I476" s="854"/>
      <c r="J476" s="854"/>
      <c r="K476" s="854"/>
      <c r="L476" s="854"/>
      <c r="M476" s="854"/>
      <c r="N476" s="854"/>
      <c r="O476" s="854"/>
      <c r="P476" s="854"/>
      <c r="Q476" s="854"/>
      <c r="R476" s="854"/>
      <c r="S476" s="854"/>
      <c r="T476" s="854"/>
      <c r="U476" s="854"/>
      <c r="V476" s="854"/>
      <c r="W476" s="854"/>
      <c r="X476" s="854"/>
      <c r="Y476" s="854"/>
      <c r="Z476" s="854"/>
      <c r="AA476" s="854"/>
      <c r="AB476" s="854"/>
      <c r="AC476" s="854"/>
      <c r="AD476" s="854"/>
      <c r="AE476" s="854"/>
      <c r="AF476" s="854"/>
      <c r="AG476" s="854"/>
      <c r="AH476" s="854"/>
      <c r="AI476" s="854"/>
      <c r="AJ476" s="854"/>
      <c r="AK476" s="854"/>
      <c r="AL476" s="854"/>
      <c r="AM476" s="854"/>
      <c r="AN476" s="854"/>
      <c r="AP476" s="499"/>
      <c r="AQ476" s="855"/>
      <c r="AR476" s="855"/>
      <c r="AS476" s="855"/>
      <c r="AT476" s="855"/>
    </row>
    <row r="477" spans="2:47" ht="15" customHeight="1" x14ac:dyDescent="0.15">
      <c r="B477" s="3231" t="s">
        <v>174</v>
      </c>
      <c r="C477" s="3232"/>
      <c r="D477" s="3235" t="str">
        <f>$D$4</f>
        <v xml:space="preserve"> </v>
      </c>
      <c r="E477" s="3235"/>
      <c r="F477" s="3235"/>
      <c r="G477" s="3235"/>
      <c r="H477" s="3235"/>
      <c r="I477" s="3235"/>
      <c r="J477" s="3235"/>
      <c r="K477" s="3235"/>
      <c r="L477" s="3235"/>
      <c r="M477" s="3235"/>
      <c r="N477" s="3235"/>
      <c r="O477" s="3235"/>
      <c r="P477" s="3235"/>
      <c r="Q477" s="3235"/>
      <c r="R477" s="3235"/>
      <c r="S477" s="3235"/>
      <c r="T477" s="3235"/>
      <c r="U477" s="3235"/>
      <c r="V477" s="3235"/>
      <c r="W477" s="3235"/>
      <c r="X477" s="3235"/>
      <c r="Y477" s="3235"/>
      <c r="Z477" s="3236"/>
      <c r="AA477" s="502"/>
      <c r="AB477" s="503"/>
      <c r="AC477" s="497"/>
      <c r="AD477" s="497"/>
      <c r="AE477" s="497"/>
      <c r="AF477" s="48"/>
      <c r="AG477" s="48"/>
      <c r="AJ477" s="48"/>
      <c r="AK477" s="48"/>
    </row>
    <row r="478" spans="2:47" ht="22.5" customHeight="1" x14ac:dyDescent="0.15">
      <c r="B478" s="3233"/>
      <c r="C478" s="3234"/>
      <c r="D478" s="3237"/>
      <c r="E478" s="3237"/>
      <c r="F478" s="3237"/>
      <c r="G478" s="3237"/>
      <c r="H478" s="3237"/>
      <c r="I478" s="3237"/>
      <c r="J478" s="3237"/>
      <c r="K478" s="3237"/>
      <c r="L478" s="3237"/>
      <c r="M478" s="3237"/>
      <c r="N478" s="3237"/>
      <c r="O478" s="3237"/>
      <c r="P478" s="3237"/>
      <c r="Q478" s="3237"/>
      <c r="R478" s="3237"/>
      <c r="S478" s="3237"/>
      <c r="T478" s="3237"/>
      <c r="U478" s="3237"/>
      <c r="V478" s="3237"/>
      <c r="W478" s="3237"/>
      <c r="X478" s="3237"/>
      <c r="Y478" s="3237"/>
      <c r="Z478" s="3238"/>
      <c r="AA478" s="502"/>
      <c r="AB478" s="504"/>
      <c r="AC478" s="497"/>
      <c r="AD478" s="497"/>
      <c r="AE478" s="497"/>
      <c r="AF478" s="497"/>
      <c r="AG478" s="48"/>
      <c r="AJ478" s="48"/>
      <c r="AK478" s="48"/>
    </row>
    <row r="479" spans="2:47" ht="24.75" customHeight="1" thickBot="1" x14ac:dyDescent="0.2">
      <c r="B479" s="3239" t="s">
        <v>173</v>
      </c>
      <c r="C479" s="3240"/>
      <c r="D479" s="3241">
        <f>$D$6</f>
        <v>0</v>
      </c>
      <c r="E479" s="3241"/>
      <c r="F479" s="513" t="s">
        <v>60</v>
      </c>
      <c r="G479" s="3241">
        <f>$G$6</f>
        <v>0</v>
      </c>
      <c r="H479" s="3241"/>
      <c r="I479" s="514" t="s">
        <v>61</v>
      </c>
      <c r="J479" s="3241">
        <f>$J$6</f>
        <v>0</v>
      </c>
      <c r="K479" s="3241"/>
      <c r="L479" s="514" t="s">
        <v>62</v>
      </c>
      <c r="M479" s="515" t="s">
        <v>96</v>
      </c>
      <c r="N479" s="514" t="str">
        <f>$N$6</f>
        <v/>
      </c>
      <c r="O479" s="514" t="s">
        <v>104</v>
      </c>
      <c r="P479" s="3242" t="s">
        <v>110</v>
      </c>
      <c r="Q479" s="3242"/>
      <c r="R479" s="3243" t="str">
        <f>$R$6</f>
        <v/>
      </c>
      <c r="S479" s="3243"/>
      <c r="T479" s="514" t="s">
        <v>61</v>
      </c>
      <c r="U479" s="3244" t="str">
        <f>$U$6</f>
        <v/>
      </c>
      <c r="V479" s="3244"/>
      <c r="W479" s="514" t="s">
        <v>62</v>
      </c>
      <c r="X479" s="515" t="s">
        <v>96</v>
      </c>
      <c r="Y479" s="516" t="str">
        <f>$Y$6</f>
        <v/>
      </c>
      <c r="Z479" s="517" t="s">
        <v>104</v>
      </c>
      <c r="AA479" s="507"/>
      <c r="AB479" s="48"/>
      <c r="AF479" s="48"/>
      <c r="AG479" s="48"/>
      <c r="AJ479" s="48"/>
      <c r="AK479" s="48"/>
    </row>
    <row r="480" spans="2:47" ht="13.5" customHeight="1" thickBot="1" x14ac:dyDescent="0.2">
      <c r="B480" s="508"/>
      <c r="C480" s="508"/>
      <c r="D480" s="509"/>
      <c r="E480" s="509"/>
      <c r="F480" s="509"/>
      <c r="G480" s="509"/>
      <c r="H480" s="509"/>
      <c r="I480" s="509"/>
      <c r="J480" s="509"/>
      <c r="K480" s="509"/>
      <c r="L480" s="509"/>
      <c r="M480" s="509"/>
      <c r="N480" s="509"/>
      <c r="O480" s="509"/>
      <c r="P480" s="509"/>
      <c r="Q480" s="509"/>
      <c r="R480" s="509"/>
      <c r="S480" s="509"/>
      <c r="T480" s="509"/>
      <c r="U480" s="509"/>
      <c r="V480" s="509"/>
      <c r="W480" s="509"/>
      <c r="X480" s="510"/>
      <c r="Y480" s="510"/>
      <c r="Z480" s="510"/>
      <c r="AA480" s="511"/>
      <c r="AB480" s="48"/>
      <c r="AF480" s="48"/>
      <c r="AG480" s="48"/>
      <c r="AJ480" s="48"/>
      <c r="AK480" s="48"/>
    </row>
    <row r="481" spans="2:50" ht="15" customHeight="1" x14ac:dyDescent="0.15">
      <c r="B481" s="3200" t="s">
        <v>287</v>
      </c>
      <c r="C481" s="3203" t="s">
        <v>167</v>
      </c>
      <c r="D481" s="1959"/>
      <c r="E481" s="1962" t="s">
        <v>341</v>
      </c>
      <c r="F481" s="2097" t="s">
        <v>166</v>
      </c>
      <c r="G481" s="2098"/>
      <c r="H481" s="3245" t="s">
        <v>165</v>
      </c>
      <c r="I481" s="3246"/>
      <c r="J481" s="3246"/>
      <c r="K481" s="3247"/>
      <c r="L481" s="3245" t="s">
        <v>164</v>
      </c>
      <c r="M481" s="3246"/>
      <c r="N481" s="3246"/>
      <c r="O481" s="3246"/>
      <c r="P481" s="3247"/>
      <c r="Q481" s="3245" t="s">
        <v>163</v>
      </c>
      <c r="R481" s="3246"/>
      <c r="S481" s="3246"/>
      <c r="T481" s="3246"/>
      <c r="U481" s="3247"/>
      <c r="V481" s="3245" t="s">
        <v>249</v>
      </c>
      <c r="W481" s="3246"/>
      <c r="X481" s="3246"/>
      <c r="Y481" s="3246"/>
      <c r="Z481" s="3247"/>
      <c r="AA481" s="3245" t="s">
        <v>250</v>
      </c>
      <c r="AB481" s="3246"/>
      <c r="AC481" s="3246"/>
      <c r="AD481" s="3246"/>
      <c r="AE481" s="3247"/>
      <c r="AF481" s="3245" t="s">
        <v>251</v>
      </c>
      <c r="AG481" s="3246"/>
      <c r="AH481" s="3246"/>
      <c r="AI481" s="3246"/>
      <c r="AJ481" s="3248" t="s">
        <v>438</v>
      </c>
      <c r="AK481" s="3249"/>
      <c r="AL481" s="3249"/>
      <c r="AM481" s="3249"/>
      <c r="AN481" s="3249"/>
      <c r="AO481" s="3250"/>
      <c r="AP481" s="3248" t="s">
        <v>162</v>
      </c>
      <c r="AQ481" s="3249"/>
      <c r="AR481" s="3249"/>
      <c r="AS481" s="3249"/>
      <c r="AT481" s="3250"/>
      <c r="AU481" s="117"/>
      <c r="AW481" s="501"/>
      <c r="AX481" s="501"/>
    </row>
    <row r="482" spans="2:50" ht="26.25" customHeight="1" x14ac:dyDescent="0.15">
      <c r="B482" s="3201"/>
      <c r="C482" s="3204"/>
      <c r="D482" s="1960"/>
      <c r="E482" s="1963"/>
      <c r="F482" s="2099"/>
      <c r="G482" s="1972"/>
      <c r="H482" s="3251" t="str">
        <f>$H$9</f>
        <v/>
      </c>
      <c r="I482" s="3252"/>
      <c r="J482" s="3252"/>
      <c r="K482" s="3253"/>
      <c r="L482" s="3254" t="str">
        <f>$L$9</f>
        <v/>
      </c>
      <c r="M482" s="3255"/>
      <c r="N482" s="3255"/>
      <c r="O482" s="3255"/>
      <c r="P482" s="3256"/>
      <c r="Q482" s="3254" t="str">
        <f>$Q$9</f>
        <v/>
      </c>
      <c r="R482" s="3255"/>
      <c r="S482" s="3255"/>
      <c r="T482" s="3255"/>
      <c r="U482" s="3256"/>
      <c r="V482" s="3254" t="str">
        <f>$V$9</f>
        <v/>
      </c>
      <c r="W482" s="3255"/>
      <c r="X482" s="3255"/>
      <c r="Y482" s="3255"/>
      <c r="Z482" s="3256"/>
      <c r="AA482" s="3254" t="str">
        <f>$AA$9</f>
        <v/>
      </c>
      <c r="AB482" s="3255"/>
      <c r="AC482" s="3255"/>
      <c r="AD482" s="3255"/>
      <c r="AE482" s="3256"/>
      <c r="AF482" s="3254" t="str">
        <f>$AF$9</f>
        <v/>
      </c>
      <c r="AG482" s="3255"/>
      <c r="AH482" s="3255"/>
      <c r="AI482" s="3255"/>
      <c r="AJ482" s="3257" t="s">
        <v>441</v>
      </c>
      <c r="AK482" s="3258"/>
      <c r="AL482" s="3258"/>
      <c r="AM482" s="3258"/>
      <c r="AN482" s="3258"/>
      <c r="AO482" s="3259"/>
      <c r="AP482" s="3263" t="s">
        <v>442</v>
      </c>
      <c r="AQ482" s="3264"/>
      <c r="AR482" s="3264"/>
      <c r="AS482" s="3264"/>
      <c r="AT482" s="3265"/>
      <c r="AU482" s="116"/>
    </row>
    <row r="483" spans="2:50" ht="16.5" customHeight="1" x14ac:dyDescent="0.15">
      <c r="B483" s="3201"/>
      <c r="C483" s="3204"/>
      <c r="D483" s="1960"/>
      <c r="E483" s="1963"/>
      <c r="F483" s="3266" t="s">
        <v>78</v>
      </c>
      <c r="G483" s="3206" t="s">
        <v>79</v>
      </c>
      <c r="H483" s="1974" t="s">
        <v>176</v>
      </c>
      <c r="I483" s="3208"/>
      <c r="J483" s="3210" t="s">
        <v>161</v>
      </c>
      <c r="K483" s="3211"/>
      <c r="L483" s="1974" t="s">
        <v>176</v>
      </c>
      <c r="M483" s="3208"/>
      <c r="N483" s="3210" t="s">
        <v>160</v>
      </c>
      <c r="O483" s="3213"/>
      <c r="P483" s="3211"/>
      <c r="Q483" s="1974" t="s">
        <v>176</v>
      </c>
      <c r="R483" s="3208"/>
      <c r="S483" s="3210" t="s">
        <v>160</v>
      </c>
      <c r="T483" s="3213"/>
      <c r="U483" s="3211"/>
      <c r="V483" s="1974" t="s">
        <v>176</v>
      </c>
      <c r="W483" s="3208"/>
      <c r="X483" s="3210" t="s">
        <v>160</v>
      </c>
      <c r="Y483" s="3213"/>
      <c r="Z483" s="3211"/>
      <c r="AA483" s="1974" t="s">
        <v>176</v>
      </c>
      <c r="AB483" s="3208"/>
      <c r="AC483" s="3210" t="s">
        <v>160</v>
      </c>
      <c r="AD483" s="3213"/>
      <c r="AE483" s="3211"/>
      <c r="AF483" s="1974" t="s">
        <v>176</v>
      </c>
      <c r="AG483" s="3208"/>
      <c r="AH483" s="3210" t="s">
        <v>160</v>
      </c>
      <c r="AI483" s="3213"/>
      <c r="AJ483" s="3257"/>
      <c r="AK483" s="3258"/>
      <c r="AL483" s="3258"/>
      <c r="AM483" s="3258"/>
      <c r="AN483" s="3258"/>
      <c r="AO483" s="3259"/>
      <c r="AP483" s="3257"/>
      <c r="AQ483" s="3258"/>
      <c r="AR483" s="3258"/>
      <c r="AS483" s="3258"/>
      <c r="AT483" s="3259"/>
      <c r="AU483" s="115"/>
    </row>
    <row r="484" spans="2:50" ht="19.5" customHeight="1" thickBot="1" x14ac:dyDescent="0.2">
      <c r="B484" s="3202"/>
      <c r="C484" s="3205"/>
      <c r="D484" s="1961"/>
      <c r="E484" s="1964"/>
      <c r="F484" s="3267"/>
      <c r="G484" s="3207"/>
      <c r="H484" s="1978"/>
      <c r="I484" s="3209"/>
      <c r="J484" s="523" t="s">
        <v>153</v>
      </c>
      <c r="K484" s="522" t="s">
        <v>280</v>
      </c>
      <c r="L484" s="1978"/>
      <c r="M484" s="3212"/>
      <c r="N484" s="523" t="s">
        <v>154</v>
      </c>
      <c r="O484" s="523" t="s">
        <v>153</v>
      </c>
      <c r="P484" s="522" t="s">
        <v>280</v>
      </c>
      <c r="Q484" s="1978"/>
      <c r="R484" s="3209"/>
      <c r="S484" s="523" t="s">
        <v>154</v>
      </c>
      <c r="T484" s="523" t="s">
        <v>153</v>
      </c>
      <c r="U484" s="522" t="s">
        <v>280</v>
      </c>
      <c r="V484" s="1978"/>
      <c r="W484" s="3209"/>
      <c r="X484" s="523" t="s">
        <v>154</v>
      </c>
      <c r="Y484" s="523" t="s">
        <v>153</v>
      </c>
      <c r="Z484" s="522" t="s">
        <v>280</v>
      </c>
      <c r="AA484" s="1978"/>
      <c r="AB484" s="3209"/>
      <c r="AC484" s="523" t="s">
        <v>154</v>
      </c>
      <c r="AD484" s="523" t="s">
        <v>153</v>
      </c>
      <c r="AE484" s="522" t="s">
        <v>280</v>
      </c>
      <c r="AF484" s="1978"/>
      <c r="AG484" s="3209"/>
      <c r="AH484" s="523" t="s">
        <v>154</v>
      </c>
      <c r="AI484" s="523" t="s">
        <v>153</v>
      </c>
      <c r="AJ484" s="3260"/>
      <c r="AK484" s="3261"/>
      <c r="AL484" s="3261"/>
      <c r="AM484" s="3261"/>
      <c r="AN484" s="3261"/>
      <c r="AO484" s="3262"/>
      <c r="AP484" s="3260"/>
      <c r="AQ484" s="3261"/>
      <c r="AR484" s="3261"/>
      <c r="AS484" s="3261"/>
      <c r="AT484" s="3262"/>
      <c r="AU484" s="114"/>
    </row>
    <row r="485" spans="2:50" ht="15" customHeight="1" x14ac:dyDescent="0.15">
      <c r="B485" s="3214" t="s">
        <v>159</v>
      </c>
      <c r="C485" s="3216" t="s">
        <v>158</v>
      </c>
      <c r="D485" s="3217"/>
      <c r="E485" s="3220" t="s">
        <v>157</v>
      </c>
      <c r="F485" s="3222" t="s">
        <v>98</v>
      </c>
      <c r="G485" s="3224"/>
      <c r="H485" s="3190" t="s">
        <v>155</v>
      </c>
      <c r="I485" s="3191"/>
      <c r="J485" s="3194" t="s">
        <v>98</v>
      </c>
      <c r="K485" s="3188" t="s">
        <v>98</v>
      </c>
      <c r="L485" s="3190" t="s">
        <v>155</v>
      </c>
      <c r="M485" s="3226"/>
      <c r="N485" s="3194" t="s">
        <v>98</v>
      </c>
      <c r="O485" s="3194" t="s">
        <v>98</v>
      </c>
      <c r="P485" s="3188" t="s">
        <v>98</v>
      </c>
      <c r="Q485" s="2087" t="s">
        <v>414</v>
      </c>
      <c r="R485" s="3196"/>
      <c r="S485" s="3194" t="s">
        <v>98</v>
      </c>
      <c r="T485" s="3198"/>
      <c r="U485" s="3228"/>
      <c r="V485" s="3190"/>
      <c r="W485" s="3191"/>
      <c r="X485" s="3194"/>
      <c r="Y485" s="3194"/>
      <c r="Z485" s="3188"/>
      <c r="AA485" s="3190"/>
      <c r="AB485" s="3191"/>
      <c r="AC485" s="3194"/>
      <c r="AD485" s="3194"/>
      <c r="AE485" s="3188"/>
      <c r="AF485" s="2087"/>
      <c r="AG485" s="3196"/>
      <c r="AH485" s="3194"/>
      <c r="AI485" s="3198"/>
      <c r="AJ485" s="2032" t="s">
        <v>433</v>
      </c>
      <c r="AK485" s="2033"/>
      <c r="AL485" s="2033"/>
      <c r="AM485" s="2033"/>
      <c r="AN485" s="2033"/>
      <c r="AO485" s="2034"/>
      <c r="AP485" s="2026" t="s">
        <v>342</v>
      </c>
      <c r="AQ485" s="2027"/>
      <c r="AR485" s="2027"/>
      <c r="AS485" s="2027"/>
      <c r="AT485" s="2028"/>
      <c r="AU485" s="113"/>
    </row>
    <row r="486" spans="2:50" ht="15" customHeight="1" x14ac:dyDescent="0.15">
      <c r="B486" s="3215"/>
      <c r="C486" s="3218"/>
      <c r="D486" s="3219"/>
      <c r="E486" s="3221"/>
      <c r="F486" s="3223"/>
      <c r="G486" s="3225"/>
      <c r="H486" s="3192"/>
      <c r="I486" s="3193"/>
      <c r="J486" s="3195"/>
      <c r="K486" s="3189"/>
      <c r="L486" s="3192"/>
      <c r="M486" s="3227"/>
      <c r="N486" s="3195"/>
      <c r="O486" s="3195"/>
      <c r="P486" s="3189"/>
      <c r="Q486" s="2089"/>
      <c r="R486" s="3197"/>
      <c r="S486" s="3195"/>
      <c r="T486" s="3199"/>
      <c r="U486" s="3229"/>
      <c r="V486" s="3192"/>
      <c r="W486" s="3193"/>
      <c r="X486" s="3195"/>
      <c r="Y486" s="3195"/>
      <c r="Z486" s="3189"/>
      <c r="AA486" s="3192"/>
      <c r="AB486" s="3193"/>
      <c r="AC486" s="3195"/>
      <c r="AD486" s="3195"/>
      <c r="AE486" s="3189"/>
      <c r="AF486" s="2089"/>
      <c r="AG486" s="3197"/>
      <c r="AH486" s="3195"/>
      <c r="AI486" s="3199"/>
      <c r="AJ486" s="2035" t="s">
        <v>434</v>
      </c>
      <c r="AK486" s="2036"/>
      <c r="AL486" s="2036"/>
      <c r="AM486" s="2036"/>
      <c r="AN486" s="2036"/>
      <c r="AO486" s="2037"/>
      <c r="AP486" s="2029"/>
      <c r="AQ486" s="2030"/>
      <c r="AR486" s="2030"/>
      <c r="AS486" s="2030"/>
      <c r="AT486" s="2031"/>
      <c r="AU486" s="113"/>
    </row>
    <row r="487" spans="2:50" ht="15" customHeight="1" x14ac:dyDescent="0.15">
      <c r="B487" s="3149">
        <v>166</v>
      </c>
      <c r="C487" s="3151">
        <f>名簿入力!D345</f>
        <v>0</v>
      </c>
      <c r="D487" s="3152"/>
      <c r="E487" s="3155">
        <f>名簿入力!E345</f>
        <v>0</v>
      </c>
      <c r="F487" s="3157">
        <f>名簿入力!G345</f>
        <v>0</v>
      </c>
      <c r="G487" s="3159">
        <f>名簿入力!H345</f>
        <v>0</v>
      </c>
      <c r="H487" s="3161">
        <f>名簿入力!I345</f>
        <v>0</v>
      </c>
      <c r="I487" s="3162"/>
      <c r="J487" s="3165">
        <f>名簿入力!K345</f>
        <v>0</v>
      </c>
      <c r="K487" s="3167">
        <f>名簿入力!L345</f>
        <v>0</v>
      </c>
      <c r="L487" s="3161">
        <f>名簿入力!M345</f>
        <v>0</v>
      </c>
      <c r="M487" s="3169"/>
      <c r="N487" s="3165">
        <f>名簿入力!O345</f>
        <v>0</v>
      </c>
      <c r="O487" s="3165">
        <f>名簿入力!P345</f>
        <v>0</v>
      </c>
      <c r="P487" s="3167">
        <f>名簿入力!Q345</f>
        <v>0</v>
      </c>
      <c r="Q487" s="3161">
        <f>名簿入力!R345</f>
        <v>0</v>
      </c>
      <c r="R487" s="3162"/>
      <c r="S487" s="3165">
        <f>名簿入力!T345</f>
        <v>0</v>
      </c>
      <c r="T487" s="3165">
        <f>名簿入力!U345</f>
        <v>0</v>
      </c>
      <c r="U487" s="3167">
        <f>名簿入力!V345</f>
        <v>0</v>
      </c>
      <c r="V487" s="3161">
        <f>名簿入力!W345</f>
        <v>0</v>
      </c>
      <c r="W487" s="3162"/>
      <c r="X487" s="3165">
        <f>名簿入力!Y345</f>
        <v>0</v>
      </c>
      <c r="Y487" s="3165">
        <f>名簿入力!Z345</f>
        <v>0</v>
      </c>
      <c r="Z487" s="3167">
        <f>名簿入力!AA345</f>
        <v>0</v>
      </c>
      <c r="AA487" s="3161">
        <f>名簿入力!AB345</f>
        <v>0</v>
      </c>
      <c r="AB487" s="3162"/>
      <c r="AC487" s="3165">
        <f>名簿入力!AD345</f>
        <v>0</v>
      </c>
      <c r="AD487" s="3165">
        <f>名簿入力!AE345</f>
        <v>0</v>
      </c>
      <c r="AE487" s="3167">
        <f>名簿入力!AF345</f>
        <v>0</v>
      </c>
      <c r="AF487" s="3161">
        <f>名簿入力!AG345</f>
        <v>0</v>
      </c>
      <c r="AG487" s="3162"/>
      <c r="AH487" s="3165">
        <f>名簿入力!AI345</f>
        <v>0</v>
      </c>
      <c r="AI487" s="3165">
        <f>名簿入力!AJ345</f>
        <v>0</v>
      </c>
      <c r="AJ487" s="3175">
        <f>名簿入力!AK345</f>
        <v>0</v>
      </c>
      <c r="AK487" s="3176"/>
      <c r="AL487" s="3176"/>
      <c r="AM487" s="3176"/>
      <c r="AN487" s="3176"/>
      <c r="AO487" s="3177"/>
      <c r="AP487" s="3137">
        <f>名簿入力!AO345</f>
        <v>0</v>
      </c>
      <c r="AQ487" s="3138"/>
      <c r="AR487" s="3138"/>
      <c r="AS487" s="3138"/>
      <c r="AT487" s="3139"/>
      <c r="AU487" s="113"/>
    </row>
    <row r="488" spans="2:50" ht="15" customHeight="1" x14ac:dyDescent="0.15">
      <c r="B488" s="3181"/>
      <c r="C488" s="3182"/>
      <c r="D488" s="3183"/>
      <c r="E488" s="3184"/>
      <c r="F488" s="3185"/>
      <c r="G488" s="3186"/>
      <c r="H488" s="3173"/>
      <c r="I488" s="3174"/>
      <c r="J488" s="3171"/>
      <c r="K488" s="3172"/>
      <c r="L488" s="3173"/>
      <c r="M488" s="3187"/>
      <c r="N488" s="3171"/>
      <c r="O488" s="3171"/>
      <c r="P488" s="3172"/>
      <c r="Q488" s="3173"/>
      <c r="R488" s="3174"/>
      <c r="S488" s="3171"/>
      <c r="T488" s="3171"/>
      <c r="U488" s="3172"/>
      <c r="V488" s="3173"/>
      <c r="W488" s="3174"/>
      <c r="X488" s="3171"/>
      <c r="Y488" s="3171"/>
      <c r="Z488" s="3172"/>
      <c r="AA488" s="3173"/>
      <c r="AB488" s="3174"/>
      <c r="AC488" s="3171"/>
      <c r="AD488" s="3171"/>
      <c r="AE488" s="3172"/>
      <c r="AF488" s="3173"/>
      <c r="AG488" s="3174"/>
      <c r="AH488" s="3171"/>
      <c r="AI488" s="3171"/>
      <c r="AJ488" s="3146">
        <f>名簿入力!AK346</f>
        <v>0</v>
      </c>
      <c r="AK488" s="3147"/>
      <c r="AL488" s="3147"/>
      <c r="AM488" s="3147"/>
      <c r="AN488" s="3147"/>
      <c r="AO488" s="3148"/>
      <c r="AP488" s="3178"/>
      <c r="AQ488" s="3179"/>
      <c r="AR488" s="3179"/>
      <c r="AS488" s="3179"/>
      <c r="AT488" s="3180"/>
      <c r="AU488" s="113"/>
    </row>
    <row r="489" spans="2:50" ht="15" customHeight="1" x14ac:dyDescent="0.15">
      <c r="B489" s="3149">
        <v>167</v>
      </c>
      <c r="C489" s="3151">
        <f>名簿入力!D347</f>
        <v>0</v>
      </c>
      <c r="D489" s="3152"/>
      <c r="E489" s="3155">
        <f>名簿入力!E347</f>
        <v>0</v>
      </c>
      <c r="F489" s="3157">
        <f>名簿入力!G347</f>
        <v>0</v>
      </c>
      <c r="G489" s="3159">
        <f>名簿入力!H347</f>
        <v>0</v>
      </c>
      <c r="H489" s="3161">
        <f>名簿入力!I347</f>
        <v>0</v>
      </c>
      <c r="I489" s="3162"/>
      <c r="J489" s="3165">
        <f>名簿入力!K347</f>
        <v>0</v>
      </c>
      <c r="K489" s="3167">
        <f>名簿入力!L347</f>
        <v>0</v>
      </c>
      <c r="L489" s="3161">
        <f>名簿入力!M347</f>
        <v>0</v>
      </c>
      <c r="M489" s="3169"/>
      <c r="N489" s="3165">
        <f>名簿入力!O347</f>
        <v>0</v>
      </c>
      <c r="O489" s="3165">
        <f>名簿入力!P347</f>
        <v>0</v>
      </c>
      <c r="P489" s="3167">
        <f>名簿入力!Q347</f>
        <v>0</v>
      </c>
      <c r="Q489" s="3161">
        <f>名簿入力!R347</f>
        <v>0</v>
      </c>
      <c r="R489" s="3162"/>
      <c r="S489" s="3165">
        <f>名簿入力!T347</f>
        <v>0</v>
      </c>
      <c r="T489" s="3165">
        <f>名簿入力!U347</f>
        <v>0</v>
      </c>
      <c r="U489" s="3167">
        <f>名簿入力!V347</f>
        <v>0</v>
      </c>
      <c r="V489" s="3161">
        <f>名簿入力!W347</f>
        <v>0</v>
      </c>
      <c r="W489" s="3162"/>
      <c r="X489" s="3165">
        <f>名簿入力!Y347</f>
        <v>0</v>
      </c>
      <c r="Y489" s="3165">
        <f>名簿入力!Z347</f>
        <v>0</v>
      </c>
      <c r="Z489" s="3167">
        <f>名簿入力!AA347</f>
        <v>0</v>
      </c>
      <c r="AA489" s="3161">
        <f>名簿入力!AB347</f>
        <v>0</v>
      </c>
      <c r="AB489" s="3162"/>
      <c r="AC489" s="3165">
        <f>名簿入力!AD347</f>
        <v>0</v>
      </c>
      <c r="AD489" s="3165">
        <f>名簿入力!AE347</f>
        <v>0</v>
      </c>
      <c r="AE489" s="3167">
        <f>名簿入力!AF347</f>
        <v>0</v>
      </c>
      <c r="AF489" s="3161">
        <f>名簿入力!AG347</f>
        <v>0</v>
      </c>
      <c r="AG489" s="3162"/>
      <c r="AH489" s="3165">
        <f>名簿入力!AI347</f>
        <v>0</v>
      </c>
      <c r="AI489" s="3165">
        <f>名簿入力!AJ347</f>
        <v>0</v>
      </c>
      <c r="AJ489" s="3175">
        <f>名簿入力!AK347</f>
        <v>0</v>
      </c>
      <c r="AK489" s="3176"/>
      <c r="AL489" s="3176"/>
      <c r="AM489" s="3176"/>
      <c r="AN489" s="3176"/>
      <c r="AO489" s="3177"/>
      <c r="AP489" s="3137">
        <f>名簿入力!AO347</f>
        <v>0</v>
      </c>
      <c r="AQ489" s="3138"/>
      <c r="AR489" s="3138"/>
      <c r="AS489" s="3138"/>
      <c r="AT489" s="3139"/>
      <c r="AU489" s="113"/>
    </row>
    <row r="490" spans="2:50" ht="15" customHeight="1" x14ac:dyDescent="0.15">
      <c r="B490" s="3181"/>
      <c r="C490" s="3182"/>
      <c r="D490" s="3183"/>
      <c r="E490" s="3184"/>
      <c r="F490" s="3185"/>
      <c r="G490" s="3186"/>
      <c r="H490" s="3173"/>
      <c r="I490" s="3174"/>
      <c r="J490" s="3171"/>
      <c r="K490" s="3172"/>
      <c r="L490" s="3173"/>
      <c r="M490" s="3187"/>
      <c r="N490" s="3171"/>
      <c r="O490" s="3171"/>
      <c r="P490" s="3172"/>
      <c r="Q490" s="3173"/>
      <c r="R490" s="3174"/>
      <c r="S490" s="3171"/>
      <c r="T490" s="3171"/>
      <c r="U490" s="3172"/>
      <c r="V490" s="3173"/>
      <c r="W490" s="3174"/>
      <c r="X490" s="3171"/>
      <c r="Y490" s="3171"/>
      <c r="Z490" s="3172"/>
      <c r="AA490" s="3173"/>
      <c r="AB490" s="3174"/>
      <c r="AC490" s="3171"/>
      <c r="AD490" s="3171"/>
      <c r="AE490" s="3172"/>
      <c r="AF490" s="3173"/>
      <c r="AG490" s="3174"/>
      <c r="AH490" s="3171"/>
      <c r="AI490" s="3171"/>
      <c r="AJ490" s="3146">
        <f>名簿入力!AK348</f>
        <v>0</v>
      </c>
      <c r="AK490" s="3147"/>
      <c r="AL490" s="3147"/>
      <c r="AM490" s="3147"/>
      <c r="AN490" s="3147"/>
      <c r="AO490" s="3148"/>
      <c r="AP490" s="3178"/>
      <c r="AQ490" s="3179"/>
      <c r="AR490" s="3179"/>
      <c r="AS490" s="3179"/>
      <c r="AT490" s="3180"/>
      <c r="AU490" s="113"/>
    </row>
    <row r="491" spans="2:50" ht="15" customHeight="1" x14ac:dyDescent="0.15">
      <c r="B491" s="3149">
        <v>168</v>
      </c>
      <c r="C491" s="3151">
        <f>名簿入力!D349</f>
        <v>0</v>
      </c>
      <c r="D491" s="3152"/>
      <c r="E491" s="3155">
        <f>名簿入力!E349</f>
        <v>0</v>
      </c>
      <c r="F491" s="3157">
        <f>名簿入力!G349</f>
        <v>0</v>
      </c>
      <c r="G491" s="3159">
        <f>名簿入力!H349</f>
        <v>0</v>
      </c>
      <c r="H491" s="3161">
        <f>名簿入力!I349</f>
        <v>0</v>
      </c>
      <c r="I491" s="3162"/>
      <c r="J491" s="3165">
        <f>名簿入力!K349</f>
        <v>0</v>
      </c>
      <c r="K491" s="3167">
        <f>名簿入力!L349</f>
        <v>0</v>
      </c>
      <c r="L491" s="3161">
        <f>名簿入力!M349</f>
        <v>0</v>
      </c>
      <c r="M491" s="3169"/>
      <c r="N491" s="3165">
        <f>名簿入力!O349</f>
        <v>0</v>
      </c>
      <c r="O491" s="3165">
        <f>名簿入力!P349</f>
        <v>0</v>
      </c>
      <c r="P491" s="3167">
        <f>名簿入力!Q349</f>
        <v>0</v>
      </c>
      <c r="Q491" s="3161">
        <f>名簿入力!R349</f>
        <v>0</v>
      </c>
      <c r="R491" s="3162"/>
      <c r="S491" s="3165">
        <f>名簿入力!T349</f>
        <v>0</v>
      </c>
      <c r="T491" s="3165">
        <f>名簿入力!U349</f>
        <v>0</v>
      </c>
      <c r="U491" s="3167">
        <f>名簿入力!V349</f>
        <v>0</v>
      </c>
      <c r="V491" s="3161">
        <f>名簿入力!W349</f>
        <v>0</v>
      </c>
      <c r="W491" s="3162"/>
      <c r="X491" s="3165">
        <f>名簿入力!Y349</f>
        <v>0</v>
      </c>
      <c r="Y491" s="3165">
        <f>名簿入力!Z349</f>
        <v>0</v>
      </c>
      <c r="Z491" s="3167">
        <f>名簿入力!AA349</f>
        <v>0</v>
      </c>
      <c r="AA491" s="3161">
        <f>名簿入力!AB349</f>
        <v>0</v>
      </c>
      <c r="AB491" s="3162"/>
      <c r="AC491" s="3165">
        <f>名簿入力!AD349</f>
        <v>0</v>
      </c>
      <c r="AD491" s="3165">
        <f>名簿入力!AE349</f>
        <v>0</v>
      </c>
      <c r="AE491" s="3167">
        <f>名簿入力!AF349</f>
        <v>0</v>
      </c>
      <c r="AF491" s="3161">
        <f>名簿入力!AG349</f>
        <v>0</v>
      </c>
      <c r="AG491" s="3162"/>
      <c r="AH491" s="3165">
        <f>名簿入力!AI349</f>
        <v>0</v>
      </c>
      <c r="AI491" s="3165">
        <f>名簿入力!AJ349</f>
        <v>0</v>
      </c>
      <c r="AJ491" s="3175">
        <f>名簿入力!AK349</f>
        <v>0</v>
      </c>
      <c r="AK491" s="3176"/>
      <c r="AL491" s="3176"/>
      <c r="AM491" s="3176"/>
      <c r="AN491" s="3176"/>
      <c r="AO491" s="3177"/>
      <c r="AP491" s="3137">
        <f>名簿入力!AO349</f>
        <v>0</v>
      </c>
      <c r="AQ491" s="3138"/>
      <c r="AR491" s="3138"/>
      <c r="AS491" s="3138"/>
      <c r="AT491" s="3139"/>
      <c r="AU491" s="113"/>
    </row>
    <row r="492" spans="2:50" ht="15" customHeight="1" x14ac:dyDescent="0.15">
      <c r="B492" s="3181"/>
      <c r="C492" s="3182"/>
      <c r="D492" s="3183"/>
      <c r="E492" s="3184"/>
      <c r="F492" s="3185"/>
      <c r="G492" s="3186"/>
      <c r="H492" s="3173"/>
      <c r="I492" s="3174"/>
      <c r="J492" s="3171"/>
      <c r="K492" s="3172"/>
      <c r="L492" s="3173"/>
      <c r="M492" s="3187"/>
      <c r="N492" s="3171"/>
      <c r="O492" s="3171"/>
      <c r="P492" s="3172"/>
      <c r="Q492" s="3173"/>
      <c r="R492" s="3174"/>
      <c r="S492" s="3171"/>
      <c r="T492" s="3171"/>
      <c r="U492" s="3172"/>
      <c r="V492" s="3173"/>
      <c r="W492" s="3174"/>
      <c r="X492" s="3171"/>
      <c r="Y492" s="3171"/>
      <c r="Z492" s="3172"/>
      <c r="AA492" s="3173"/>
      <c r="AB492" s="3174"/>
      <c r="AC492" s="3171"/>
      <c r="AD492" s="3171"/>
      <c r="AE492" s="3172"/>
      <c r="AF492" s="3173"/>
      <c r="AG492" s="3174"/>
      <c r="AH492" s="3171"/>
      <c r="AI492" s="3171"/>
      <c r="AJ492" s="3146">
        <f>名簿入力!AK350</f>
        <v>0</v>
      </c>
      <c r="AK492" s="3147"/>
      <c r="AL492" s="3147"/>
      <c r="AM492" s="3147"/>
      <c r="AN492" s="3147"/>
      <c r="AO492" s="3148"/>
      <c r="AP492" s="3178"/>
      <c r="AQ492" s="3179"/>
      <c r="AR492" s="3179"/>
      <c r="AS492" s="3179"/>
      <c r="AT492" s="3180"/>
      <c r="AU492" s="113"/>
    </row>
    <row r="493" spans="2:50" ht="15" customHeight="1" x14ac:dyDescent="0.15">
      <c r="B493" s="3149">
        <v>169</v>
      </c>
      <c r="C493" s="3151">
        <f>名簿入力!D351</f>
        <v>0</v>
      </c>
      <c r="D493" s="3152"/>
      <c r="E493" s="3155">
        <f>名簿入力!E351</f>
        <v>0</v>
      </c>
      <c r="F493" s="3157">
        <f>名簿入力!G351</f>
        <v>0</v>
      </c>
      <c r="G493" s="3159">
        <f>名簿入力!H351</f>
        <v>0</v>
      </c>
      <c r="H493" s="3161">
        <f>名簿入力!I351</f>
        <v>0</v>
      </c>
      <c r="I493" s="3162"/>
      <c r="J493" s="3165">
        <f>名簿入力!K351</f>
        <v>0</v>
      </c>
      <c r="K493" s="3167">
        <f>名簿入力!L351</f>
        <v>0</v>
      </c>
      <c r="L493" s="3161">
        <f>名簿入力!M351</f>
        <v>0</v>
      </c>
      <c r="M493" s="3169"/>
      <c r="N493" s="3165">
        <f>名簿入力!O351</f>
        <v>0</v>
      </c>
      <c r="O493" s="3165">
        <f>名簿入力!P351</f>
        <v>0</v>
      </c>
      <c r="P493" s="3167">
        <f>名簿入力!Q351</f>
        <v>0</v>
      </c>
      <c r="Q493" s="3161">
        <f>名簿入力!R351</f>
        <v>0</v>
      </c>
      <c r="R493" s="3162"/>
      <c r="S493" s="3165">
        <f>名簿入力!T351</f>
        <v>0</v>
      </c>
      <c r="T493" s="3165">
        <f>名簿入力!U351</f>
        <v>0</v>
      </c>
      <c r="U493" s="3167">
        <f>名簿入力!V351</f>
        <v>0</v>
      </c>
      <c r="V493" s="3161">
        <f>名簿入力!W351</f>
        <v>0</v>
      </c>
      <c r="W493" s="3162"/>
      <c r="X493" s="3165">
        <f>名簿入力!Y351</f>
        <v>0</v>
      </c>
      <c r="Y493" s="3165">
        <f>名簿入力!Z351</f>
        <v>0</v>
      </c>
      <c r="Z493" s="3167">
        <f>名簿入力!AA351</f>
        <v>0</v>
      </c>
      <c r="AA493" s="3161">
        <f>名簿入力!AB351</f>
        <v>0</v>
      </c>
      <c r="AB493" s="3162"/>
      <c r="AC493" s="3165">
        <f>名簿入力!AD351</f>
        <v>0</v>
      </c>
      <c r="AD493" s="3165">
        <f>名簿入力!AE351</f>
        <v>0</v>
      </c>
      <c r="AE493" s="3167">
        <f>名簿入力!AF351</f>
        <v>0</v>
      </c>
      <c r="AF493" s="3161">
        <f>名簿入力!AG351</f>
        <v>0</v>
      </c>
      <c r="AG493" s="3162"/>
      <c r="AH493" s="3165">
        <f>名簿入力!AI351</f>
        <v>0</v>
      </c>
      <c r="AI493" s="3165">
        <f>名簿入力!AJ351</f>
        <v>0</v>
      </c>
      <c r="AJ493" s="3175">
        <f>名簿入力!AK351</f>
        <v>0</v>
      </c>
      <c r="AK493" s="3176"/>
      <c r="AL493" s="3176"/>
      <c r="AM493" s="3176"/>
      <c r="AN493" s="3176"/>
      <c r="AO493" s="3177"/>
      <c r="AP493" s="3137">
        <f>名簿入力!AO351</f>
        <v>0</v>
      </c>
      <c r="AQ493" s="3138"/>
      <c r="AR493" s="3138"/>
      <c r="AS493" s="3138"/>
      <c r="AT493" s="3139"/>
      <c r="AU493" s="113"/>
    </row>
    <row r="494" spans="2:50" ht="15" customHeight="1" x14ac:dyDescent="0.15">
      <c r="B494" s="3181"/>
      <c r="C494" s="3182"/>
      <c r="D494" s="3183"/>
      <c r="E494" s="3184"/>
      <c r="F494" s="3185"/>
      <c r="G494" s="3186"/>
      <c r="H494" s="3173"/>
      <c r="I494" s="3174"/>
      <c r="J494" s="3171"/>
      <c r="K494" s="3172"/>
      <c r="L494" s="3173"/>
      <c r="M494" s="3187"/>
      <c r="N494" s="3171"/>
      <c r="O494" s="3171"/>
      <c r="P494" s="3172"/>
      <c r="Q494" s="3173"/>
      <c r="R494" s="3174"/>
      <c r="S494" s="3171"/>
      <c r="T494" s="3171"/>
      <c r="U494" s="3172"/>
      <c r="V494" s="3173"/>
      <c r="W494" s="3174"/>
      <c r="X494" s="3171"/>
      <c r="Y494" s="3171"/>
      <c r="Z494" s="3172"/>
      <c r="AA494" s="3173"/>
      <c r="AB494" s="3174"/>
      <c r="AC494" s="3171"/>
      <c r="AD494" s="3171"/>
      <c r="AE494" s="3172"/>
      <c r="AF494" s="3173"/>
      <c r="AG494" s="3174"/>
      <c r="AH494" s="3171"/>
      <c r="AI494" s="3171"/>
      <c r="AJ494" s="3146">
        <f>名簿入力!AK352</f>
        <v>0</v>
      </c>
      <c r="AK494" s="3147"/>
      <c r="AL494" s="3147"/>
      <c r="AM494" s="3147"/>
      <c r="AN494" s="3147"/>
      <c r="AO494" s="3148"/>
      <c r="AP494" s="3178"/>
      <c r="AQ494" s="3179"/>
      <c r="AR494" s="3179"/>
      <c r="AS494" s="3179"/>
      <c r="AT494" s="3180"/>
      <c r="AU494" s="113"/>
    </row>
    <row r="495" spans="2:50" ht="15" customHeight="1" x14ac:dyDescent="0.15">
      <c r="B495" s="3149">
        <v>170</v>
      </c>
      <c r="C495" s="3151">
        <f>名簿入力!D353</f>
        <v>0</v>
      </c>
      <c r="D495" s="3152"/>
      <c r="E495" s="3155">
        <f>名簿入力!E353</f>
        <v>0</v>
      </c>
      <c r="F495" s="3157">
        <f>名簿入力!G353</f>
        <v>0</v>
      </c>
      <c r="G495" s="3159">
        <f>名簿入力!H353</f>
        <v>0</v>
      </c>
      <c r="H495" s="3161">
        <f>名簿入力!I353</f>
        <v>0</v>
      </c>
      <c r="I495" s="3162"/>
      <c r="J495" s="3165">
        <f>名簿入力!K353</f>
        <v>0</v>
      </c>
      <c r="K495" s="3167">
        <f>名簿入力!L353</f>
        <v>0</v>
      </c>
      <c r="L495" s="3161">
        <f>名簿入力!M353</f>
        <v>0</v>
      </c>
      <c r="M495" s="3169"/>
      <c r="N495" s="3165">
        <f>名簿入力!O353</f>
        <v>0</v>
      </c>
      <c r="O495" s="3165">
        <f>名簿入力!P353</f>
        <v>0</v>
      </c>
      <c r="P495" s="3167">
        <f>名簿入力!Q353</f>
        <v>0</v>
      </c>
      <c r="Q495" s="3161">
        <f>名簿入力!R353</f>
        <v>0</v>
      </c>
      <c r="R495" s="3162"/>
      <c r="S495" s="3165">
        <f>名簿入力!T353</f>
        <v>0</v>
      </c>
      <c r="T495" s="3165">
        <f>名簿入力!U353</f>
        <v>0</v>
      </c>
      <c r="U495" s="3167">
        <f>名簿入力!V353</f>
        <v>0</v>
      </c>
      <c r="V495" s="3161">
        <f>名簿入力!W353</f>
        <v>0</v>
      </c>
      <c r="W495" s="3162"/>
      <c r="X495" s="3165">
        <f>名簿入力!Y353</f>
        <v>0</v>
      </c>
      <c r="Y495" s="3165">
        <f>名簿入力!Z353</f>
        <v>0</v>
      </c>
      <c r="Z495" s="3167">
        <f>名簿入力!AA353</f>
        <v>0</v>
      </c>
      <c r="AA495" s="3161">
        <f>名簿入力!AB353</f>
        <v>0</v>
      </c>
      <c r="AB495" s="3162"/>
      <c r="AC495" s="3165">
        <f>名簿入力!AD353</f>
        <v>0</v>
      </c>
      <c r="AD495" s="3165">
        <f>名簿入力!AE353</f>
        <v>0</v>
      </c>
      <c r="AE495" s="3167">
        <f>名簿入力!AF353</f>
        <v>0</v>
      </c>
      <c r="AF495" s="3161">
        <f>名簿入力!AG353</f>
        <v>0</v>
      </c>
      <c r="AG495" s="3162"/>
      <c r="AH495" s="3165">
        <f>名簿入力!AI353</f>
        <v>0</v>
      </c>
      <c r="AI495" s="3165">
        <f>名簿入力!AJ353</f>
        <v>0</v>
      </c>
      <c r="AJ495" s="3175">
        <f>名簿入力!AK353</f>
        <v>0</v>
      </c>
      <c r="AK495" s="3176"/>
      <c r="AL495" s="3176"/>
      <c r="AM495" s="3176"/>
      <c r="AN495" s="3176"/>
      <c r="AO495" s="3177"/>
      <c r="AP495" s="3137">
        <f>名簿入力!AO353</f>
        <v>0</v>
      </c>
      <c r="AQ495" s="3138"/>
      <c r="AR495" s="3138"/>
      <c r="AS495" s="3138"/>
      <c r="AT495" s="3139"/>
      <c r="AU495" s="113"/>
    </row>
    <row r="496" spans="2:50" ht="15" customHeight="1" x14ac:dyDescent="0.15">
      <c r="B496" s="3181"/>
      <c r="C496" s="3182"/>
      <c r="D496" s="3183"/>
      <c r="E496" s="3184"/>
      <c r="F496" s="3185"/>
      <c r="G496" s="3186"/>
      <c r="H496" s="3173"/>
      <c r="I496" s="3174"/>
      <c r="J496" s="3171"/>
      <c r="K496" s="3172"/>
      <c r="L496" s="3173"/>
      <c r="M496" s="3187"/>
      <c r="N496" s="3171"/>
      <c r="O496" s="3171"/>
      <c r="P496" s="3172"/>
      <c r="Q496" s="3173"/>
      <c r="R496" s="3174"/>
      <c r="S496" s="3171"/>
      <c r="T496" s="3171"/>
      <c r="U496" s="3172"/>
      <c r="V496" s="3173"/>
      <c r="W496" s="3174"/>
      <c r="X496" s="3171"/>
      <c r="Y496" s="3171"/>
      <c r="Z496" s="3172"/>
      <c r="AA496" s="3173"/>
      <c r="AB496" s="3174"/>
      <c r="AC496" s="3171"/>
      <c r="AD496" s="3171"/>
      <c r="AE496" s="3172"/>
      <c r="AF496" s="3173"/>
      <c r="AG496" s="3174"/>
      <c r="AH496" s="3171"/>
      <c r="AI496" s="3171"/>
      <c r="AJ496" s="3146">
        <f>名簿入力!AK354</f>
        <v>0</v>
      </c>
      <c r="AK496" s="3147"/>
      <c r="AL496" s="3147"/>
      <c r="AM496" s="3147"/>
      <c r="AN496" s="3147"/>
      <c r="AO496" s="3148"/>
      <c r="AP496" s="3178"/>
      <c r="AQ496" s="3179"/>
      <c r="AR496" s="3179"/>
      <c r="AS496" s="3179"/>
      <c r="AT496" s="3180"/>
      <c r="AU496" s="113"/>
    </row>
    <row r="497" spans="2:47" ht="15" customHeight="1" x14ac:dyDescent="0.15">
      <c r="B497" s="3149">
        <v>171</v>
      </c>
      <c r="C497" s="3151">
        <f>名簿入力!D355</f>
        <v>0</v>
      </c>
      <c r="D497" s="3152"/>
      <c r="E497" s="3155">
        <f>名簿入力!E355</f>
        <v>0</v>
      </c>
      <c r="F497" s="3157">
        <f>名簿入力!G355</f>
        <v>0</v>
      </c>
      <c r="G497" s="3159">
        <f>名簿入力!H355</f>
        <v>0</v>
      </c>
      <c r="H497" s="3161">
        <f>名簿入力!I355</f>
        <v>0</v>
      </c>
      <c r="I497" s="3162"/>
      <c r="J497" s="3165">
        <f>名簿入力!K355</f>
        <v>0</v>
      </c>
      <c r="K497" s="3167">
        <f>名簿入力!L355</f>
        <v>0</v>
      </c>
      <c r="L497" s="3161">
        <f>名簿入力!M355</f>
        <v>0</v>
      </c>
      <c r="M497" s="3169"/>
      <c r="N497" s="3165">
        <f>名簿入力!O355</f>
        <v>0</v>
      </c>
      <c r="O497" s="3165">
        <f>名簿入力!P355</f>
        <v>0</v>
      </c>
      <c r="P497" s="3167">
        <f>名簿入力!Q355</f>
        <v>0</v>
      </c>
      <c r="Q497" s="3161">
        <f>名簿入力!R355</f>
        <v>0</v>
      </c>
      <c r="R497" s="3162"/>
      <c r="S497" s="3165">
        <f>名簿入力!T355</f>
        <v>0</v>
      </c>
      <c r="T497" s="3165">
        <f>名簿入力!U355</f>
        <v>0</v>
      </c>
      <c r="U497" s="3167">
        <f>名簿入力!V355</f>
        <v>0</v>
      </c>
      <c r="V497" s="3161">
        <f>名簿入力!W355</f>
        <v>0</v>
      </c>
      <c r="W497" s="3162"/>
      <c r="X497" s="3165">
        <f>名簿入力!Y355</f>
        <v>0</v>
      </c>
      <c r="Y497" s="3165">
        <f>名簿入力!Z355</f>
        <v>0</v>
      </c>
      <c r="Z497" s="3167">
        <f>名簿入力!AA355</f>
        <v>0</v>
      </c>
      <c r="AA497" s="3161">
        <f>名簿入力!AB355</f>
        <v>0</v>
      </c>
      <c r="AB497" s="3162"/>
      <c r="AC497" s="3165">
        <f>名簿入力!AD355</f>
        <v>0</v>
      </c>
      <c r="AD497" s="3165">
        <f>名簿入力!AE355</f>
        <v>0</v>
      </c>
      <c r="AE497" s="3167">
        <f>名簿入力!AF355</f>
        <v>0</v>
      </c>
      <c r="AF497" s="3161">
        <f>名簿入力!AG355</f>
        <v>0</v>
      </c>
      <c r="AG497" s="3162"/>
      <c r="AH497" s="3165">
        <f>名簿入力!AI355</f>
        <v>0</v>
      </c>
      <c r="AI497" s="3165">
        <f>名簿入力!AJ355</f>
        <v>0</v>
      </c>
      <c r="AJ497" s="3175">
        <f>名簿入力!AK355</f>
        <v>0</v>
      </c>
      <c r="AK497" s="3176"/>
      <c r="AL497" s="3176"/>
      <c r="AM497" s="3176"/>
      <c r="AN497" s="3176"/>
      <c r="AO497" s="3177"/>
      <c r="AP497" s="3137">
        <f>名簿入力!AO355</f>
        <v>0</v>
      </c>
      <c r="AQ497" s="3138"/>
      <c r="AR497" s="3138"/>
      <c r="AS497" s="3138"/>
      <c r="AT497" s="3139"/>
      <c r="AU497" s="113"/>
    </row>
    <row r="498" spans="2:47" ht="15" customHeight="1" x14ac:dyDescent="0.15">
      <c r="B498" s="3181"/>
      <c r="C498" s="3182"/>
      <c r="D498" s="3183"/>
      <c r="E498" s="3184"/>
      <c r="F498" s="3185"/>
      <c r="G498" s="3186"/>
      <c r="H498" s="3173"/>
      <c r="I498" s="3174"/>
      <c r="J498" s="3171"/>
      <c r="K498" s="3172"/>
      <c r="L498" s="3173"/>
      <c r="M498" s="3187"/>
      <c r="N498" s="3171"/>
      <c r="O498" s="3171"/>
      <c r="P498" s="3172"/>
      <c r="Q498" s="3173"/>
      <c r="R498" s="3174"/>
      <c r="S498" s="3171"/>
      <c r="T498" s="3171"/>
      <c r="U498" s="3172"/>
      <c r="V498" s="3173"/>
      <c r="W498" s="3174"/>
      <c r="X498" s="3171"/>
      <c r="Y498" s="3171"/>
      <c r="Z498" s="3172"/>
      <c r="AA498" s="3173"/>
      <c r="AB498" s="3174"/>
      <c r="AC498" s="3171"/>
      <c r="AD498" s="3171"/>
      <c r="AE498" s="3172"/>
      <c r="AF498" s="3173"/>
      <c r="AG498" s="3174"/>
      <c r="AH498" s="3171"/>
      <c r="AI498" s="3171"/>
      <c r="AJ498" s="3146">
        <f>名簿入力!AK356</f>
        <v>0</v>
      </c>
      <c r="AK498" s="3147"/>
      <c r="AL498" s="3147"/>
      <c r="AM498" s="3147"/>
      <c r="AN498" s="3147"/>
      <c r="AO498" s="3148"/>
      <c r="AP498" s="3178"/>
      <c r="AQ498" s="3179"/>
      <c r="AR498" s="3179"/>
      <c r="AS498" s="3179"/>
      <c r="AT498" s="3180"/>
      <c r="AU498" s="113"/>
    </row>
    <row r="499" spans="2:47" ht="15" customHeight="1" x14ac:dyDescent="0.15">
      <c r="B499" s="3149">
        <v>172</v>
      </c>
      <c r="C499" s="3151">
        <f>名簿入力!D357</f>
        <v>0</v>
      </c>
      <c r="D499" s="3152"/>
      <c r="E499" s="3155">
        <f>名簿入力!E357</f>
        <v>0</v>
      </c>
      <c r="F499" s="3157">
        <f>名簿入力!G357</f>
        <v>0</v>
      </c>
      <c r="G499" s="3159">
        <f>名簿入力!H357</f>
        <v>0</v>
      </c>
      <c r="H499" s="3161">
        <f>名簿入力!I357</f>
        <v>0</v>
      </c>
      <c r="I499" s="3162"/>
      <c r="J499" s="3165">
        <f>名簿入力!K357</f>
        <v>0</v>
      </c>
      <c r="K499" s="3167">
        <f>名簿入力!L357</f>
        <v>0</v>
      </c>
      <c r="L499" s="3161">
        <f>名簿入力!M357</f>
        <v>0</v>
      </c>
      <c r="M499" s="3169"/>
      <c r="N499" s="3165">
        <f>名簿入力!O357</f>
        <v>0</v>
      </c>
      <c r="O499" s="3165">
        <f>名簿入力!P357</f>
        <v>0</v>
      </c>
      <c r="P499" s="3167">
        <f>名簿入力!Q357</f>
        <v>0</v>
      </c>
      <c r="Q499" s="3161">
        <f>名簿入力!R357</f>
        <v>0</v>
      </c>
      <c r="R499" s="3162"/>
      <c r="S499" s="3165">
        <f>名簿入力!T357</f>
        <v>0</v>
      </c>
      <c r="T499" s="3165">
        <f>名簿入力!U357</f>
        <v>0</v>
      </c>
      <c r="U499" s="3167">
        <f>名簿入力!V357</f>
        <v>0</v>
      </c>
      <c r="V499" s="3161">
        <f>名簿入力!W357</f>
        <v>0</v>
      </c>
      <c r="W499" s="3162"/>
      <c r="X499" s="3165">
        <f>名簿入力!Y357</f>
        <v>0</v>
      </c>
      <c r="Y499" s="3165">
        <f>名簿入力!Z357</f>
        <v>0</v>
      </c>
      <c r="Z499" s="3167">
        <f>名簿入力!AA357</f>
        <v>0</v>
      </c>
      <c r="AA499" s="3161">
        <f>名簿入力!AB357</f>
        <v>0</v>
      </c>
      <c r="AB499" s="3162"/>
      <c r="AC499" s="3165">
        <f>名簿入力!AD357</f>
        <v>0</v>
      </c>
      <c r="AD499" s="3165">
        <f>名簿入力!AE357</f>
        <v>0</v>
      </c>
      <c r="AE499" s="3167">
        <f>名簿入力!AF357</f>
        <v>0</v>
      </c>
      <c r="AF499" s="3161">
        <f>名簿入力!AG357</f>
        <v>0</v>
      </c>
      <c r="AG499" s="3162"/>
      <c r="AH499" s="3165">
        <f>名簿入力!AI357</f>
        <v>0</v>
      </c>
      <c r="AI499" s="3165">
        <f>名簿入力!AJ357</f>
        <v>0</v>
      </c>
      <c r="AJ499" s="3175">
        <f>名簿入力!AK357</f>
        <v>0</v>
      </c>
      <c r="AK499" s="3176"/>
      <c r="AL499" s="3176"/>
      <c r="AM499" s="3176"/>
      <c r="AN499" s="3176"/>
      <c r="AO499" s="3177"/>
      <c r="AP499" s="3137">
        <f>名簿入力!AO357</f>
        <v>0</v>
      </c>
      <c r="AQ499" s="3138"/>
      <c r="AR499" s="3138"/>
      <c r="AS499" s="3138"/>
      <c r="AT499" s="3139"/>
      <c r="AU499" s="113"/>
    </row>
    <row r="500" spans="2:47" ht="15" customHeight="1" x14ac:dyDescent="0.15">
      <c r="B500" s="3181"/>
      <c r="C500" s="3182"/>
      <c r="D500" s="3183"/>
      <c r="E500" s="3184"/>
      <c r="F500" s="3185"/>
      <c r="G500" s="3186"/>
      <c r="H500" s="3173"/>
      <c r="I500" s="3174"/>
      <c r="J500" s="3171"/>
      <c r="K500" s="3172"/>
      <c r="L500" s="3173"/>
      <c r="M500" s="3187"/>
      <c r="N500" s="3171"/>
      <c r="O500" s="3171"/>
      <c r="P500" s="3172"/>
      <c r="Q500" s="3173"/>
      <c r="R500" s="3174"/>
      <c r="S500" s="3171"/>
      <c r="T500" s="3171"/>
      <c r="U500" s="3172"/>
      <c r="V500" s="3173"/>
      <c r="W500" s="3174"/>
      <c r="X500" s="3171"/>
      <c r="Y500" s="3171"/>
      <c r="Z500" s="3172"/>
      <c r="AA500" s="3173"/>
      <c r="AB500" s="3174"/>
      <c r="AC500" s="3171"/>
      <c r="AD500" s="3171"/>
      <c r="AE500" s="3172"/>
      <c r="AF500" s="3173"/>
      <c r="AG500" s="3174"/>
      <c r="AH500" s="3171"/>
      <c r="AI500" s="3171"/>
      <c r="AJ500" s="3146">
        <f>名簿入力!AK358</f>
        <v>0</v>
      </c>
      <c r="AK500" s="3147"/>
      <c r="AL500" s="3147"/>
      <c r="AM500" s="3147"/>
      <c r="AN500" s="3147"/>
      <c r="AO500" s="3148"/>
      <c r="AP500" s="3178"/>
      <c r="AQ500" s="3179"/>
      <c r="AR500" s="3179"/>
      <c r="AS500" s="3179"/>
      <c r="AT500" s="3180"/>
      <c r="AU500" s="113"/>
    </row>
    <row r="501" spans="2:47" ht="15" customHeight="1" x14ac:dyDescent="0.15">
      <c r="B501" s="3149">
        <v>173</v>
      </c>
      <c r="C501" s="3151">
        <f>名簿入力!D359</f>
        <v>0</v>
      </c>
      <c r="D501" s="3152"/>
      <c r="E501" s="3155">
        <f>名簿入力!E359</f>
        <v>0</v>
      </c>
      <c r="F501" s="3157">
        <f>名簿入力!G359</f>
        <v>0</v>
      </c>
      <c r="G501" s="3159">
        <f>名簿入力!H359</f>
        <v>0</v>
      </c>
      <c r="H501" s="3161">
        <f>名簿入力!I359</f>
        <v>0</v>
      </c>
      <c r="I501" s="3162"/>
      <c r="J501" s="3165">
        <f>名簿入力!K359</f>
        <v>0</v>
      </c>
      <c r="K501" s="3167">
        <f>名簿入力!L359</f>
        <v>0</v>
      </c>
      <c r="L501" s="3161">
        <f>名簿入力!M359</f>
        <v>0</v>
      </c>
      <c r="M501" s="3169"/>
      <c r="N501" s="3165">
        <f>名簿入力!O359</f>
        <v>0</v>
      </c>
      <c r="O501" s="3165">
        <f>名簿入力!P359</f>
        <v>0</v>
      </c>
      <c r="P501" s="3167">
        <f>名簿入力!Q359</f>
        <v>0</v>
      </c>
      <c r="Q501" s="3161">
        <f>名簿入力!R359</f>
        <v>0</v>
      </c>
      <c r="R501" s="3162"/>
      <c r="S501" s="3165">
        <f>名簿入力!T359</f>
        <v>0</v>
      </c>
      <c r="T501" s="3165">
        <f>名簿入力!U359</f>
        <v>0</v>
      </c>
      <c r="U501" s="3167">
        <f>名簿入力!V359</f>
        <v>0</v>
      </c>
      <c r="V501" s="3161">
        <f>名簿入力!W359</f>
        <v>0</v>
      </c>
      <c r="W501" s="3162"/>
      <c r="X501" s="3165">
        <f>名簿入力!Y359</f>
        <v>0</v>
      </c>
      <c r="Y501" s="3165">
        <f>名簿入力!Z359</f>
        <v>0</v>
      </c>
      <c r="Z501" s="3167">
        <f>名簿入力!AA359</f>
        <v>0</v>
      </c>
      <c r="AA501" s="3161">
        <f>名簿入力!AB359</f>
        <v>0</v>
      </c>
      <c r="AB501" s="3162"/>
      <c r="AC501" s="3165">
        <f>名簿入力!AD359</f>
        <v>0</v>
      </c>
      <c r="AD501" s="3165">
        <f>名簿入力!AE359</f>
        <v>0</v>
      </c>
      <c r="AE501" s="3167">
        <f>名簿入力!AF359</f>
        <v>0</v>
      </c>
      <c r="AF501" s="3161">
        <f>名簿入力!AG359</f>
        <v>0</v>
      </c>
      <c r="AG501" s="3162"/>
      <c r="AH501" s="3165">
        <f>名簿入力!AI359</f>
        <v>0</v>
      </c>
      <c r="AI501" s="3165">
        <f>名簿入力!AJ359</f>
        <v>0</v>
      </c>
      <c r="AJ501" s="3175">
        <f>名簿入力!AK359</f>
        <v>0</v>
      </c>
      <c r="AK501" s="3176"/>
      <c r="AL501" s="3176"/>
      <c r="AM501" s="3176"/>
      <c r="AN501" s="3176"/>
      <c r="AO501" s="3177"/>
      <c r="AP501" s="3137">
        <f>名簿入力!AO359</f>
        <v>0</v>
      </c>
      <c r="AQ501" s="3138"/>
      <c r="AR501" s="3138"/>
      <c r="AS501" s="3138"/>
      <c r="AT501" s="3139"/>
      <c r="AU501" s="113"/>
    </row>
    <row r="502" spans="2:47" ht="15" customHeight="1" x14ac:dyDescent="0.15">
      <c r="B502" s="3181"/>
      <c r="C502" s="3182"/>
      <c r="D502" s="3183"/>
      <c r="E502" s="3184"/>
      <c r="F502" s="3185"/>
      <c r="G502" s="3186"/>
      <c r="H502" s="3173"/>
      <c r="I502" s="3174"/>
      <c r="J502" s="3171"/>
      <c r="K502" s="3172"/>
      <c r="L502" s="3173"/>
      <c r="M502" s="3187"/>
      <c r="N502" s="3171"/>
      <c r="O502" s="3171"/>
      <c r="P502" s="3172"/>
      <c r="Q502" s="3173"/>
      <c r="R502" s="3174"/>
      <c r="S502" s="3171"/>
      <c r="T502" s="3171"/>
      <c r="U502" s="3172"/>
      <c r="V502" s="3173"/>
      <c r="W502" s="3174"/>
      <c r="X502" s="3171"/>
      <c r="Y502" s="3171"/>
      <c r="Z502" s="3172"/>
      <c r="AA502" s="3173"/>
      <c r="AB502" s="3174"/>
      <c r="AC502" s="3171"/>
      <c r="AD502" s="3171"/>
      <c r="AE502" s="3172"/>
      <c r="AF502" s="3173"/>
      <c r="AG502" s="3174"/>
      <c r="AH502" s="3171"/>
      <c r="AI502" s="3171"/>
      <c r="AJ502" s="3146">
        <f>名簿入力!AK360</f>
        <v>0</v>
      </c>
      <c r="AK502" s="3147"/>
      <c r="AL502" s="3147"/>
      <c r="AM502" s="3147"/>
      <c r="AN502" s="3147"/>
      <c r="AO502" s="3148"/>
      <c r="AP502" s="3178"/>
      <c r="AQ502" s="3179"/>
      <c r="AR502" s="3179"/>
      <c r="AS502" s="3179"/>
      <c r="AT502" s="3180"/>
      <c r="AU502" s="113"/>
    </row>
    <row r="503" spans="2:47" ht="15" customHeight="1" x14ac:dyDescent="0.15">
      <c r="B503" s="3149">
        <v>174</v>
      </c>
      <c r="C503" s="3151">
        <f>名簿入力!D361</f>
        <v>0</v>
      </c>
      <c r="D503" s="3152"/>
      <c r="E503" s="3155">
        <f>名簿入力!E361</f>
        <v>0</v>
      </c>
      <c r="F503" s="3157">
        <f>名簿入力!G361</f>
        <v>0</v>
      </c>
      <c r="G503" s="3159">
        <f>名簿入力!H361</f>
        <v>0</v>
      </c>
      <c r="H503" s="3161">
        <f>名簿入力!I361</f>
        <v>0</v>
      </c>
      <c r="I503" s="3162"/>
      <c r="J503" s="3165">
        <f>名簿入力!K361</f>
        <v>0</v>
      </c>
      <c r="K503" s="3167">
        <f>名簿入力!L361</f>
        <v>0</v>
      </c>
      <c r="L503" s="3161">
        <f>名簿入力!M361</f>
        <v>0</v>
      </c>
      <c r="M503" s="3169"/>
      <c r="N503" s="3165">
        <f>名簿入力!O361</f>
        <v>0</v>
      </c>
      <c r="O503" s="3165">
        <f>名簿入力!P361</f>
        <v>0</v>
      </c>
      <c r="P503" s="3167">
        <f>名簿入力!Q361</f>
        <v>0</v>
      </c>
      <c r="Q503" s="3161">
        <f>名簿入力!R361</f>
        <v>0</v>
      </c>
      <c r="R503" s="3162"/>
      <c r="S503" s="3165">
        <f>名簿入力!T361</f>
        <v>0</v>
      </c>
      <c r="T503" s="3165">
        <f>名簿入力!U361</f>
        <v>0</v>
      </c>
      <c r="U503" s="3167">
        <f>名簿入力!V361</f>
        <v>0</v>
      </c>
      <c r="V503" s="3161">
        <f>名簿入力!W361</f>
        <v>0</v>
      </c>
      <c r="W503" s="3162"/>
      <c r="X503" s="3165">
        <f>名簿入力!Y361</f>
        <v>0</v>
      </c>
      <c r="Y503" s="3165">
        <f>名簿入力!Z361</f>
        <v>0</v>
      </c>
      <c r="Z503" s="3167">
        <f>名簿入力!AA361</f>
        <v>0</v>
      </c>
      <c r="AA503" s="3161">
        <f>名簿入力!AB361</f>
        <v>0</v>
      </c>
      <c r="AB503" s="3162"/>
      <c r="AC503" s="3165">
        <f>名簿入力!AD361</f>
        <v>0</v>
      </c>
      <c r="AD503" s="3165">
        <f>名簿入力!AE361</f>
        <v>0</v>
      </c>
      <c r="AE503" s="3167">
        <f>名簿入力!AF361</f>
        <v>0</v>
      </c>
      <c r="AF503" s="3161">
        <f>名簿入力!AG361</f>
        <v>0</v>
      </c>
      <c r="AG503" s="3162"/>
      <c r="AH503" s="3165">
        <f>名簿入力!AI361</f>
        <v>0</v>
      </c>
      <c r="AI503" s="3165">
        <f>名簿入力!AJ361</f>
        <v>0</v>
      </c>
      <c r="AJ503" s="3175">
        <f>名簿入力!AK361</f>
        <v>0</v>
      </c>
      <c r="AK503" s="3176"/>
      <c r="AL503" s="3176"/>
      <c r="AM503" s="3176"/>
      <c r="AN503" s="3176"/>
      <c r="AO503" s="3177"/>
      <c r="AP503" s="3137">
        <f>名簿入力!AO361</f>
        <v>0</v>
      </c>
      <c r="AQ503" s="3138"/>
      <c r="AR503" s="3138"/>
      <c r="AS503" s="3138"/>
      <c r="AT503" s="3139"/>
      <c r="AU503" s="113"/>
    </row>
    <row r="504" spans="2:47" ht="15" customHeight="1" x14ac:dyDescent="0.15">
      <c r="B504" s="3181"/>
      <c r="C504" s="3182"/>
      <c r="D504" s="3183"/>
      <c r="E504" s="3184"/>
      <c r="F504" s="3185"/>
      <c r="G504" s="3186"/>
      <c r="H504" s="3173"/>
      <c r="I504" s="3174"/>
      <c r="J504" s="3171"/>
      <c r="K504" s="3172"/>
      <c r="L504" s="3173"/>
      <c r="M504" s="3187"/>
      <c r="N504" s="3171"/>
      <c r="O504" s="3171"/>
      <c r="P504" s="3172"/>
      <c r="Q504" s="3173"/>
      <c r="R504" s="3174"/>
      <c r="S504" s="3171"/>
      <c r="T504" s="3171"/>
      <c r="U504" s="3172"/>
      <c r="V504" s="3173"/>
      <c r="W504" s="3174"/>
      <c r="X504" s="3171"/>
      <c r="Y504" s="3171"/>
      <c r="Z504" s="3172"/>
      <c r="AA504" s="3173"/>
      <c r="AB504" s="3174"/>
      <c r="AC504" s="3171"/>
      <c r="AD504" s="3171"/>
      <c r="AE504" s="3172"/>
      <c r="AF504" s="3173"/>
      <c r="AG504" s="3174"/>
      <c r="AH504" s="3171"/>
      <c r="AI504" s="3171"/>
      <c r="AJ504" s="3146">
        <f>名簿入力!AK362</f>
        <v>0</v>
      </c>
      <c r="AK504" s="3147"/>
      <c r="AL504" s="3147"/>
      <c r="AM504" s="3147"/>
      <c r="AN504" s="3147"/>
      <c r="AO504" s="3148"/>
      <c r="AP504" s="3178"/>
      <c r="AQ504" s="3179"/>
      <c r="AR504" s="3179"/>
      <c r="AS504" s="3179"/>
      <c r="AT504" s="3180"/>
      <c r="AU504" s="113"/>
    </row>
    <row r="505" spans="2:47" ht="15" customHeight="1" x14ac:dyDescent="0.15">
      <c r="B505" s="3149">
        <v>175</v>
      </c>
      <c r="C505" s="3151">
        <f>名簿入力!D363</f>
        <v>0</v>
      </c>
      <c r="D505" s="3152"/>
      <c r="E505" s="3155">
        <f>名簿入力!E363</f>
        <v>0</v>
      </c>
      <c r="F505" s="3157">
        <f>名簿入力!G363</f>
        <v>0</v>
      </c>
      <c r="G505" s="3159">
        <f>名簿入力!H363</f>
        <v>0</v>
      </c>
      <c r="H505" s="3161">
        <f>名簿入力!I363</f>
        <v>0</v>
      </c>
      <c r="I505" s="3162"/>
      <c r="J505" s="3165">
        <f>名簿入力!K363</f>
        <v>0</v>
      </c>
      <c r="K505" s="3167">
        <f>名簿入力!L363</f>
        <v>0</v>
      </c>
      <c r="L505" s="3161">
        <f>名簿入力!M363</f>
        <v>0</v>
      </c>
      <c r="M505" s="3169"/>
      <c r="N505" s="3165">
        <f>名簿入力!O363</f>
        <v>0</v>
      </c>
      <c r="O505" s="3165">
        <f>名簿入力!P363</f>
        <v>0</v>
      </c>
      <c r="P505" s="3167">
        <f>名簿入力!Q363</f>
        <v>0</v>
      </c>
      <c r="Q505" s="3161">
        <f>名簿入力!R363</f>
        <v>0</v>
      </c>
      <c r="R505" s="3162"/>
      <c r="S505" s="3165">
        <f>名簿入力!T363</f>
        <v>0</v>
      </c>
      <c r="T505" s="3165">
        <f>名簿入力!U363</f>
        <v>0</v>
      </c>
      <c r="U505" s="3167">
        <f>名簿入力!V363</f>
        <v>0</v>
      </c>
      <c r="V505" s="3161">
        <f>名簿入力!W363</f>
        <v>0</v>
      </c>
      <c r="W505" s="3162"/>
      <c r="X505" s="3165">
        <f>名簿入力!Y363</f>
        <v>0</v>
      </c>
      <c r="Y505" s="3165">
        <f>名簿入力!Z363</f>
        <v>0</v>
      </c>
      <c r="Z505" s="3167">
        <f>名簿入力!AA363</f>
        <v>0</v>
      </c>
      <c r="AA505" s="3161">
        <f>名簿入力!AB363</f>
        <v>0</v>
      </c>
      <c r="AB505" s="3162"/>
      <c r="AC505" s="3165">
        <f>名簿入力!AD363</f>
        <v>0</v>
      </c>
      <c r="AD505" s="3165">
        <f>名簿入力!AE363</f>
        <v>0</v>
      </c>
      <c r="AE505" s="3167">
        <f>名簿入力!AF363</f>
        <v>0</v>
      </c>
      <c r="AF505" s="3161">
        <f>名簿入力!AG363</f>
        <v>0</v>
      </c>
      <c r="AG505" s="3162"/>
      <c r="AH505" s="3165">
        <f>名簿入力!AI363</f>
        <v>0</v>
      </c>
      <c r="AI505" s="3165">
        <f>名簿入力!AJ363</f>
        <v>0</v>
      </c>
      <c r="AJ505" s="3175">
        <f>名簿入力!AK363</f>
        <v>0</v>
      </c>
      <c r="AK505" s="3176"/>
      <c r="AL505" s="3176"/>
      <c r="AM505" s="3176"/>
      <c r="AN505" s="3176"/>
      <c r="AO505" s="3177"/>
      <c r="AP505" s="3137">
        <f>名簿入力!AO363</f>
        <v>0</v>
      </c>
      <c r="AQ505" s="3138"/>
      <c r="AR505" s="3138"/>
      <c r="AS505" s="3138"/>
      <c r="AT505" s="3139"/>
      <c r="AU505" s="113"/>
    </row>
    <row r="506" spans="2:47" ht="15" customHeight="1" x14ac:dyDescent="0.15">
      <c r="B506" s="3181"/>
      <c r="C506" s="3182"/>
      <c r="D506" s="3183"/>
      <c r="E506" s="3184"/>
      <c r="F506" s="3185"/>
      <c r="G506" s="3186"/>
      <c r="H506" s="3173"/>
      <c r="I506" s="3174"/>
      <c r="J506" s="3171"/>
      <c r="K506" s="3172"/>
      <c r="L506" s="3173"/>
      <c r="M506" s="3187"/>
      <c r="N506" s="3171"/>
      <c r="O506" s="3171"/>
      <c r="P506" s="3172"/>
      <c r="Q506" s="3173"/>
      <c r="R506" s="3174"/>
      <c r="S506" s="3171"/>
      <c r="T506" s="3171"/>
      <c r="U506" s="3172"/>
      <c r="V506" s="3173"/>
      <c r="W506" s="3174"/>
      <c r="X506" s="3171"/>
      <c r="Y506" s="3171"/>
      <c r="Z506" s="3172"/>
      <c r="AA506" s="3173"/>
      <c r="AB506" s="3174"/>
      <c r="AC506" s="3171"/>
      <c r="AD506" s="3171"/>
      <c r="AE506" s="3172"/>
      <c r="AF506" s="3173"/>
      <c r="AG506" s="3174"/>
      <c r="AH506" s="3171"/>
      <c r="AI506" s="3171"/>
      <c r="AJ506" s="3146">
        <f>名簿入力!AK364</f>
        <v>0</v>
      </c>
      <c r="AK506" s="3147"/>
      <c r="AL506" s="3147"/>
      <c r="AM506" s="3147"/>
      <c r="AN506" s="3147"/>
      <c r="AO506" s="3148"/>
      <c r="AP506" s="3178"/>
      <c r="AQ506" s="3179"/>
      <c r="AR506" s="3179"/>
      <c r="AS506" s="3179"/>
      <c r="AT506" s="3180"/>
      <c r="AU506" s="113"/>
    </row>
    <row r="507" spans="2:47" ht="15" customHeight="1" x14ac:dyDescent="0.15">
      <c r="B507" s="3149">
        <v>176</v>
      </c>
      <c r="C507" s="3151">
        <f>名簿入力!D365</f>
        <v>0</v>
      </c>
      <c r="D507" s="3152"/>
      <c r="E507" s="3155">
        <f>名簿入力!E365</f>
        <v>0</v>
      </c>
      <c r="F507" s="3157">
        <f>名簿入力!G365</f>
        <v>0</v>
      </c>
      <c r="G507" s="3159">
        <f>名簿入力!H365</f>
        <v>0</v>
      </c>
      <c r="H507" s="3161">
        <f>名簿入力!I365</f>
        <v>0</v>
      </c>
      <c r="I507" s="3162"/>
      <c r="J507" s="3165">
        <f>名簿入力!K365</f>
        <v>0</v>
      </c>
      <c r="K507" s="3167">
        <f>名簿入力!L365</f>
        <v>0</v>
      </c>
      <c r="L507" s="3161">
        <f>名簿入力!M365</f>
        <v>0</v>
      </c>
      <c r="M507" s="3169"/>
      <c r="N507" s="3165">
        <f>名簿入力!O365</f>
        <v>0</v>
      </c>
      <c r="O507" s="3165">
        <f>名簿入力!P365</f>
        <v>0</v>
      </c>
      <c r="P507" s="3167">
        <f>名簿入力!Q365</f>
        <v>0</v>
      </c>
      <c r="Q507" s="3161">
        <f>名簿入力!R365</f>
        <v>0</v>
      </c>
      <c r="R507" s="3162"/>
      <c r="S507" s="3165">
        <f>名簿入力!T365</f>
        <v>0</v>
      </c>
      <c r="T507" s="3165">
        <f>名簿入力!U365</f>
        <v>0</v>
      </c>
      <c r="U507" s="3167">
        <f>名簿入力!V365</f>
        <v>0</v>
      </c>
      <c r="V507" s="3161">
        <f>名簿入力!W365</f>
        <v>0</v>
      </c>
      <c r="W507" s="3162"/>
      <c r="X507" s="3165">
        <f>名簿入力!Y365</f>
        <v>0</v>
      </c>
      <c r="Y507" s="3165">
        <f>名簿入力!Z365</f>
        <v>0</v>
      </c>
      <c r="Z507" s="3167">
        <f>名簿入力!AA365</f>
        <v>0</v>
      </c>
      <c r="AA507" s="3161">
        <f>名簿入力!AB365</f>
        <v>0</v>
      </c>
      <c r="AB507" s="3162"/>
      <c r="AC507" s="3165">
        <f>名簿入力!AD365</f>
        <v>0</v>
      </c>
      <c r="AD507" s="3165">
        <f>名簿入力!AE365</f>
        <v>0</v>
      </c>
      <c r="AE507" s="3167">
        <f>名簿入力!AF365</f>
        <v>0</v>
      </c>
      <c r="AF507" s="3161">
        <f>名簿入力!AG365</f>
        <v>0</v>
      </c>
      <c r="AG507" s="3162"/>
      <c r="AH507" s="3165">
        <f>名簿入力!AI365</f>
        <v>0</v>
      </c>
      <c r="AI507" s="3165">
        <f>名簿入力!AJ365</f>
        <v>0</v>
      </c>
      <c r="AJ507" s="3175">
        <f>名簿入力!AK365</f>
        <v>0</v>
      </c>
      <c r="AK507" s="3176"/>
      <c r="AL507" s="3176"/>
      <c r="AM507" s="3176"/>
      <c r="AN507" s="3176"/>
      <c r="AO507" s="3177"/>
      <c r="AP507" s="3137">
        <f>名簿入力!AO365</f>
        <v>0</v>
      </c>
      <c r="AQ507" s="3138"/>
      <c r="AR507" s="3138"/>
      <c r="AS507" s="3138"/>
      <c r="AT507" s="3139"/>
      <c r="AU507" s="113"/>
    </row>
    <row r="508" spans="2:47" ht="15" customHeight="1" x14ac:dyDescent="0.15">
      <c r="B508" s="3181"/>
      <c r="C508" s="3182"/>
      <c r="D508" s="3183"/>
      <c r="E508" s="3184"/>
      <c r="F508" s="3185"/>
      <c r="G508" s="3186"/>
      <c r="H508" s="3173"/>
      <c r="I508" s="3174"/>
      <c r="J508" s="3171"/>
      <c r="K508" s="3172"/>
      <c r="L508" s="3173"/>
      <c r="M508" s="3187"/>
      <c r="N508" s="3171"/>
      <c r="O508" s="3171"/>
      <c r="P508" s="3172"/>
      <c r="Q508" s="3173"/>
      <c r="R508" s="3174"/>
      <c r="S508" s="3171"/>
      <c r="T508" s="3171"/>
      <c r="U508" s="3172"/>
      <c r="V508" s="3173"/>
      <c r="W508" s="3174"/>
      <c r="X508" s="3171"/>
      <c r="Y508" s="3171"/>
      <c r="Z508" s="3172"/>
      <c r="AA508" s="3173"/>
      <c r="AB508" s="3174"/>
      <c r="AC508" s="3171"/>
      <c r="AD508" s="3171"/>
      <c r="AE508" s="3172"/>
      <c r="AF508" s="3173"/>
      <c r="AG508" s="3174"/>
      <c r="AH508" s="3171"/>
      <c r="AI508" s="3171"/>
      <c r="AJ508" s="3146">
        <f>名簿入力!AK366</f>
        <v>0</v>
      </c>
      <c r="AK508" s="3147"/>
      <c r="AL508" s="3147"/>
      <c r="AM508" s="3147"/>
      <c r="AN508" s="3147"/>
      <c r="AO508" s="3148"/>
      <c r="AP508" s="3178"/>
      <c r="AQ508" s="3179"/>
      <c r="AR508" s="3179"/>
      <c r="AS508" s="3179"/>
      <c r="AT508" s="3180"/>
      <c r="AU508" s="113"/>
    </row>
    <row r="509" spans="2:47" ht="15" customHeight="1" x14ac:dyDescent="0.15">
      <c r="B509" s="3149">
        <v>177</v>
      </c>
      <c r="C509" s="3151">
        <f>名簿入力!D367</f>
        <v>0</v>
      </c>
      <c r="D509" s="3152"/>
      <c r="E509" s="3155">
        <f>名簿入力!E367</f>
        <v>0</v>
      </c>
      <c r="F509" s="3157">
        <f>名簿入力!G367</f>
        <v>0</v>
      </c>
      <c r="G509" s="3159">
        <f>名簿入力!H367</f>
        <v>0</v>
      </c>
      <c r="H509" s="3161">
        <f>名簿入力!I367</f>
        <v>0</v>
      </c>
      <c r="I509" s="3162"/>
      <c r="J509" s="3165">
        <f>名簿入力!K367</f>
        <v>0</v>
      </c>
      <c r="K509" s="3167">
        <f>名簿入力!L367</f>
        <v>0</v>
      </c>
      <c r="L509" s="3161">
        <f>名簿入力!M367</f>
        <v>0</v>
      </c>
      <c r="M509" s="3169"/>
      <c r="N509" s="3165">
        <f>名簿入力!O367</f>
        <v>0</v>
      </c>
      <c r="O509" s="3165">
        <f>名簿入力!P367</f>
        <v>0</v>
      </c>
      <c r="P509" s="3167">
        <f>名簿入力!Q367</f>
        <v>0</v>
      </c>
      <c r="Q509" s="3161">
        <f>名簿入力!R367</f>
        <v>0</v>
      </c>
      <c r="R509" s="3162"/>
      <c r="S509" s="3165">
        <f>名簿入力!T367</f>
        <v>0</v>
      </c>
      <c r="T509" s="3165">
        <f>名簿入力!U367</f>
        <v>0</v>
      </c>
      <c r="U509" s="3167">
        <f>名簿入力!V367</f>
        <v>0</v>
      </c>
      <c r="V509" s="3161">
        <f>名簿入力!W367</f>
        <v>0</v>
      </c>
      <c r="W509" s="3162"/>
      <c r="X509" s="3165">
        <f>名簿入力!Y367</f>
        <v>0</v>
      </c>
      <c r="Y509" s="3165">
        <f>名簿入力!Z367</f>
        <v>0</v>
      </c>
      <c r="Z509" s="3167">
        <f>名簿入力!AA367</f>
        <v>0</v>
      </c>
      <c r="AA509" s="3161">
        <f>名簿入力!AB367</f>
        <v>0</v>
      </c>
      <c r="AB509" s="3162"/>
      <c r="AC509" s="3165">
        <f>名簿入力!AD367</f>
        <v>0</v>
      </c>
      <c r="AD509" s="3165">
        <f>名簿入力!AE367</f>
        <v>0</v>
      </c>
      <c r="AE509" s="3167">
        <f>名簿入力!AF367</f>
        <v>0</v>
      </c>
      <c r="AF509" s="3161">
        <f>名簿入力!AG367</f>
        <v>0</v>
      </c>
      <c r="AG509" s="3162"/>
      <c r="AH509" s="3165">
        <f>名簿入力!AI367</f>
        <v>0</v>
      </c>
      <c r="AI509" s="3165">
        <f>名簿入力!AJ367</f>
        <v>0</v>
      </c>
      <c r="AJ509" s="3175">
        <f>名簿入力!AK367</f>
        <v>0</v>
      </c>
      <c r="AK509" s="3176"/>
      <c r="AL509" s="3176"/>
      <c r="AM509" s="3176"/>
      <c r="AN509" s="3176"/>
      <c r="AO509" s="3177"/>
      <c r="AP509" s="3137">
        <f>名簿入力!AO367</f>
        <v>0</v>
      </c>
      <c r="AQ509" s="3138"/>
      <c r="AR509" s="3138"/>
      <c r="AS509" s="3138"/>
      <c r="AT509" s="3139"/>
      <c r="AU509" s="113"/>
    </row>
    <row r="510" spans="2:47" ht="15" customHeight="1" x14ac:dyDescent="0.15">
      <c r="B510" s="3181"/>
      <c r="C510" s="3182"/>
      <c r="D510" s="3183"/>
      <c r="E510" s="3184"/>
      <c r="F510" s="3185"/>
      <c r="G510" s="3186"/>
      <c r="H510" s="3173"/>
      <c r="I510" s="3174"/>
      <c r="J510" s="3171"/>
      <c r="K510" s="3172"/>
      <c r="L510" s="3173"/>
      <c r="M510" s="3187"/>
      <c r="N510" s="3171"/>
      <c r="O510" s="3171"/>
      <c r="P510" s="3172"/>
      <c r="Q510" s="3173"/>
      <c r="R510" s="3174"/>
      <c r="S510" s="3171"/>
      <c r="T510" s="3171"/>
      <c r="U510" s="3172"/>
      <c r="V510" s="3173"/>
      <c r="W510" s="3174"/>
      <c r="X510" s="3171"/>
      <c r="Y510" s="3171"/>
      <c r="Z510" s="3172"/>
      <c r="AA510" s="3173"/>
      <c r="AB510" s="3174"/>
      <c r="AC510" s="3171"/>
      <c r="AD510" s="3171"/>
      <c r="AE510" s="3172"/>
      <c r="AF510" s="3173"/>
      <c r="AG510" s="3174"/>
      <c r="AH510" s="3171"/>
      <c r="AI510" s="3171"/>
      <c r="AJ510" s="3146">
        <f>名簿入力!AK368</f>
        <v>0</v>
      </c>
      <c r="AK510" s="3147"/>
      <c r="AL510" s="3147"/>
      <c r="AM510" s="3147"/>
      <c r="AN510" s="3147"/>
      <c r="AO510" s="3148"/>
      <c r="AP510" s="3178"/>
      <c r="AQ510" s="3179"/>
      <c r="AR510" s="3179"/>
      <c r="AS510" s="3179"/>
      <c r="AT510" s="3180"/>
      <c r="AU510" s="113"/>
    </row>
    <row r="511" spans="2:47" ht="15" customHeight="1" x14ac:dyDescent="0.15">
      <c r="B511" s="3149">
        <v>178</v>
      </c>
      <c r="C511" s="3151">
        <f>名簿入力!D369</f>
        <v>0</v>
      </c>
      <c r="D511" s="3152"/>
      <c r="E511" s="3155">
        <f>名簿入力!E369</f>
        <v>0</v>
      </c>
      <c r="F511" s="3157">
        <f>名簿入力!G369</f>
        <v>0</v>
      </c>
      <c r="G511" s="3159">
        <f>名簿入力!H369</f>
        <v>0</v>
      </c>
      <c r="H511" s="3161">
        <f>名簿入力!I369</f>
        <v>0</v>
      </c>
      <c r="I511" s="3162"/>
      <c r="J511" s="3165">
        <f>名簿入力!K369</f>
        <v>0</v>
      </c>
      <c r="K511" s="3167">
        <f>名簿入力!L369</f>
        <v>0</v>
      </c>
      <c r="L511" s="3161">
        <f>名簿入力!M369</f>
        <v>0</v>
      </c>
      <c r="M511" s="3169"/>
      <c r="N511" s="3165">
        <f>名簿入力!O369</f>
        <v>0</v>
      </c>
      <c r="O511" s="3165">
        <f>名簿入力!P369</f>
        <v>0</v>
      </c>
      <c r="P511" s="3167">
        <f>名簿入力!Q369</f>
        <v>0</v>
      </c>
      <c r="Q511" s="3161">
        <f>名簿入力!R369</f>
        <v>0</v>
      </c>
      <c r="R511" s="3162"/>
      <c r="S511" s="3165">
        <f>名簿入力!T369</f>
        <v>0</v>
      </c>
      <c r="T511" s="3165">
        <f>名簿入力!U369</f>
        <v>0</v>
      </c>
      <c r="U511" s="3167">
        <f>名簿入力!V369</f>
        <v>0</v>
      </c>
      <c r="V511" s="3161">
        <f>名簿入力!W369</f>
        <v>0</v>
      </c>
      <c r="W511" s="3162"/>
      <c r="X511" s="3165">
        <f>名簿入力!Y369</f>
        <v>0</v>
      </c>
      <c r="Y511" s="3165">
        <f>名簿入力!Z369</f>
        <v>0</v>
      </c>
      <c r="Z511" s="3167">
        <f>名簿入力!AA369</f>
        <v>0</v>
      </c>
      <c r="AA511" s="3161">
        <f>名簿入力!AB369</f>
        <v>0</v>
      </c>
      <c r="AB511" s="3162"/>
      <c r="AC511" s="3165">
        <f>名簿入力!AD369</f>
        <v>0</v>
      </c>
      <c r="AD511" s="3165">
        <f>名簿入力!AE369</f>
        <v>0</v>
      </c>
      <c r="AE511" s="3167">
        <f>名簿入力!AF369</f>
        <v>0</v>
      </c>
      <c r="AF511" s="3161">
        <f>名簿入力!AG369</f>
        <v>0</v>
      </c>
      <c r="AG511" s="3162"/>
      <c r="AH511" s="3165">
        <f>名簿入力!AI369</f>
        <v>0</v>
      </c>
      <c r="AI511" s="3165">
        <f>名簿入力!AJ369</f>
        <v>0</v>
      </c>
      <c r="AJ511" s="3175">
        <f>名簿入力!AK369</f>
        <v>0</v>
      </c>
      <c r="AK511" s="3176"/>
      <c r="AL511" s="3176"/>
      <c r="AM511" s="3176"/>
      <c r="AN511" s="3176"/>
      <c r="AO511" s="3177"/>
      <c r="AP511" s="3137">
        <f>名簿入力!AO369</f>
        <v>0</v>
      </c>
      <c r="AQ511" s="3138"/>
      <c r="AR511" s="3138"/>
      <c r="AS511" s="3138"/>
      <c r="AT511" s="3139"/>
      <c r="AU511" s="113"/>
    </row>
    <row r="512" spans="2:47" ht="15" customHeight="1" x14ac:dyDescent="0.15">
      <c r="B512" s="3181"/>
      <c r="C512" s="3182"/>
      <c r="D512" s="3183"/>
      <c r="E512" s="3184"/>
      <c r="F512" s="3185"/>
      <c r="G512" s="3186"/>
      <c r="H512" s="3173"/>
      <c r="I512" s="3174"/>
      <c r="J512" s="3171"/>
      <c r="K512" s="3172"/>
      <c r="L512" s="3173"/>
      <c r="M512" s="3187"/>
      <c r="N512" s="3171"/>
      <c r="O512" s="3171"/>
      <c r="P512" s="3172"/>
      <c r="Q512" s="3173"/>
      <c r="R512" s="3174"/>
      <c r="S512" s="3171"/>
      <c r="T512" s="3171"/>
      <c r="U512" s="3172"/>
      <c r="V512" s="3173"/>
      <c r="W512" s="3174"/>
      <c r="X512" s="3171"/>
      <c r="Y512" s="3171"/>
      <c r="Z512" s="3172"/>
      <c r="AA512" s="3173"/>
      <c r="AB512" s="3174"/>
      <c r="AC512" s="3171"/>
      <c r="AD512" s="3171"/>
      <c r="AE512" s="3172"/>
      <c r="AF512" s="3173"/>
      <c r="AG512" s="3174"/>
      <c r="AH512" s="3171"/>
      <c r="AI512" s="3171"/>
      <c r="AJ512" s="3146">
        <f>名簿入力!AK370</f>
        <v>0</v>
      </c>
      <c r="AK512" s="3147"/>
      <c r="AL512" s="3147"/>
      <c r="AM512" s="3147"/>
      <c r="AN512" s="3147"/>
      <c r="AO512" s="3148"/>
      <c r="AP512" s="3178"/>
      <c r="AQ512" s="3179"/>
      <c r="AR512" s="3179"/>
      <c r="AS512" s="3179"/>
      <c r="AT512" s="3180"/>
      <c r="AU512" s="113"/>
    </row>
    <row r="513" spans="2:50" ht="15" customHeight="1" x14ac:dyDescent="0.15">
      <c r="B513" s="3149">
        <v>179</v>
      </c>
      <c r="C513" s="3151">
        <f>名簿入力!D371</f>
        <v>0</v>
      </c>
      <c r="D513" s="3152"/>
      <c r="E513" s="3155">
        <f>名簿入力!E371</f>
        <v>0</v>
      </c>
      <c r="F513" s="3157">
        <f>名簿入力!G371</f>
        <v>0</v>
      </c>
      <c r="G513" s="3159">
        <f>名簿入力!H371</f>
        <v>0</v>
      </c>
      <c r="H513" s="3161">
        <f>名簿入力!I371</f>
        <v>0</v>
      </c>
      <c r="I513" s="3162"/>
      <c r="J513" s="3165">
        <f>名簿入力!K371</f>
        <v>0</v>
      </c>
      <c r="K513" s="3167">
        <f>名簿入力!L371</f>
        <v>0</v>
      </c>
      <c r="L513" s="3161">
        <f>名簿入力!M371</f>
        <v>0</v>
      </c>
      <c r="M513" s="3169"/>
      <c r="N513" s="3165">
        <f>名簿入力!O371</f>
        <v>0</v>
      </c>
      <c r="O513" s="3165">
        <f>名簿入力!P371</f>
        <v>0</v>
      </c>
      <c r="P513" s="3167">
        <f>名簿入力!Q371</f>
        <v>0</v>
      </c>
      <c r="Q513" s="3161">
        <f>名簿入力!R371</f>
        <v>0</v>
      </c>
      <c r="R513" s="3162"/>
      <c r="S513" s="3165">
        <f>名簿入力!T371</f>
        <v>0</v>
      </c>
      <c r="T513" s="3165">
        <f>名簿入力!U371</f>
        <v>0</v>
      </c>
      <c r="U513" s="3167">
        <f>名簿入力!V371</f>
        <v>0</v>
      </c>
      <c r="V513" s="3161">
        <f>名簿入力!W371</f>
        <v>0</v>
      </c>
      <c r="W513" s="3162"/>
      <c r="X513" s="3165">
        <f>名簿入力!Y371</f>
        <v>0</v>
      </c>
      <c r="Y513" s="3165">
        <f>名簿入力!Z371</f>
        <v>0</v>
      </c>
      <c r="Z513" s="3167">
        <f>名簿入力!AA371</f>
        <v>0</v>
      </c>
      <c r="AA513" s="3161">
        <f>名簿入力!AB371</f>
        <v>0</v>
      </c>
      <c r="AB513" s="3162"/>
      <c r="AC513" s="3165">
        <f>名簿入力!AD371</f>
        <v>0</v>
      </c>
      <c r="AD513" s="3165">
        <f>名簿入力!AE371</f>
        <v>0</v>
      </c>
      <c r="AE513" s="3167">
        <f>名簿入力!AF371</f>
        <v>0</v>
      </c>
      <c r="AF513" s="3161">
        <f>名簿入力!AG371</f>
        <v>0</v>
      </c>
      <c r="AG513" s="3162"/>
      <c r="AH513" s="3165">
        <f>名簿入力!AI371</f>
        <v>0</v>
      </c>
      <c r="AI513" s="3165">
        <f>名簿入力!AJ371</f>
        <v>0</v>
      </c>
      <c r="AJ513" s="3175">
        <f>名簿入力!AK371</f>
        <v>0</v>
      </c>
      <c r="AK513" s="3176"/>
      <c r="AL513" s="3176"/>
      <c r="AM513" s="3176"/>
      <c r="AN513" s="3176"/>
      <c r="AO513" s="3177"/>
      <c r="AP513" s="3137">
        <f>名簿入力!AO371</f>
        <v>0</v>
      </c>
      <c r="AQ513" s="3138"/>
      <c r="AR513" s="3138"/>
      <c r="AS513" s="3138"/>
      <c r="AT513" s="3139"/>
      <c r="AU513" s="113"/>
    </row>
    <row r="514" spans="2:50" ht="15" customHeight="1" x14ac:dyDescent="0.15">
      <c r="B514" s="3181"/>
      <c r="C514" s="3182"/>
      <c r="D514" s="3183"/>
      <c r="E514" s="3184"/>
      <c r="F514" s="3185"/>
      <c r="G514" s="3186"/>
      <c r="H514" s="3173"/>
      <c r="I514" s="3174"/>
      <c r="J514" s="3171"/>
      <c r="K514" s="3172"/>
      <c r="L514" s="3173"/>
      <c r="M514" s="3187"/>
      <c r="N514" s="3171"/>
      <c r="O514" s="3171"/>
      <c r="P514" s="3172"/>
      <c r="Q514" s="3173"/>
      <c r="R514" s="3174"/>
      <c r="S514" s="3171"/>
      <c r="T514" s="3171"/>
      <c r="U514" s="3172"/>
      <c r="V514" s="3173"/>
      <c r="W514" s="3174"/>
      <c r="X514" s="3171"/>
      <c r="Y514" s="3171"/>
      <c r="Z514" s="3172"/>
      <c r="AA514" s="3173"/>
      <c r="AB514" s="3174"/>
      <c r="AC514" s="3171"/>
      <c r="AD514" s="3171"/>
      <c r="AE514" s="3172"/>
      <c r="AF514" s="3173"/>
      <c r="AG514" s="3174"/>
      <c r="AH514" s="3171"/>
      <c r="AI514" s="3171"/>
      <c r="AJ514" s="3146">
        <f>名簿入力!AK372</f>
        <v>0</v>
      </c>
      <c r="AK514" s="3147"/>
      <c r="AL514" s="3147"/>
      <c r="AM514" s="3147"/>
      <c r="AN514" s="3147"/>
      <c r="AO514" s="3148"/>
      <c r="AP514" s="3178"/>
      <c r="AQ514" s="3179"/>
      <c r="AR514" s="3179"/>
      <c r="AS514" s="3179"/>
      <c r="AT514" s="3180"/>
      <c r="AU514" s="113"/>
    </row>
    <row r="515" spans="2:50" ht="15" customHeight="1" x14ac:dyDescent="0.15">
      <c r="B515" s="3149">
        <v>180</v>
      </c>
      <c r="C515" s="3151">
        <f>名簿入力!D373</f>
        <v>0</v>
      </c>
      <c r="D515" s="3152"/>
      <c r="E515" s="3155">
        <f>名簿入力!E373</f>
        <v>0</v>
      </c>
      <c r="F515" s="3157">
        <f>名簿入力!G373</f>
        <v>0</v>
      </c>
      <c r="G515" s="3159">
        <f>名簿入力!H373</f>
        <v>0</v>
      </c>
      <c r="H515" s="3161">
        <f>名簿入力!I373</f>
        <v>0</v>
      </c>
      <c r="I515" s="3162"/>
      <c r="J515" s="3165">
        <f>名簿入力!K373</f>
        <v>0</v>
      </c>
      <c r="K515" s="3167">
        <f>名簿入力!L373</f>
        <v>0</v>
      </c>
      <c r="L515" s="3161">
        <f>名簿入力!M373</f>
        <v>0</v>
      </c>
      <c r="M515" s="3169"/>
      <c r="N515" s="3165">
        <f>名簿入力!O373</f>
        <v>0</v>
      </c>
      <c r="O515" s="3165">
        <f>名簿入力!P373</f>
        <v>0</v>
      </c>
      <c r="P515" s="3167">
        <f>名簿入力!Q373</f>
        <v>0</v>
      </c>
      <c r="Q515" s="3161">
        <f>名簿入力!R373</f>
        <v>0</v>
      </c>
      <c r="R515" s="3162"/>
      <c r="S515" s="3165">
        <f>名簿入力!T373</f>
        <v>0</v>
      </c>
      <c r="T515" s="3165">
        <f>名簿入力!U373</f>
        <v>0</v>
      </c>
      <c r="U515" s="3167">
        <f>名簿入力!V373</f>
        <v>0</v>
      </c>
      <c r="V515" s="3161">
        <f>名簿入力!W373</f>
        <v>0</v>
      </c>
      <c r="W515" s="3162"/>
      <c r="X515" s="3165">
        <f>名簿入力!Y373</f>
        <v>0</v>
      </c>
      <c r="Y515" s="3165">
        <f>名簿入力!Z373</f>
        <v>0</v>
      </c>
      <c r="Z515" s="3167">
        <f>名簿入力!AA373</f>
        <v>0</v>
      </c>
      <c r="AA515" s="3161">
        <f>名簿入力!AB373</f>
        <v>0</v>
      </c>
      <c r="AB515" s="3162"/>
      <c r="AC515" s="3165">
        <f>名簿入力!AD373</f>
        <v>0</v>
      </c>
      <c r="AD515" s="3165">
        <f>名簿入力!AE373</f>
        <v>0</v>
      </c>
      <c r="AE515" s="3167">
        <f>名簿入力!AF373</f>
        <v>0</v>
      </c>
      <c r="AF515" s="3161">
        <f>名簿入力!AG373</f>
        <v>0</v>
      </c>
      <c r="AG515" s="3162"/>
      <c r="AH515" s="3165">
        <f>名簿入力!AI373</f>
        <v>0</v>
      </c>
      <c r="AI515" s="3165">
        <f>名簿入力!AJ373</f>
        <v>0</v>
      </c>
      <c r="AJ515" s="3175">
        <f>名簿入力!AK373</f>
        <v>0</v>
      </c>
      <c r="AK515" s="3176"/>
      <c r="AL515" s="3176"/>
      <c r="AM515" s="3176"/>
      <c r="AN515" s="3176"/>
      <c r="AO515" s="3177"/>
      <c r="AP515" s="3137">
        <f>名簿入力!AO373</f>
        <v>0</v>
      </c>
      <c r="AQ515" s="3138"/>
      <c r="AR515" s="3138"/>
      <c r="AS515" s="3138"/>
      <c r="AT515" s="3139"/>
      <c r="AU515" s="113"/>
    </row>
    <row r="516" spans="2:50" ht="15" customHeight="1" thickBot="1" x14ac:dyDescent="0.2">
      <c r="B516" s="3150"/>
      <c r="C516" s="3153"/>
      <c r="D516" s="3154"/>
      <c r="E516" s="3156"/>
      <c r="F516" s="3158"/>
      <c r="G516" s="3160"/>
      <c r="H516" s="3163"/>
      <c r="I516" s="3164"/>
      <c r="J516" s="3166"/>
      <c r="K516" s="3168"/>
      <c r="L516" s="3163"/>
      <c r="M516" s="3170"/>
      <c r="N516" s="3166"/>
      <c r="O516" s="3166"/>
      <c r="P516" s="3168"/>
      <c r="Q516" s="3163"/>
      <c r="R516" s="3164"/>
      <c r="S516" s="3166"/>
      <c r="T516" s="3166"/>
      <c r="U516" s="3168"/>
      <c r="V516" s="3163"/>
      <c r="W516" s="3164"/>
      <c r="X516" s="3166"/>
      <c r="Y516" s="3166"/>
      <c r="Z516" s="3168"/>
      <c r="AA516" s="3163"/>
      <c r="AB516" s="3164"/>
      <c r="AC516" s="3166"/>
      <c r="AD516" s="3166"/>
      <c r="AE516" s="3168"/>
      <c r="AF516" s="3163"/>
      <c r="AG516" s="3164"/>
      <c r="AH516" s="3166"/>
      <c r="AI516" s="3166"/>
      <c r="AJ516" s="3143">
        <f>名簿入力!AK374</f>
        <v>0</v>
      </c>
      <c r="AK516" s="3144"/>
      <c r="AL516" s="3144"/>
      <c r="AM516" s="3144"/>
      <c r="AN516" s="3144"/>
      <c r="AO516" s="3145"/>
      <c r="AP516" s="3140"/>
      <c r="AQ516" s="3141"/>
      <c r="AR516" s="3141"/>
      <c r="AS516" s="3141"/>
      <c r="AT516" s="3142"/>
      <c r="AU516" s="113"/>
    </row>
    <row r="517" spans="2:50" ht="46.5" customHeight="1" x14ac:dyDescent="0.15">
      <c r="B517" s="524"/>
      <c r="C517" s="525"/>
      <c r="D517" s="525"/>
      <c r="E517" s="526"/>
      <c r="F517" s="527"/>
      <c r="G517" s="527"/>
      <c r="H517" s="528"/>
      <c r="I517" s="528"/>
      <c r="J517" s="529"/>
      <c r="K517" s="529"/>
      <c r="L517" s="528"/>
      <c r="M517" s="528"/>
      <c r="N517" s="529"/>
      <c r="O517" s="529"/>
      <c r="P517" s="529"/>
      <c r="Q517" s="528"/>
      <c r="R517" s="528"/>
      <c r="S517" s="529"/>
      <c r="T517" s="529"/>
      <c r="U517" s="529"/>
      <c r="V517" s="528"/>
      <c r="W517" s="528"/>
      <c r="X517" s="529"/>
      <c r="Y517" s="529"/>
      <c r="Z517" s="529"/>
      <c r="AA517" s="528"/>
      <c r="AB517" s="528"/>
      <c r="AC517" s="529"/>
      <c r="AD517" s="529"/>
      <c r="AE517" s="529"/>
      <c r="AF517" s="528"/>
      <c r="AG517" s="528"/>
      <c r="AH517" s="529"/>
      <c r="AI517" s="1112"/>
      <c r="AJ517" s="1113"/>
      <c r="AK517" s="1113"/>
      <c r="AL517" s="1113"/>
      <c r="AM517" s="1113"/>
      <c r="AN517" s="1113"/>
      <c r="AO517" s="1113"/>
      <c r="AP517" s="1114"/>
      <c r="AQ517" s="1114"/>
      <c r="AR517" s="1114"/>
      <c r="AS517" s="1114"/>
      <c r="AT517" s="1114"/>
      <c r="AU517" s="113"/>
    </row>
    <row r="518" spans="2:50" ht="26.25" customHeight="1" x14ac:dyDescent="0.15">
      <c r="C518" s="3279" t="s">
        <v>282</v>
      </c>
      <c r="D518" s="3279"/>
      <c r="E518" s="3279"/>
      <c r="F518" s="3279"/>
      <c r="G518" s="3279"/>
      <c r="H518" s="3279"/>
      <c r="I518" s="3279"/>
      <c r="J518" s="3279"/>
      <c r="K518" s="3279"/>
      <c r="L518" s="3279"/>
      <c r="M518" s="3279"/>
      <c r="N518" s="3279"/>
      <c r="O518" s="3279"/>
      <c r="P518" s="3279"/>
      <c r="Q518" s="3279"/>
      <c r="R518" s="3279"/>
      <c r="S518" s="3279"/>
      <c r="T518" s="3279"/>
      <c r="U518" s="3279"/>
      <c r="V518" s="3279"/>
      <c r="W518" s="3279"/>
      <c r="X518" s="3279"/>
      <c r="Y518" s="3279"/>
      <c r="Z518" s="3279"/>
      <c r="AA518" s="1014"/>
      <c r="AB518" s="1014"/>
      <c r="AC518" s="1014"/>
      <c r="AD518" s="1014"/>
      <c r="AE518" s="1014"/>
      <c r="AF518" s="1014"/>
      <c r="AG518" s="1014"/>
      <c r="AH518" s="1014"/>
      <c r="AI518" s="1014"/>
      <c r="AJ518" s="1014"/>
      <c r="AK518" s="1014"/>
      <c r="AL518" s="1014"/>
      <c r="AM518" s="1014"/>
      <c r="AN518" s="1014"/>
      <c r="AP518" s="499"/>
      <c r="AQ518" s="3230" t="s">
        <v>175</v>
      </c>
      <c r="AR518" s="3230"/>
      <c r="AS518" s="3230">
        <v>13</v>
      </c>
      <c r="AT518" s="3230"/>
    </row>
    <row r="519" spans="2:50" ht="3.75" customHeight="1" thickBot="1" x14ac:dyDescent="0.2">
      <c r="B519" s="854"/>
      <c r="C519" s="854"/>
      <c r="D519" s="854"/>
      <c r="E519" s="854"/>
      <c r="F519" s="854"/>
      <c r="G519" s="854"/>
      <c r="H519" s="854"/>
      <c r="I519" s="854"/>
      <c r="J519" s="854"/>
      <c r="K519" s="854"/>
      <c r="L519" s="854"/>
      <c r="M519" s="854"/>
      <c r="N519" s="854"/>
      <c r="O519" s="854"/>
      <c r="P519" s="854"/>
      <c r="Q519" s="854"/>
      <c r="R519" s="854"/>
      <c r="S519" s="854"/>
      <c r="T519" s="854"/>
      <c r="U519" s="854"/>
      <c r="V519" s="854"/>
      <c r="W519" s="854"/>
      <c r="X519" s="854"/>
      <c r="Y519" s="854"/>
      <c r="Z519" s="854"/>
      <c r="AA519" s="854"/>
      <c r="AB519" s="854"/>
      <c r="AC519" s="854"/>
      <c r="AD519" s="854"/>
      <c r="AE519" s="854"/>
      <c r="AF519" s="854"/>
      <c r="AG519" s="854"/>
      <c r="AH519" s="854"/>
      <c r="AI519" s="854"/>
      <c r="AJ519" s="854"/>
      <c r="AK519" s="854"/>
      <c r="AL519" s="854"/>
      <c r="AM519" s="854"/>
      <c r="AN519" s="854"/>
      <c r="AP519" s="499"/>
      <c r="AQ519" s="855"/>
      <c r="AR519" s="855"/>
      <c r="AS519" s="855"/>
      <c r="AT519" s="855"/>
    </row>
    <row r="520" spans="2:50" ht="15" customHeight="1" x14ac:dyDescent="0.15">
      <c r="B520" s="3231" t="s">
        <v>174</v>
      </c>
      <c r="C520" s="3232"/>
      <c r="D520" s="3235" t="str">
        <f>$D$4</f>
        <v xml:space="preserve"> </v>
      </c>
      <c r="E520" s="3235"/>
      <c r="F520" s="3235"/>
      <c r="G520" s="3235"/>
      <c r="H520" s="3235"/>
      <c r="I520" s="3235"/>
      <c r="J520" s="3235"/>
      <c r="K520" s="3235"/>
      <c r="L520" s="3235"/>
      <c r="M520" s="3235"/>
      <c r="N520" s="3235"/>
      <c r="O520" s="3235"/>
      <c r="P520" s="3235"/>
      <c r="Q520" s="3235"/>
      <c r="R520" s="3235"/>
      <c r="S520" s="3235"/>
      <c r="T520" s="3235"/>
      <c r="U520" s="3235"/>
      <c r="V520" s="3235"/>
      <c r="W520" s="3235"/>
      <c r="X520" s="3235"/>
      <c r="Y520" s="3235"/>
      <c r="Z520" s="3236"/>
      <c r="AA520" s="502"/>
      <c r="AB520" s="503"/>
      <c r="AC520" s="497"/>
      <c r="AD520" s="497"/>
      <c r="AE520" s="497"/>
      <c r="AF520" s="48"/>
      <c r="AG520" s="48"/>
      <c r="AJ520" s="48"/>
      <c r="AK520" s="48"/>
    </row>
    <row r="521" spans="2:50" ht="22.5" customHeight="1" x14ac:dyDescent="0.15">
      <c r="B521" s="3233"/>
      <c r="C521" s="3234"/>
      <c r="D521" s="3237"/>
      <c r="E521" s="3237"/>
      <c r="F521" s="3237"/>
      <c r="G521" s="3237"/>
      <c r="H521" s="3237"/>
      <c r="I521" s="3237"/>
      <c r="J521" s="3237"/>
      <c r="K521" s="3237"/>
      <c r="L521" s="3237"/>
      <c r="M521" s="3237"/>
      <c r="N521" s="3237"/>
      <c r="O521" s="3237"/>
      <c r="P521" s="3237"/>
      <c r="Q521" s="3237"/>
      <c r="R521" s="3237"/>
      <c r="S521" s="3237"/>
      <c r="T521" s="3237"/>
      <c r="U521" s="3237"/>
      <c r="V521" s="3237"/>
      <c r="W521" s="3237"/>
      <c r="X521" s="3237"/>
      <c r="Y521" s="3237"/>
      <c r="Z521" s="3238"/>
      <c r="AA521" s="502"/>
      <c r="AB521" s="504"/>
      <c r="AC521" s="497"/>
      <c r="AD521" s="497"/>
      <c r="AE521" s="497"/>
      <c r="AF521" s="497"/>
      <c r="AG521" s="48"/>
      <c r="AJ521" s="48"/>
      <c r="AK521" s="48"/>
    </row>
    <row r="522" spans="2:50" ht="24.75" customHeight="1" thickBot="1" x14ac:dyDescent="0.2">
      <c r="B522" s="3239" t="s">
        <v>173</v>
      </c>
      <c r="C522" s="3240"/>
      <c r="D522" s="3241">
        <f>$D$6</f>
        <v>0</v>
      </c>
      <c r="E522" s="3241"/>
      <c r="F522" s="513" t="s">
        <v>60</v>
      </c>
      <c r="G522" s="3241">
        <f>$G$6</f>
        <v>0</v>
      </c>
      <c r="H522" s="3241"/>
      <c r="I522" s="514" t="s">
        <v>61</v>
      </c>
      <c r="J522" s="3241">
        <f>$J$6</f>
        <v>0</v>
      </c>
      <c r="K522" s="3241"/>
      <c r="L522" s="514" t="s">
        <v>62</v>
      </c>
      <c r="M522" s="515" t="s">
        <v>96</v>
      </c>
      <c r="N522" s="514" t="str">
        <f>$N$6</f>
        <v/>
      </c>
      <c r="O522" s="514" t="s">
        <v>104</v>
      </c>
      <c r="P522" s="3242" t="s">
        <v>110</v>
      </c>
      <c r="Q522" s="3242"/>
      <c r="R522" s="3243" t="str">
        <f>$R$6</f>
        <v/>
      </c>
      <c r="S522" s="3243"/>
      <c r="T522" s="514" t="s">
        <v>61</v>
      </c>
      <c r="U522" s="3244" t="str">
        <f>$U$6</f>
        <v/>
      </c>
      <c r="V522" s="3244"/>
      <c r="W522" s="514" t="s">
        <v>62</v>
      </c>
      <c r="X522" s="515" t="s">
        <v>96</v>
      </c>
      <c r="Y522" s="516" t="str">
        <f>$Y$6</f>
        <v/>
      </c>
      <c r="Z522" s="517" t="s">
        <v>104</v>
      </c>
      <c r="AA522" s="507"/>
      <c r="AB522" s="48"/>
      <c r="AF522" s="48"/>
      <c r="AG522" s="48"/>
      <c r="AJ522" s="48"/>
      <c r="AK522" s="48"/>
    </row>
    <row r="523" spans="2:50" ht="13.5" customHeight="1" thickBot="1" x14ac:dyDescent="0.2">
      <c r="B523" s="508"/>
      <c r="C523" s="508"/>
      <c r="D523" s="509"/>
      <c r="E523" s="509"/>
      <c r="F523" s="509"/>
      <c r="G523" s="509"/>
      <c r="H523" s="509"/>
      <c r="I523" s="509"/>
      <c r="J523" s="509"/>
      <c r="K523" s="509"/>
      <c r="L523" s="509"/>
      <c r="M523" s="509"/>
      <c r="N523" s="509"/>
      <c r="O523" s="509"/>
      <c r="P523" s="509"/>
      <c r="Q523" s="509"/>
      <c r="R523" s="509"/>
      <c r="S523" s="509"/>
      <c r="T523" s="509"/>
      <c r="U523" s="509"/>
      <c r="V523" s="509"/>
      <c r="W523" s="509"/>
      <c r="X523" s="510"/>
      <c r="Y523" s="510"/>
      <c r="Z523" s="510"/>
      <c r="AA523" s="511"/>
      <c r="AB523" s="48"/>
      <c r="AF523" s="48"/>
      <c r="AG523" s="48"/>
      <c r="AJ523" s="48"/>
      <c r="AK523" s="48"/>
    </row>
    <row r="524" spans="2:50" ht="15" customHeight="1" x14ac:dyDescent="0.15">
      <c r="B524" s="3200" t="s">
        <v>287</v>
      </c>
      <c r="C524" s="3203" t="s">
        <v>167</v>
      </c>
      <c r="D524" s="1959"/>
      <c r="E524" s="1962" t="s">
        <v>341</v>
      </c>
      <c r="F524" s="2097" t="s">
        <v>166</v>
      </c>
      <c r="G524" s="2098"/>
      <c r="H524" s="3245" t="s">
        <v>165</v>
      </c>
      <c r="I524" s="3246"/>
      <c r="J524" s="3246"/>
      <c r="K524" s="3247"/>
      <c r="L524" s="3245" t="s">
        <v>164</v>
      </c>
      <c r="M524" s="3246"/>
      <c r="N524" s="3246"/>
      <c r="O524" s="3246"/>
      <c r="P524" s="3247"/>
      <c r="Q524" s="3245" t="s">
        <v>163</v>
      </c>
      <c r="R524" s="3246"/>
      <c r="S524" s="3246"/>
      <c r="T524" s="3246"/>
      <c r="U524" s="3247"/>
      <c r="V524" s="3245" t="s">
        <v>249</v>
      </c>
      <c r="W524" s="3246"/>
      <c r="X524" s="3246"/>
      <c r="Y524" s="3246"/>
      <c r="Z524" s="3247"/>
      <c r="AA524" s="3245" t="s">
        <v>250</v>
      </c>
      <c r="AB524" s="3246"/>
      <c r="AC524" s="3246"/>
      <c r="AD524" s="3246"/>
      <c r="AE524" s="3247"/>
      <c r="AF524" s="3245" t="s">
        <v>251</v>
      </c>
      <c r="AG524" s="3246"/>
      <c r="AH524" s="3246"/>
      <c r="AI524" s="3246"/>
      <c r="AJ524" s="3248" t="s">
        <v>438</v>
      </c>
      <c r="AK524" s="3249"/>
      <c r="AL524" s="3249"/>
      <c r="AM524" s="3249"/>
      <c r="AN524" s="3249"/>
      <c r="AO524" s="3250"/>
      <c r="AP524" s="3248" t="s">
        <v>162</v>
      </c>
      <c r="AQ524" s="3249"/>
      <c r="AR524" s="3249"/>
      <c r="AS524" s="3249"/>
      <c r="AT524" s="3250"/>
      <c r="AU524" s="117"/>
      <c r="AW524" s="501"/>
      <c r="AX524" s="501"/>
    </row>
    <row r="525" spans="2:50" ht="26.25" customHeight="1" x14ac:dyDescent="0.15">
      <c r="B525" s="3201"/>
      <c r="C525" s="3204"/>
      <c r="D525" s="1960"/>
      <c r="E525" s="1963"/>
      <c r="F525" s="2099"/>
      <c r="G525" s="1972"/>
      <c r="H525" s="3251" t="str">
        <f>$H$9</f>
        <v/>
      </c>
      <c r="I525" s="3252"/>
      <c r="J525" s="3252"/>
      <c r="K525" s="3253"/>
      <c r="L525" s="3254" t="str">
        <f>$L$9</f>
        <v/>
      </c>
      <c r="M525" s="3255"/>
      <c r="N525" s="3255"/>
      <c r="O525" s="3255"/>
      <c r="P525" s="3256"/>
      <c r="Q525" s="3254" t="str">
        <f>$Q$9</f>
        <v/>
      </c>
      <c r="R525" s="3255"/>
      <c r="S525" s="3255"/>
      <c r="T525" s="3255"/>
      <c r="U525" s="3256"/>
      <c r="V525" s="3254" t="str">
        <f>$V$9</f>
        <v/>
      </c>
      <c r="W525" s="3255"/>
      <c r="X525" s="3255"/>
      <c r="Y525" s="3255"/>
      <c r="Z525" s="3256"/>
      <c r="AA525" s="3254" t="str">
        <f>$AA$9</f>
        <v/>
      </c>
      <c r="AB525" s="3255"/>
      <c r="AC525" s="3255"/>
      <c r="AD525" s="3255"/>
      <c r="AE525" s="3256"/>
      <c r="AF525" s="3254" t="str">
        <f>$AF$9</f>
        <v/>
      </c>
      <c r="AG525" s="3255"/>
      <c r="AH525" s="3255"/>
      <c r="AI525" s="3255"/>
      <c r="AJ525" s="3257" t="s">
        <v>441</v>
      </c>
      <c r="AK525" s="3258"/>
      <c r="AL525" s="3258"/>
      <c r="AM525" s="3258"/>
      <c r="AN525" s="3258"/>
      <c r="AO525" s="3259"/>
      <c r="AP525" s="3263" t="s">
        <v>442</v>
      </c>
      <c r="AQ525" s="3264"/>
      <c r="AR525" s="3264"/>
      <c r="AS525" s="3264"/>
      <c r="AT525" s="3265"/>
      <c r="AU525" s="116"/>
    </row>
    <row r="526" spans="2:50" ht="16.5" customHeight="1" x14ac:dyDescent="0.15">
      <c r="B526" s="3201"/>
      <c r="C526" s="3204"/>
      <c r="D526" s="1960"/>
      <c r="E526" s="1963"/>
      <c r="F526" s="3266" t="s">
        <v>78</v>
      </c>
      <c r="G526" s="3206" t="s">
        <v>79</v>
      </c>
      <c r="H526" s="1974" t="s">
        <v>176</v>
      </c>
      <c r="I526" s="3208"/>
      <c r="J526" s="3210" t="s">
        <v>161</v>
      </c>
      <c r="K526" s="3211"/>
      <c r="L526" s="1974" t="s">
        <v>176</v>
      </c>
      <c r="M526" s="3208"/>
      <c r="N526" s="3210" t="s">
        <v>160</v>
      </c>
      <c r="O526" s="3213"/>
      <c r="P526" s="3211"/>
      <c r="Q526" s="1974" t="s">
        <v>176</v>
      </c>
      <c r="R526" s="3208"/>
      <c r="S526" s="3210" t="s">
        <v>160</v>
      </c>
      <c r="T526" s="3213"/>
      <c r="U526" s="3211"/>
      <c r="V526" s="1974" t="s">
        <v>176</v>
      </c>
      <c r="W526" s="3208"/>
      <c r="X526" s="3210" t="s">
        <v>160</v>
      </c>
      <c r="Y526" s="3213"/>
      <c r="Z526" s="3211"/>
      <c r="AA526" s="1974" t="s">
        <v>176</v>
      </c>
      <c r="AB526" s="3208"/>
      <c r="AC526" s="3210" t="s">
        <v>160</v>
      </c>
      <c r="AD526" s="3213"/>
      <c r="AE526" s="3211"/>
      <c r="AF526" s="1974" t="s">
        <v>176</v>
      </c>
      <c r="AG526" s="3208"/>
      <c r="AH526" s="3210" t="s">
        <v>160</v>
      </c>
      <c r="AI526" s="3213"/>
      <c r="AJ526" s="3257"/>
      <c r="AK526" s="3258"/>
      <c r="AL526" s="3258"/>
      <c r="AM526" s="3258"/>
      <c r="AN526" s="3258"/>
      <c r="AO526" s="3259"/>
      <c r="AP526" s="3257"/>
      <c r="AQ526" s="3258"/>
      <c r="AR526" s="3258"/>
      <c r="AS526" s="3258"/>
      <c r="AT526" s="3259"/>
      <c r="AU526" s="115"/>
    </row>
    <row r="527" spans="2:50" ht="19.5" customHeight="1" thickBot="1" x14ac:dyDescent="0.2">
      <c r="B527" s="3202"/>
      <c r="C527" s="3205"/>
      <c r="D527" s="1961"/>
      <c r="E527" s="1964"/>
      <c r="F527" s="3267"/>
      <c r="G527" s="3207"/>
      <c r="H527" s="1978"/>
      <c r="I527" s="3209"/>
      <c r="J527" s="523" t="s">
        <v>153</v>
      </c>
      <c r="K527" s="522" t="s">
        <v>280</v>
      </c>
      <c r="L527" s="1978"/>
      <c r="M527" s="3212"/>
      <c r="N527" s="523" t="s">
        <v>154</v>
      </c>
      <c r="O527" s="523" t="s">
        <v>153</v>
      </c>
      <c r="P527" s="522" t="s">
        <v>280</v>
      </c>
      <c r="Q527" s="1978"/>
      <c r="R527" s="3209"/>
      <c r="S527" s="523" t="s">
        <v>154</v>
      </c>
      <c r="T527" s="523" t="s">
        <v>153</v>
      </c>
      <c r="U527" s="522" t="s">
        <v>280</v>
      </c>
      <c r="V527" s="1978"/>
      <c r="W527" s="3209"/>
      <c r="X527" s="523" t="s">
        <v>154</v>
      </c>
      <c r="Y527" s="523" t="s">
        <v>153</v>
      </c>
      <c r="Z527" s="522" t="s">
        <v>280</v>
      </c>
      <c r="AA527" s="1978"/>
      <c r="AB527" s="3209"/>
      <c r="AC527" s="523" t="s">
        <v>154</v>
      </c>
      <c r="AD527" s="523" t="s">
        <v>153</v>
      </c>
      <c r="AE527" s="522" t="s">
        <v>280</v>
      </c>
      <c r="AF527" s="1978"/>
      <c r="AG527" s="3209"/>
      <c r="AH527" s="523" t="s">
        <v>154</v>
      </c>
      <c r="AI527" s="523" t="s">
        <v>153</v>
      </c>
      <c r="AJ527" s="3260"/>
      <c r="AK527" s="3261"/>
      <c r="AL527" s="3261"/>
      <c r="AM527" s="3261"/>
      <c r="AN527" s="3261"/>
      <c r="AO527" s="3262"/>
      <c r="AP527" s="3260"/>
      <c r="AQ527" s="3261"/>
      <c r="AR527" s="3261"/>
      <c r="AS527" s="3261"/>
      <c r="AT527" s="3262"/>
      <c r="AU527" s="114"/>
    </row>
    <row r="528" spans="2:50" ht="15" customHeight="1" x14ac:dyDescent="0.15">
      <c r="B528" s="3214" t="s">
        <v>159</v>
      </c>
      <c r="C528" s="3216" t="s">
        <v>158</v>
      </c>
      <c r="D528" s="3217"/>
      <c r="E528" s="3220" t="s">
        <v>157</v>
      </c>
      <c r="F528" s="3222" t="s">
        <v>98</v>
      </c>
      <c r="G528" s="3224"/>
      <c r="H528" s="3190" t="s">
        <v>155</v>
      </c>
      <c r="I528" s="3191"/>
      <c r="J528" s="3194" t="s">
        <v>98</v>
      </c>
      <c r="K528" s="3188" t="s">
        <v>98</v>
      </c>
      <c r="L528" s="3190" t="s">
        <v>155</v>
      </c>
      <c r="M528" s="3226"/>
      <c r="N528" s="3194" t="s">
        <v>98</v>
      </c>
      <c r="O528" s="3194" t="s">
        <v>98</v>
      </c>
      <c r="P528" s="3188" t="s">
        <v>98</v>
      </c>
      <c r="Q528" s="2087" t="s">
        <v>414</v>
      </c>
      <c r="R528" s="3196"/>
      <c r="S528" s="3194" t="s">
        <v>98</v>
      </c>
      <c r="T528" s="3198"/>
      <c r="U528" s="3228"/>
      <c r="V528" s="3190"/>
      <c r="W528" s="3191"/>
      <c r="X528" s="3194"/>
      <c r="Y528" s="3194"/>
      <c r="Z528" s="3188"/>
      <c r="AA528" s="3190"/>
      <c r="AB528" s="3191"/>
      <c r="AC528" s="3194"/>
      <c r="AD528" s="3194"/>
      <c r="AE528" s="3188"/>
      <c r="AF528" s="2087"/>
      <c r="AG528" s="3196"/>
      <c r="AH528" s="3194"/>
      <c r="AI528" s="3198"/>
      <c r="AJ528" s="2032" t="s">
        <v>433</v>
      </c>
      <c r="AK528" s="2033"/>
      <c r="AL528" s="2033"/>
      <c r="AM528" s="2033"/>
      <c r="AN528" s="2033"/>
      <c r="AO528" s="2034"/>
      <c r="AP528" s="2026" t="s">
        <v>342</v>
      </c>
      <c r="AQ528" s="2027"/>
      <c r="AR528" s="2027"/>
      <c r="AS528" s="2027"/>
      <c r="AT528" s="2028"/>
      <c r="AU528" s="113"/>
    </row>
    <row r="529" spans="2:47" ht="15" customHeight="1" x14ac:dyDescent="0.15">
      <c r="B529" s="3215"/>
      <c r="C529" s="3218"/>
      <c r="D529" s="3219"/>
      <c r="E529" s="3221"/>
      <c r="F529" s="3223"/>
      <c r="G529" s="3225"/>
      <c r="H529" s="3192"/>
      <c r="I529" s="3193"/>
      <c r="J529" s="3195"/>
      <c r="K529" s="3189"/>
      <c r="L529" s="3192"/>
      <c r="M529" s="3227"/>
      <c r="N529" s="3195"/>
      <c r="O529" s="3195"/>
      <c r="P529" s="3189"/>
      <c r="Q529" s="2089"/>
      <c r="R529" s="3197"/>
      <c r="S529" s="3195"/>
      <c r="T529" s="3199"/>
      <c r="U529" s="3229"/>
      <c r="V529" s="3192"/>
      <c r="W529" s="3193"/>
      <c r="X529" s="3195"/>
      <c r="Y529" s="3195"/>
      <c r="Z529" s="3189"/>
      <c r="AA529" s="3192"/>
      <c r="AB529" s="3193"/>
      <c r="AC529" s="3195"/>
      <c r="AD529" s="3195"/>
      <c r="AE529" s="3189"/>
      <c r="AF529" s="2089"/>
      <c r="AG529" s="3197"/>
      <c r="AH529" s="3195"/>
      <c r="AI529" s="3199"/>
      <c r="AJ529" s="2035" t="s">
        <v>434</v>
      </c>
      <c r="AK529" s="2036"/>
      <c r="AL529" s="2036"/>
      <c r="AM529" s="2036"/>
      <c r="AN529" s="2036"/>
      <c r="AO529" s="2037"/>
      <c r="AP529" s="2029"/>
      <c r="AQ529" s="2030"/>
      <c r="AR529" s="2030"/>
      <c r="AS529" s="2030"/>
      <c r="AT529" s="2031"/>
      <c r="AU529" s="113"/>
    </row>
    <row r="530" spans="2:47" ht="15" customHeight="1" x14ac:dyDescent="0.15">
      <c r="B530" s="3149">
        <v>181</v>
      </c>
      <c r="C530" s="3151">
        <f>名簿入力!D375</f>
        <v>0</v>
      </c>
      <c r="D530" s="3152"/>
      <c r="E530" s="3155">
        <f>名簿入力!E375</f>
        <v>0</v>
      </c>
      <c r="F530" s="3157">
        <f>名簿入力!G375</f>
        <v>0</v>
      </c>
      <c r="G530" s="3159">
        <f>名簿入力!H375</f>
        <v>0</v>
      </c>
      <c r="H530" s="3161">
        <f>名簿入力!I375</f>
        <v>0</v>
      </c>
      <c r="I530" s="3162"/>
      <c r="J530" s="3165">
        <f>名簿入力!K375</f>
        <v>0</v>
      </c>
      <c r="K530" s="3167">
        <f>名簿入力!L375</f>
        <v>0</v>
      </c>
      <c r="L530" s="3161">
        <f>名簿入力!M375</f>
        <v>0</v>
      </c>
      <c r="M530" s="3169"/>
      <c r="N530" s="3165">
        <f>名簿入力!O375</f>
        <v>0</v>
      </c>
      <c r="O530" s="3165">
        <f>名簿入力!P375</f>
        <v>0</v>
      </c>
      <c r="P530" s="3167">
        <f>名簿入力!Q375</f>
        <v>0</v>
      </c>
      <c r="Q530" s="3161">
        <f>名簿入力!R375</f>
        <v>0</v>
      </c>
      <c r="R530" s="3162"/>
      <c r="S530" s="3165">
        <f>名簿入力!T375</f>
        <v>0</v>
      </c>
      <c r="T530" s="3165">
        <f>名簿入力!U375</f>
        <v>0</v>
      </c>
      <c r="U530" s="3167">
        <f>名簿入力!V375</f>
        <v>0</v>
      </c>
      <c r="V530" s="3161">
        <f>名簿入力!W375</f>
        <v>0</v>
      </c>
      <c r="W530" s="3162"/>
      <c r="X530" s="3165">
        <f>名簿入力!Y375</f>
        <v>0</v>
      </c>
      <c r="Y530" s="3165">
        <f>名簿入力!Z375</f>
        <v>0</v>
      </c>
      <c r="Z530" s="3167">
        <f>名簿入力!AA375</f>
        <v>0</v>
      </c>
      <c r="AA530" s="3161">
        <f>名簿入力!AB375</f>
        <v>0</v>
      </c>
      <c r="AB530" s="3162"/>
      <c r="AC530" s="3165">
        <f>名簿入力!AD375</f>
        <v>0</v>
      </c>
      <c r="AD530" s="3165">
        <f>名簿入力!AE375</f>
        <v>0</v>
      </c>
      <c r="AE530" s="3167">
        <f>名簿入力!AF375</f>
        <v>0</v>
      </c>
      <c r="AF530" s="3161">
        <f>名簿入力!AG375</f>
        <v>0</v>
      </c>
      <c r="AG530" s="3162"/>
      <c r="AH530" s="3165">
        <f>名簿入力!AI375</f>
        <v>0</v>
      </c>
      <c r="AI530" s="3165">
        <f>名簿入力!AJ375</f>
        <v>0</v>
      </c>
      <c r="AJ530" s="3175">
        <f>名簿入力!AK375</f>
        <v>0</v>
      </c>
      <c r="AK530" s="3176"/>
      <c r="AL530" s="3176"/>
      <c r="AM530" s="3176"/>
      <c r="AN530" s="3176"/>
      <c r="AO530" s="3177"/>
      <c r="AP530" s="3137">
        <f>名簿入力!AO375</f>
        <v>0</v>
      </c>
      <c r="AQ530" s="3138"/>
      <c r="AR530" s="3138"/>
      <c r="AS530" s="3138"/>
      <c r="AT530" s="3139"/>
      <c r="AU530" s="113"/>
    </row>
    <row r="531" spans="2:47" ht="15" customHeight="1" x14ac:dyDescent="0.15">
      <c r="B531" s="3181"/>
      <c r="C531" s="3182"/>
      <c r="D531" s="3183"/>
      <c r="E531" s="3184"/>
      <c r="F531" s="3185"/>
      <c r="G531" s="3186"/>
      <c r="H531" s="3173"/>
      <c r="I531" s="3174"/>
      <c r="J531" s="3171"/>
      <c r="K531" s="3172"/>
      <c r="L531" s="3173"/>
      <c r="M531" s="3187"/>
      <c r="N531" s="3171"/>
      <c r="O531" s="3171"/>
      <c r="P531" s="3172"/>
      <c r="Q531" s="3173"/>
      <c r="R531" s="3174"/>
      <c r="S531" s="3171"/>
      <c r="T531" s="3171"/>
      <c r="U531" s="3172"/>
      <c r="V531" s="3173"/>
      <c r="W531" s="3174"/>
      <c r="X531" s="3171"/>
      <c r="Y531" s="3171"/>
      <c r="Z531" s="3172"/>
      <c r="AA531" s="3173"/>
      <c r="AB531" s="3174"/>
      <c r="AC531" s="3171"/>
      <c r="AD531" s="3171"/>
      <c r="AE531" s="3172"/>
      <c r="AF531" s="3173"/>
      <c r="AG531" s="3174"/>
      <c r="AH531" s="3171"/>
      <c r="AI531" s="3171"/>
      <c r="AJ531" s="3146">
        <f>名簿入力!AK376</f>
        <v>0</v>
      </c>
      <c r="AK531" s="3147"/>
      <c r="AL531" s="3147"/>
      <c r="AM531" s="3147"/>
      <c r="AN531" s="3147"/>
      <c r="AO531" s="3148"/>
      <c r="AP531" s="3178"/>
      <c r="AQ531" s="3179"/>
      <c r="AR531" s="3179"/>
      <c r="AS531" s="3179"/>
      <c r="AT531" s="3180"/>
      <c r="AU531" s="113"/>
    </row>
    <row r="532" spans="2:47" ht="15" customHeight="1" x14ac:dyDescent="0.15">
      <c r="B532" s="3149">
        <v>182</v>
      </c>
      <c r="C532" s="3151">
        <f>名簿入力!D377</f>
        <v>0</v>
      </c>
      <c r="D532" s="3152"/>
      <c r="E532" s="3155">
        <f>名簿入力!E377</f>
        <v>0</v>
      </c>
      <c r="F532" s="3157">
        <f>名簿入力!G377</f>
        <v>0</v>
      </c>
      <c r="G532" s="3159">
        <f>名簿入力!H377</f>
        <v>0</v>
      </c>
      <c r="H532" s="3161">
        <f>名簿入力!I377</f>
        <v>0</v>
      </c>
      <c r="I532" s="3162"/>
      <c r="J532" s="3165">
        <f>名簿入力!K377</f>
        <v>0</v>
      </c>
      <c r="K532" s="3167">
        <f>名簿入力!L377</f>
        <v>0</v>
      </c>
      <c r="L532" s="3161">
        <f>名簿入力!M377</f>
        <v>0</v>
      </c>
      <c r="M532" s="3169"/>
      <c r="N532" s="3165">
        <f>名簿入力!O377</f>
        <v>0</v>
      </c>
      <c r="O532" s="3165">
        <f>名簿入力!P377</f>
        <v>0</v>
      </c>
      <c r="P532" s="3167">
        <f>名簿入力!Q377</f>
        <v>0</v>
      </c>
      <c r="Q532" s="3161">
        <f>名簿入力!R377</f>
        <v>0</v>
      </c>
      <c r="R532" s="3162"/>
      <c r="S532" s="3165">
        <f>名簿入力!T377</f>
        <v>0</v>
      </c>
      <c r="T532" s="3165">
        <f>名簿入力!U377</f>
        <v>0</v>
      </c>
      <c r="U532" s="3167">
        <f>名簿入力!V377</f>
        <v>0</v>
      </c>
      <c r="V532" s="3161">
        <f>名簿入力!W377</f>
        <v>0</v>
      </c>
      <c r="W532" s="3162"/>
      <c r="X532" s="3165">
        <f>名簿入力!Y377</f>
        <v>0</v>
      </c>
      <c r="Y532" s="3165">
        <f>名簿入力!Z377</f>
        <v>0</v>
      </c>
      <c r="Z532" s="3167">
        <f>名簿入力!AA377</f>
        <v>0</v>
      </c>
      <c r="AA532" s="3161">
        <f>名簿入力!AB377</f>
        <v>0</v>
      </c>
      <c r="AB532" s="3162"/>
      <c r="AC532" s="3165">
        <f>名簿入力!AD377</f>
        <v>0</v>
      </c>
      <c r="AD532" s="3165">
        <f>名簿入力!AE377</f>
        <v>0</v>
      </c>
      <c r="AE532" s="3167">
        <f>名簿入力!AF377</f>
        <v>0</v>
      </c>
      <c r="AF532" s="3161">
        <f>名簿入力!AG377</f>
        <v>0</v>
      </c>
      <c r="AG532" s="3162"/>
      <c r="AH532" s="3165">
        <f>名簿入力!AI377</f>
        <v>0</v>
      </c>
      <c r="AI532" s="3165">
        <f>名簿入力!AJ377</f>
        <v>0</v>
      </c>
      <c r="AJ532" s="3175">
        <f>名簿入力!AK377</f>
        <v>0</v>
      </c>
      <c r="AK532" s="3176"/>
      <c r="AL532" s="3176"/>
      <c r="AM532" s="3176"/>
      <c r="AN532" s="3176"/>
      <c r="AO532" s="3177"/>
      <c r="AP532" s="3137">
        <f>名簿入力!AO377</f>
        <v>0</v>
      </c>
      <c r="AQ532" s="3138"/>
      <c r="AR532" s="3138"/>
      <c r="AS532" s="3138"/>
      <c r="AT532" s="3139"/>
      <c r="AU532" s="113"/>
    </row>
    <row r="533" spans="2:47" ht="15" customHeight="1" x14ac:dyDescent="0.15">
      <c r="B533" s="3181"/>
      <c r="C533" s="3182"/>
      <c r="D533" s="3183"/>
      <c r="E533" s="3184"/>
      <c r="F533" s="3185"/>
      <c r="G533" s="3186"/>
      <c r="H533" s="3173"/>
      <c r="I533" s="3174"/>
      <c r="J533" s="3171"/>
      <c r="K533" s="3172"/>
      <c r="L533" s="3173"/>
      <c r="M533" s="3187"/>
      <c r="N533" s="3171"/>
      <c r="O533" s="3171"/>
      <c r="P533" s="3172"/>
      <c r="Q533" s="3173"/>
      <c r="R533" s="3174"/>
      <c r="S533" s="3171"/>
      <c r="T533" s="3171"/>
      <c r="U533" s="3172"/>
      <c r="V533" s="3173"/>
      <c r="W533" s="3174"/>
      <c r="X533" s="3171"/>
      <c r="Y533" s="3171"/>
      <c r="Z533" s="3172"/>
      <c r="AA533" s="3173"/>
      <c r="AB533" s="3174"/>
      <c r="AC533" s="3171"/>
      <c r="AD533" s="3171"/>
      <c r="AE533" s="3172"/>
      <c r="AF533" s="3173"/>
      <c r="AG533" s="3174"/>
      <c r="AH533" s="3171"/>
      <c r="AI533" s="3171"/>
      <c r="AJ533" s="3146">
        <f>名簿入力!AK378</f>
        <v>0</v>
      </c>
      <c r="AK533" s="3147"/>
      <c r="AL533" s="3147"/>
      <c r="AM533" s="3147"/>
      <c r="AN533" s="3147"/>
      <c r="AO533" s="3148"/>
      <c r="AP533" s="3178"/>
      <c r="AQ533" s="3179"/>
      <c r="AR533" s="3179"/>
      <c r="AS533" s="3179"/>
      <c r="AT533" s="3180"/>
      <c r="AU533" s="113"/>
    </row>
    <row r="534" spans="2:47" ht="15" customHeight="1" x14ac:dyDescent="0.15">
      <c r="B534" s="3149">
        <v>183</v>
      </c>
      <c r="C534" s="3151">
        <f>名簿入力!D379</f>
        <v>0</v>
      </c>
      <c r="D534" s="3152"/>
      <c r="E534" s="3155">
        <f>名簿入力!E379</f>
        <v>0</v>
      </c>
      <c r="F534" s="3157">
        <f>名簿入力!G379</f>
        <v>0</v>
      </c>
      <c r="G534" s="3159">
        <f>名簿入力!H379</f>
        <v>0</v>
      </c>
      <c r="H534" s="3161">
        <f>名簿入力!I379</f>
        <v>0</v>
      </c>
      <c r="I534" s="3162"/>
      <c r="J534" s="3165">
        <f>名簿入力!K379</f>
        <v>0</v>
      </c>
      <c r="K534" s="3167">
        <f>名簿入力!L379</f>
        <v>0</v>
      </c>
      <c r="L534" s="3161">
        <f>名簿入力!M379</f>
        <v>0</v>
      </c>
      <c r="M534" s="3169"/>
      <c r="N534" s="3165">
        <f>名簿入力!O379</f>
        <v>0</v>
      </c>
      <c r="O534" s="3165">
        <f>名簿入力!P379</f>
        <v>0</v>
      </c>
      <c r="P534" s="3167">
        <f>名簿入力!Q379</f>
        <v>0</v>
      </c>
      <c r="Q534" s="3161">
        <f>名簿入力!R379</f>
        <v>0</v>
      </c>
      <c r="R534" s="3162"/>
      <c r="S534" s="3165">
        <f>名簿入力!T379</f>
        <v>0</v>
      </c>
      <c r="T534" s="3165">
        <f>名簿入力!U379</f>
        <v>0</v>
      </c>
      <c r="U534" s="3167">
        <f>名簿入力!V379</f>
        <v>0</v>
      </c>
      <c r="V534" s="3161">
        <f>名簿入力!W379</f>
        <v>0</v>
      </c>
      <c r="W534" s="3162"/>
      <c r="X534" s="3165">
        <f>名簿入力!Y379</f>
        <v>0</v>
      </c>
      <c r="Y534" s="3165">
        <f>名簿入力!Z379</f>
        <v>0</v>
      </c>
      <c r="Z534" s="3167">
        <f>名簿入力!AA379</f>
        <v>0</v>
      </c>
      <c r="AA534" s="3161">
        <f>名簿入力!AB379</f>
        <v>0</v>
      </c>
      <c r="AB534" s="3162"/>
      <c r="AC534" s="3165">
        <f>名簿入力!AD379</f>
        <v>0</v>
      </c>
      <c r="AD534" s="3165">
        <f>名簿入力!AE379</f>
        <v>0</v>
      </c>
      <c r="AE534" s="3167">
        <f>名簿入力!AF379</f>
        <v>0</v>
      </c>
      <c r="AF534" s="3161">
        <f>名簿入力!AG379</f>
        <v>0</v>
      </c>
      <c r="AG534" s="3162"/>
      <c r="AH534" s="3165">
        <f>名簿入力!AI379</f>
        <v>0</v>
      </c>
      <c r="AI534" s="3165">
        <f>名簿入力!AJ379</f>
        <v>0</v>
      </c>
      <c r="AJ534" s="3175">
        <f>名簿入力!AK379</f>
        <v>0</v>
      </c>
      <c r="AK534" s="3176"/>
      <c r="AL534" s="3176"/>
      <c r="AM534" s="3176"/>
      <c r="AN534" s="3176"/>
      <c r="AO534" s="3177"/>
      <c r="AP534" s="3137">
        <f>名簿入力!AO379</f>
        <v>0</v>
      </c>
      <c r="AQ534" s="3138"/>
      <c r="AR534" s="3138"/>
      <c r="AS534" s="3138"/>
      <c r="AT534" s="3139"/>
      <c r="AU534" s="113"/>
    </row>
    <row r="535" spans="2:47" ht="15" customHeight="1" x14ac:dyDescent="0.15">
      <c r="B535" s="3181"/>
      <c r="C535" s="3182"/>
      <c r="D535" s="3183"/>
      <c r="E535" s="3184"/>
      <c r="F535" s="3185"/>
      <c r="G535" s="3186"/>
      <c r="H535" s="3173"/>
      <c r="I535" s="3174"/>
      <c r="J535" s="3171"/>
      <c r="K535" s="3172"/>
      <c r="L535" s="3173"/>
      <c r="M535" s="3187"/>
      <c r="N535" s="3171"/>
      <c r="O535" s="3171"/>
      <c r="P535" s="3172"/>
      <c r="Q535" s="3173"/>
      <c r="R535" s="3174"/>
      <c r="S535" s="3171"/>
      <c r="T535" s="3171"/>
      <c r="U535" s="3172"/>
      <c r="V535" s="3173"/>
      <c r="W535" s="3174"/>
      <c r="X535" s="3171"/>
      <c r="Y535" s="3171"/>
      <c r="Z535" s="3172"/>
      <c r="AA535" s="3173"/>
      <c r="AB535" s="3174"/>
      <c r="AC535" s="3171"/>
      <c r="AD535" s="3171"/>
      <c r="AE535" s="3172"/>
      <c r="AF535" s="3173"/>
      <c r="AG535" s="3174"/>
      <c r="AH535" s="3171"/>
      <c r="AI535" s="3171"/>
      <c r="AJ535" s="3146">
        <f>名簿入力!AK380</f>
        <v>0</v>
      </c>
      <c r="AK535" s="3147"/>
      <c r="AL535" s="3147"/>
      <c r="AM535" s="3147"/>
      <c r="AN535" s="3147"/>
      <c r="AO535" s="3148"/>
      <c r="AP535" s="3178"/>
      <c r="AQ535" s="3179"/>
      <c r="AR535" s="3179"/>
      <c r="AS535" s="3179"/>
      <c r="AT535" s="3180"/>
      <c r="AU535" s="113"/>
    </row>
    <row r="536" spans="2:47" ht="15" customHeight="1" x14ac:dyDescent="0.15">
      <c r="B536" s="3149">
        <v>184</v>
      </c>
      <c r="C536" s="3151">
        <f>名簿入力!D381</f>
        <v>0</v>
      </c>
      <c r="D536" s="3152"/>
      <c r="E536" s="3155">
        <f>名簿入力!E381</f>
        <v>0</v>
      </c>
      <c r="F536" s="3157">
        <f>名簿入力!G381</f>
        <v>0</v>
      </c>
      <c r="G536" s="3159">
        <f>名簿入力!H381</f>
        <v>0</v>
      </c>
      <c r="H536" s="3161">
        <f>名簿入力!I381</f>
        <v>0</v>
      </c>
      <c r="I536" s="3162"/>
      <c r="J536" s="3165">
        <f>名簿入力!K381</f>
        <v>0</v>
      </c>
      <c r="K536" s="3167">
        <f>名簿入力!L381</f>
        <v>0</v>
      </c>
      <c r="L536" s="3161">
        <f>名簿入力!M381</f>
        <v>0</v>
      </c>
      <c r="M536" s="3169"/>
      <c r="N536" s="3165">
        <f>名簿入力!O381</f>
        <v>0</v>
      </c>
      <c r="O536" s="3165">
        <f>名簿入力!P381</f>
        <v>0</v>
      </c>
      <c r="P536" s="3167">
        <f>名簿入力!Q381</f>
        <v>0</v>
      </c>
      <c r="Q536" s="3161">
        <f>名簿入力!R381</f>
        <v>0</v>
      </c>
      <c r="R536" s="3162"/>
      <c r="S536" s="3165">
        <f>名簿入力!T381</f>
        <v>0</v>
      </c>
      <c r="T536" s="3165">
        <f>名簿入力!U381</f>
        <v>0</v>
      </c>
      <c r="U536" s="3167">
        <f>名簿入力!V381</f>
        <v>0</v>
      </c>
      <c r="V536" s="3161">
        <f>名簿入力!W381</f>
        <v>0</v>
      </c>
      <c r="W536" s="3162"/>
      <c r="X536" s="3165">
        <f>名簿入力!Y381</f>
        <v>0</v>
      </c>
      <c r="Y536" s="3165">
        <f>名簿入力!Z381</f>
        <v>0</v>
      </c>
      <c r="Z536" s="3167">
        <f>名簿入力!AA381</f>
        <v>0</v>
      </c>
      <c r="AA536" s="3161">
        <f>名簿入力!AB381</f>
        <v>0</v>
      </c>
      <c r="AB536" s="3162"/>
      <c r="AC536" s="3165">
        <f>名簿入力!AD381</f>
        <v>0</v>
      </c>
      <c r="AD536" s="3165">
        <f>名簿入力!AE381</f>
        <v>0</v>
      </c>
      <c r="AE536" s="3167">
        <f>名簿入力!AF381</f>
        <v>0</v>
      </c>
      <c r="AF536" s="3161">
        <f>名簿入力!AG381</f>
        <v>0</v>
      </c>
      <c r="AG536" s="3162"/>
      <c r="AH536" s="3165">
        <f>名簿入力!AI381</f>
        <v>0</v>
      </c>
      <c r="AI536" s="3165">
        <f>名簿入力!AJ381</f>
        <v>0</v>
      </c>
      <c r="AJ536" s="3175">
        <f>名簿入力!AK381</f>
        <v>0</v>
      </c>
      <c r="AK536" s="3176"/>
      <c r="AL536" s="3176"/>
      <c r="AM536" s="3176"/>
      <c r="AN536" s="3176"/>
      <c r="AO536" s="3177"/>
      <c r="AP536" s="3137">
        <f>名簿入力!AO381</f>
        <v>0</v>
      </c>
      <c r="AQ536" s="3138"/>
      <c r="AR536" s="3138"/>
      <c r="AS536" s="3138"/>
      <c r="AT536" s="3139"/>
      <c r="AU536" s="113"/>
    </row>
    <row r="537" spans="2:47" ht="15" customHeight="1" x14ac:dyDescent="0.15">
      <c r="B537" s="3181"/>
      <c r="C537" s="3182"/>
      <c r="D537" s="3183"/>
      <c r="E537" s="3184"/>
      <c r="F537" s="3185"/>
      <c r="G537" s="3186"/>
      <c r="H537" s="3173"/>
      <c r="I537" s="3174"/>
      <c r="J537" s="3171"/>
      <c r="K537" s="3172"/>
      <c r="L537" s="3173"/>
      <c r="M537" s="3187"/>
      <c r="N537" s="3171"/>
      <c r="O537" s="3171"/>
      <c r="P537" s="3172"/>
      <c r="Q537" s="3173"/>
      <c r="R537" s="3174"/>
      <c r="S537" s="3171"/>
      <c r="T537" s="3171"/>
      <c r="U537" s="3172"/>
      <c r="V537" s="3173"/>
      <c r="W537" s="3174"/>
      <c r="X537" s="3171"/>
      <c r="Y537" s="3171"/>
      <c r="Z537" s="3172"/>
      <c r="AA537" s="3173"/>
      <c r="AB537" s="3174"/>
      <c r="AC537" s="3171"/>
      <c r="AD537" s="3171"/>
      <c r="AE537" s="3172"/>
      <c r="AF537" s="3173"/>
      <c r="AG537" s="3174"/>
      <c r="AH537" s="3171"/>
      <c r="AI537" s="3171"/>
      <c r="AJ537" s="3146">
        <f>名簿入力!AK382</f>
        <v>0</v>
      </c>
      <c r="AK537" s="3147"/>
      <c r="AL537" s="3147"/>
      <c r="AM537" s="3147"/>
      <c r="AN537" s="3147"/>
      <c r="AO537" s="3148"/>
      <c r="AP537" s="3178"/>
      <c r="AQ537" s="3179"/>
      <c r="AR537" s="3179"/>
      <c r="AS537" s="3179"/>
      <c r="AT537" s="3180"/>
      <c r="AU537" s="113"/>
    </row>
    <row r="538" spans="2:47" ht="15" customHeight="1" x14ac:dyDescent="0.15">
      <c r="B538" s="3149">
        <v>185</v>
      </c>
      <c r="C538" s="3151">
        <f>名簿入力!D383</f>
        <v>0</v>
      </c>
      <c r="D538" s="3152"/>
      <c r="E538" s="3155">
        <f>名簿入力!E383</f>
        <v>0</v>
      </c>
      <c r="F538" s="3157">
        <f>名簿入力!G383</f>
        <v>0</v>
      </c>
      <c r="G538" s="3159">
        <f>名簿入力!H383</f>
        <v>0</v>
      </c>
      <c r="H538" s="3161">
        <f>名簿入力!I383</f>
        <v>0</v>
      </c>
      <c r="I538" s="3162"/>
      <c r="J538" s="3165">
        <f>名簿入力!K383</f>
        <v>0</v>
      </c>
      <c r="K538" s="3167">
        <f>名簿入力!L383</f>
        <v>0</v>
      </c>
      <c r="L538" s="3161">
        <f>名簿入力!M383</f>
        <v>0</v>
      </c>
      <c r="M538" s="3169"/>
      <c r="N538" s="3165">
        <f>名簿入力!O383</f>
        <v>0</v>
      </c>
      <c r="O538" s="3165">
        <f>名簿入力!P383</f>
        <v>0</v>
      </c>
      <c r="P538" s="3167">
        <f>名簿入力!Q383</f>
        <v>0</v>
      </c>
      <c r="Q538" s="3161">
        <f>名簿入力!R383</f>
        <v>0</v>
      </c>
      <c r="R538" s="3162"/>
      <c r="S538" s="3165">
        <f>名簿入力!T383</f>
        <v>0</v>
      </c>
      <c r="T538" s="3165">
        <f>名簿入力!U383</f>
        <v>0</v>
      </c>
      <c r="U538" s="3167">
        <f>名簿入力!V383</f>
        <v>0</v>
      </c>
      <c r="V538" s="3161">
        <f>名簿入力!W383</f>
        <v>0</v>
      </c>
      <c r="W538" s="3162"/>
      <c r="X538" s="3165">
        <f>名簿入力!Y383</f>
        <v>0</v>
      </c>
      <c r="Y538" s="3165">
        <f>名簿入力!Z383</f>
        <v>0</v>
      </c>
      <c r="Z538" s="3167">
        <f>名簿入力!AA383</f>
        <v>0</v>
      </c>
      <c r="AA538" s="3161">
        <f>名簿入力!AB383</f>
        <v>0</v>
      </c>
      <c r="AB538" s="3162"/>
      <c r="AC538" s="3165">
        <f>名簿入力!AD383</f>
        <v>0</v>
      </c>
      <c r="AD538" s="3165">
        <f>名簿入力!AE383</f>
        <v>0</v>
      </c>
      <c r="AE538" s="3167">
        <f>名簿入力!AF383</f>
        <v>0</v>
      </c>
      <c r="AF538" s="3161">
        <f>名簿入力!AG383</f>
        <v>0</v>
      </c>
      <c r="AG538" s="3162"/>
      <c r="AH538" s="3165">
        <f>名簿入力!AI383</f>
        <v>0</v>
      </c>
      <c r="AI538" s="3165">
        <f>名簿入力!AJ383</f>
        <v>0</v>
      </c>
      <c r="AJ538" s="3175">
        <f>名簿入力!AK383</f>
        <v>0</v>
      </c>
      <c r="AK538" s="3176"/>
      <c r="AL538" s="3176"/>
      <c r="AM538" s="3176"/>
      <c r="AN538" s="3176"/>
      <c r="AO538" s="3177"/>
      <c r="AP538" s="3137">
        <f>名簿入力!AO383</f>
        <v>0</v>
      </c>
      <c r="AQ538" s="3138"/>
      <c r="AR538" s="3138"/>
      <c r="AS538" s="3138"/>
      <c r="AT538" s="3139"/>
      <c r="AU538" s="113"/>
    </row>
    <row r="539" spans="2:47" ht="15" customHeight="1" x14ac:dyDescent="0.15">
      <c r="B539" s="3181"/>
      <c r="C539" s="3182"/>
      <c r="D539" s="3183"/>
      <c r="E539" s="3184"/>
      <c r="F539" s="3185"/>
      <c r="G539" s="3186"/>
      <c r="H539" s="3173"/>
      <c r="I539" s="3174"/>
      <c r="J539" s="3171"/>
      <c r="K539" s="3172"/>
      <c r="L539" s="3173"/>
      <c r="M539" s="3187"/>
      <c r="N539" s="3171"/>
      <c r="O539" s="3171"/>
      <c r="P539" s="3172"/>
      <c r="Q539" s="3173"/>
      <c r="R539" s="3174"/>
      <c r="S539" s="3171"/>
      <c r="T539" s="3171"/>
      <c r="U539" s="3172"/>
      <c r="V539" s="3173"/>
      <c r="W539" s="3174"/>
      <c r="X539" s="3171"/>
      <c r="Y539" s="3171"/>
      <c r="Z539" s="3172"/>
      <c r="AA539" s="3173"/>
      <c r="AB539" s="3174"/>
      <c r="AC539" s="3171"/>
      <c r="AD539" s="3171"/>
      <c r="AE539" s="3172"/>
      <c r="AF539" s="3173"/>
      <c r="AG539" s="3174"/>
      <c r="AH539" s="3171"/>
      <c r="AI539" s="3171"/>
      <c r="AJ539" s="3146">
        <f>名簿入力!AK384</f>
        <v>0</v>
      </c>
      <c r="AK539" s="3147"/>
      <c r="AL539" s="3147"/>
      <c r="AM539" s="3147"/>
      <c r="AN539" s="3147"/>
      <c r="AO539" s="3148"/>
      <c r="AP539" s="3178"/>
      <c r="AQ539" s="3179"/>
      <c r="AR539" s="3179"/>
      <c r="AS539" s="3179"/>
      <c r="AT539" s="3180"/>
      <c r="AU539" s="113"/>
    </row>
    <row r="540" spans="2:47" ht="15" customHeight="1" x14ac:dyDescent="0.15">
      <c r="B540" s="3149">
        <v>186</v>
      </c>
      <c r="C540" s="3151">
        <f>名簿入力!D385</f>
        <v>0</v>
      </c>
      <c r="D540" s="3152"/>
      <c r="E540" s="3155">
        <f>名簿入力!E385</f>
        <v>0</v>
      </c>
      <c r="F540" s="3157">
        <f>名簿入力!G385</f>
        <v>0</v>
      </c>
      <c r="G540" s="3159">
        <f>名簿入力!H385</f>
        <v>0</v>
      </c>
      <c r="H540" s="3161">
        <f>名簿入力!I385</f>
        <v>0</v>
      </c>
      <c r="I540" s="3162"/>
      <c r="J540" s="3165">
        <f>名簿入力!K385</f>
        <v>0</v>
      </c>
      <c r="K540" s="3167">
        <f>名簿入力!L385</f>
        <v>0</v>
      </c>
      <c r="L540" s="3161">
        <f>名簿入力!M385</f>
        <v>0</v>
      </c>
      <c r="M540" s="3169"/>
      <c r="N540" s="3165">
        <f>名簿入力!O385</f>
        <v>0</v>
      </c>
      <c r="O540" s="3165">
        <f>名簿入力!P385</f>
        <v>0</v>
      </c>
      <c r="P540" s="3167">
        <f>名簿入力!Q385</f>
        <v>0</v>
      </c>
      <c r="Q540" s="3161">
        <f>名簿入力!R385</f>
        <v>0</v>
      </c>
      <c r="R540" s="3162"/>
      <c r="S540" s="3165">
        <f>名簿入力!T385</f>
        <v>0</v>
      </c>
      <c r="T540" s="3165">
        <f>名簿入力!U385</f>
        <v>0</v>
      </c>
      <c r="U540" s="3167">
        <f>名簿入力!V385</f>
        <v>0</v>
      </c>
      <c r="V540" s="3161">
        <f>名簿入力!W385</f>
        <v>0</v>
      </c>
      <c r="W540" s="3162"/>
      <c r="X540" s="3165">
        <f>名簿入力!Y385</f>
        <v>0</v>
      </c>
      <c r="Y540" s="3165">
        <f>名簿入力!Z385</f>
        <v>0</v>
      </c>
      <c r="Z540" s="3167">
        <f>名簿入力!AA385</f>
        <v>0</v>
      </c>
      <c r="AA540" s="3161">
        <f>名簿入力!AB385</f>
        <v>0</v>
      </c>
      <c r="AB540" s="3162"/>
      <c r="AC540" s="3165">
        <f>名簿入力!AD385</f>
        <v>0</v>
      </c>
      <c r="AD540" s="3165">
        <f>名簿入力!AE385</f>
        <v>0</v>
      </c>
      <c r="AE540" s="3167">
        <f>名簿入力!AF385</f>
        <v>0</v>
      </c>
      <c r="AF540" s="3161">
        <f>名簿入力!AG385</f>
        <v>0</v>
      </c>
      <c r="AG540" s="3162"/>
      <c r="AH540" s="3165">
        <f>名簿入力!AI385</f>
        <v>0</v>
      </c>
      <c r="AI540" s="3165">
        <f>名簿入力!AJ385</f>
        <v>0</v>
      </c>
      <c r="AJ540" s="3175">
        <f>名簿入力!AK385</f>
        <v>0</v>
      </c>
      <c r="AK540" s="3176"/>
      <c r="AL540" s="3176"/>
      <c r="AM540" s="3176"/>
      <c r="AN540" s="3176"/>
      <c r="AO540" s="3177"/>
      <c r="AP540" s="3137">
        <f>名簿入力!AO385</f>
        <v>0</v>
      </c>
      <c r="AQ540" s="3138"/>
      <c r="AR540" s="3138"/>
      <c r="AS540" s="3138"/>
      <c r="AT540" s="3139"/>
      <c r="AU540" s="113"/>
    </row>
    <row r="541" spans="2:47" ht="15" customHeight="1" x14ac:dyDescent="0.15">
      <c r="B541" s="3181"/>
      <c r="C541" s="3182"/>
      <c r="D541" s="3183"/>
      <c r="E541" s="3184"/>
      <c r="F541" s="3185"/>
      <c r="G541" s="3186"/>
      <c r="H541" s="3173"/>
      <c r="I541" s="3174"/>
      <c r="J541" s="3171"/>
      <c r="K541" s="3172"/>
      <c r="L541" s="3173"/>
      <c r="M541" s="3187"/>
      <c r="N541" s="3171"/>
      <c r="O541" s="3171"/>
      <c r="P541" s="3172"/>
      <c r="Q541" s="3173"/>
      <c r="R541" s="3174"/>
      <c r="S541" s="3171"/>
      <c r="T541" s="3171"/>
      <c r="U541" s="3172"/>
      <c r="V541" s="3173"/>
      <c r="W541" s="3174"/>
      <c r="X541" s="3171"/>
      <c r="Y541" s="3171"/>
      <c r="Z541" s="3172"/>
      <c r="AA541" s="3173"/>
      <c r="AB541" s="3174"/>
      <c r="AC541" s="3171"/>
      <c r="AD541" s="3171"/>
      <c r="AE541" s="3172"/>
      <c r="AF541" s="3173"/>
      <c r="AG541" s="3174"/>
      <c r="AH541" s="3171"/>
      <c r="AI541" s="3171"/>
      <c r="AJ541" s="3146">
        <f>名簿入力!AK386</f>
        <v>0</v>
      </c>
      <c r="AK541" s="3147"/>
      <c r="AL541" s="3147"/>
      <c r="AM541" s="3147"/>
      <c r="AN541" s="3147"/>
      <c r="AO541" s="3148"/>
      <c r="AP541" s="3178"/>
      <c r="AQ541" s="3179"/>
      <c r="AR541" s="3179"/>
      <c r="AS541" s="3179"/>
      <c r="AT541" s="3180"/>
      <c r="AU541" s="113"/>
    </row>
    <row r="542" spans="2:47" ht="15" customHeight="1" x14ac:dyDescent="0.15">
      <c r="B542" s="3149">
        <v>187</v>
      </c>
      <c r="C542" s="3151">
        <f>名簿入力!D387</f>
        <v>0</v>
      </c>
      <c r="D542" s="3152"/>
      <c r="E542" s="3155">
        <f>名簿入力!E387</f>
        <v>0</v>
      </c>
      <c r="F542" s="3157">
        <f>名簿入力!G387</f>
        <v>0</v>
      </c>
      <c r="G542" s="3159">
        <f>名簿入力!H387</f>
        <v>0</v>
      </c>
      <c r="H542" s="3161">
        <f>名簿入力!I387</f>
        <v>0</v>
      </c>
      <c r="I542" s="3162"/>
      <c r="J542" s="3165">
        <f>名簿入力!K387</f>
        <v>0</v>
      </c>
      <c r="K542" s="3167">
        <f>名簿入力!L387</f>
        <v>0</v>
      </c>
      <c r="L542" s="3161">
        <f>名簿入力!M387</f>
        <v>0</v>
      </c>
      <c r="M542" s="3169"/>
      <c r="N542" s="3165">
        <f>名簿入力!O387</f>
        <v>0</v>
      </c>
      <c r="O542" s="3165">
        <f>名簿入力!P387</f>
        <v>0</v>
      </c>
      <c r="P542" s="3167">
        <f>名簿入力!Q387</f>
        <v>0</v>
      </c>
      <c r="Q542" s="3161">
        <f>名簿入力!R387</f>
        <v>0</v>
      </c>
      <c r="R542" s="3162"/>
      <c r="S542" s="3165">
        <f>名簿入力!T387</f>
        <v>0</v>
      </c>
      <c r="T542" s="3165">
        <f>名簿入力!U387</f>
        <v>0</v>
      </c>
      <c r="U542" s="3167">
        <f>名簿入力!V387</f>
        <v>0</v>
      </c>
      <c r="V542" s="3161">
        <f>名簿入力!W387</f>
        <v>0</v>
      </c>
      <c r="W542" s="3162"/>
      <c r="X542" s="3165">
        <f>名簿入力!Y387</f>
        <v>0</v>
      </c>
      <c r="Y542" s="3165">
        <f>名簿入力!Z387</f>
        <v>0</v>
      </c>
      <c r="Z542" s="3167">
        <f>名簿入力!AA387</f>
        <v>0</v>
      </c>
      <c r="AA542" s="3161">
        <f>名簿入力!AB387</f>
        <v>0</v>
      </c>
      <c r="AB542" s="3162"/>
      <c r="AC542" s="3165">
        <f>名簿入力!AD387</f>
        <v>0</v>
      </c>
      <c r="AD542" s="3165">
        <f>名簿入力!AE387</f>
        <v>0</v>
      </c>
      <c r="AE542" s="3167">
        <f>名簿入力!AF387</f>
        <v>0</v>
      </c>
      <c r="AF542" s="3161">
        <f>名簿入力!AG387</f>
        <v>0</v>
      </c>
      <c r="AG542" s="3162"/>
      <c r="AH542" s="3165">
        <f>名簿入力!AI387</f>
        <v>0</v>
      </c>
      <c r="AI542" s="3165">
        <f>名簿入力!AJ387</f>
        <v>0</v>
      </c>
      <c r="AJ542" s="3175">
        <f>名簿入力!AK387</f>
        <v>0</v>
      </c>
      <c r="AK542" s="3176"/>
      <c r="AL542" s="3176"/>
      <c r="AM542" s="3176"/>
      <c r="AN542" s="3176"/>
      <c r="AO542" s="3177"/>
      <c r="AP542" s="3137">
        <f>名簿入力!AO387</f>
        <v>0</v>
      </c>
      <c r="AQ542" s="3138"/>
      <c r="AR542" s="3138"/>
      <c r="AS542" s="3138"/>
      <c r="AT542" s="3139"/>
      <c r="AU542" s="113"/>
    </row>
    <row r="543" spans="2:47" ht="15" customHeight="1" x14ac:dyDescent="0.15">
      <c r="B543" s="3181"/>
      <c r="C543" s="3182"/>
      <c r="D543" s="3183"/>
      <c r="E543" s="3184"/>
      <c r="F543" s="3185"/>
      <c r="G543" s="3186"/>
      <c r="H543" s="3173"/>
      <c r="I543" s="3174"/>
      <c r="J543" s="3171"/>
      <c r="K543" s="3172"/>
      <c r="L543" s="3173"/>
      <c r="M543" s="3187"/>
      <c r="N543" s="3171"/>
      <c r="O543" s="3171"/>
      <c r="P543" s="3172"/>
      <c r="Q543" s="3173"/>
      <c r="R543" s="3174"/>
      <c r="S543" s="3171"/>
      <c r="T543" s="3171"/>
      <c r="U543" s="3172"/>
      <c r="V543" s="3173"/>
      <c r="W543" s="3174"/>
      <c r="X543" s="3171"/>
      <c r="Y543" s="3171"/>
      <c r="Z543" s="3172"/>
      <c r="AA543" s="3173"/>
      <c r="AB543" s="3174"/>
      <c r="AC543" s="3171"/>
      <c r="AD543" s="3171"/>
      <c r="AE543" s="3172"/>
      <c r="AF543" s="3173"/>
      <c r="AG543" s="3174"/>
      <c r="AH543" s="3171"/>
      <c r="AI543" s="3171"/>
      <c r="AJ543" s="3146">
        <f>名簿入力!AK388</f>
        <v>0</v>
      </c>
      <c r="AK543" s="3147"/>
      <c r="AL543" s="3147"/>
      <c r="AM543" s="3147"/>
      <c r="AN543" s="3147"/>
      <c r="AO543" s="3148"/>
      <c r="AP543" s="3178"/>
      <c r="AQ543" s="3179"/>
      <c r="AR543" s="3179"/>
      <c r="AS543" s="3179"/>
      <c r="AT543" s="3180"/>
      <c r="AU543" s="113"/>
    </row>
    <row r="544" spans="2:47" ht="15" customHeight="1" x14ac:dyDescent="0.15">
      <c r="B544" s="3149">
        <v>188</v>
      </c>
      <c r="C544" s="3151">
        <f>名簿入力!D389</f>
        <v>0</v>
      </c>
      <c r="D544" s="3152"/>
      <c r="E544" s="3155">
        <f>名簿入力!E389</f>
        <v>0</v>
      </c>
      <c r="F544" s="3157">
        <f>名簿入力!G389</f>
        <v>0</v>
      </c>
      <c r="G544" s="3159">
        <f>名簿入力!H389</f>
        <v>0</v>
      </c>
      <c r="H544" s="3161">
        <f>名簿入力!I389</f>
        <v>0</v>
      </c>
      <c r="I544" s="3162"/>
      <c r="J544" s="3165">
        <f>名簿入力!K389</f>
        <v>0</v>
      </c>
      <c r="K544" s="3167">
        <f>名簿入力!L389</f>
        <v>0</v>
      </c>
      <c r="L544" s="3161">
        <f>名簿入力!M389</f>
        <v>0</v>
      </c>
      <c r="M544" s="3169"/>
      <c r="N544" s="3165">
        <f>名簿入力!O389</f>
        <v>0</v>
      </c>
      <c r="O544" s="3165">
        <f>名簿入力!P389</f>
        <v>0</v>
      </c>
      <c r="P544" s="3167">
        <f>名簿入力!Q389</f>
        <v>0</v>
      </c>
      <c r="Q544" s="3161">
        <f>名簿入力!R389</f>
        <v>0</v>
      </c>
      <c r="R544" s="3162"/>
      <c r="S544" s="3165">
        <f>名簿入力!T389</f>
        <v>0</v>
      </c>
      <c r="T544" s="3165">
        <f>名簿入力!U389</f>
        <v>0</v>
      </c>
      <c r="U544" s="3167">
        <f>名簿入力!V389</f>
        <v>0</v>
      </c>
      <c r="V544" s="3161">
        <f>名簿入力!W389</f>
        <v>0</v>
      </c>
      <c r="W544" s="3162"/>
      <c r="X544" s="3165">
        <f>名簿入力!Y389</f>
        <v>0</v>
      </c>
      <c r="Y544" s="3165">
        <f>名簿入力!Z389</f>
        <v>0</v>
      </c>
      <c r="Z544" s="3167">
        <f>名簿入力!AA389</f>
        <v>0</v>
      </c>
      <c r="AA544" s="3161">
        <f>名簿入力!AB389</f>
        <v>0</v>
      </c>
      <c r="AB544" s="3162"/>
      <c r="AC544" s="3165">
        <f>名簿入力!AD389</f>
        <v>0</v>
      </c>
      <c r="AD544" s="3165">
        <f>名簿入力!AE389</f>
        <v>0</v>
      </c>
      <c r="AE544" s="3167">
        <f>名簿入力!AF389</f>
        <v>0</v>
      </c>
      <c r="AF544" s="3161">
        <f>名簿入力!AG389</f>
        <v>0</v>
      </c>
      <c r="AG544" s="3162"/>
      <c r="AH544" s="3165">
        <f>名簿入力!AI389</f>
        <v>0</v>
      </c>
      <c r="AI544" s="3165">
        <f>名簿入力!AJ389</f>
        <v>0</v>
      </c>
      <c r="AJ544" s="3175">
        <f>名簿入力!AK389</f>
        <v>0</v>
      </c>
      <c r="AK544" s="3176"/>
      <c r="AL544" s="3176"/>
      <c r="AM544" s="3176"/>
      <c r="AN544" s="3176"/>
      <c r="AO544" s="3177"/>
      <c r="AP544" s="3137">
        <f>名簿入力!AO389</f>
        <v>0</v>
      </c>
      <c r="AQ544" s="3138"/>
      <c r="AR544" s="3138"/>
      <c r="AS544" s="3138"/>
      <c r="AT544" s="3139"/>
      <c r="AU544" s="113"/>
    </row>
    <row r="545" spans="2:47" ht="15" customHeight="1" x14ac:dyDescent="0.15">
      <c r="B545" s="3181"/>
      <c r="C545" s="3182"/>
      <c r="D545" s="3183"/>
      <c r="E545" s="3184"/>
      <c r="F545" s="3185"/>
      <c r="G545" s="3186"/>
      <c r="H545" s="3173"/>
      <c r="I545" s="3174"/>
      <c r="J545" s="3171"/>
      <c r="K545" s="3172"/>
      <c r="L545" s="3173"/>
      <c r="M545" s="3187"/>
      <c r="N545" s="3171"/>
      <c r="O545" s="3171"/>
      <c r="P545" s="3172"/>
      <c r="Q545" s="3173"/>
      <c r="R545" s="3174"/>
      <c r="S545" s="3171"/>
      <c r="T545" s="3171"/>
      <c r="U545" s="3172"/>
      <c r="V545" s="3173"/>
      <c r="W545" s="3174"/>
      <c r="X545" s="3171"/>
      <c r="Y545" s="3171"/>
      <c r="Z545" s="3172"/>
      <c r="AA545" s="3173"/>
      <c r="AB545" s="3174"/>
      <c r="AC545" s="3171"/>
      <c r="AD545" s="3171"/>
      <c r="AE545" s="3172"/>
      <c r="AF545" s="3173"/>
      <c r="AG545" s="3174"/>
      <c r="AH545" s="3171"/>
      <c r="AI545" s="3171"/>
      <c r="AJ545" s="3146">
        <f>名簿入力!AK390</f>
        <v>0</v>
      </c>
      <c r="AK545" s="3147"/>
      <c r="AL545" s="3147"/>
      <c r="AM545" s="3147"/>
      <c r="AN545" s="3147"/>
      <c r="AO545" s="3148"/>
      <c r="AP545" s="3178"/>
      <c r="AQ545" s="3179"/>
      <c r="AR545" s="3179"/>
      <c r="AS545" s="3179"/>
      <c r="AT545" s="3180"/>
      <c r="AU545" s="113"/>
    </row>
    <row r="546" spans="2:47" ht="15" customHeight="1" x14ac:dyDescent="0.15">
      <c r="B546" s="3149">
        <v>189</v>
      </c>
      <c r="C546" s="3151">
        <f>名簿入力!D391</f>
        <v>0</v>
      </c>
      <c r="D546" s="3152"/>
      <c r="E546" s="3155">
        <f>名簿入力!E391</f>
        <v>0</v>
      </c>
      <c r="F546" s="3157">
        <f>名簿入力!G391</f>
        <v>0</v>
      </c>
      <c r="G546" s="3159">
        <f>名簿入力!H391</f>
        <v>0</v>
      </c>
      <c r="H546" s="3161">
        <f>名簿入力!I391</f>
        <v>0</v>
      </c>
      <c r="I546" s="3162"/>
      <c r="J546" s="3165">
        <f>名簿入力!K391</f>
        <v>0</v>
      </c>
      <c r="K546" s="3167">
        <f>名簿入力!L391</f>
        <v>0</v>
      </c>
      <c r="L546" s="3161">
        <f>名簿入力!M391</f>
        <v>0</v>
      </c>
      <c r="M546" s="3169"/>
      <c r="N546" s="3165">
        <f>名簿入力!O391</f>
        <v>0</v>
      </c>
      <c r="O546" s="3165">
        <f>名簿入力!P391</f>
        <v>0</v>
      </c>
      <c r="P546" s="3167">
        <f>名簿入力!Q391</f>
        <v>0</v>
      </c>
      <c r="Q546" s="3161">
        <f>名簿入力!R391</f>
        <v>0</v>
      </c>
      <c r="R546" s="3162"/>
      <c r="S546" s="3165">
        <f>名簿入力!T391</f>
        <v>0</v>
      </c>
      <c r="T546" s="3165">
        <f>名簿入力!U391</f>
        <v>0</v>
      </c>
      <c r="U546" s="3167">
        <f>名簿入力!V391</f>
        <v>0</v>
      </c>
      <c r="V546" s="3161">
        <f>名簿入力!W391</f>
        <v>0</v>
      </c>
      <c r="W546" s="3162"/>
      <c r="X546" s="3165">
        <f>名簿入力!Y391</f>
        <v>0</v>
      </c>
      <c r="Y546" s="3165">
        <f>名簿入力!Z391</f>
        <v>0</v>
      </c>
      <c r="Z546" s="3167">
        <f>名簿入力!AA391</f>
        <v>0</v>
      </c>
      <c r="AA546" s="3161">
        <f>名簿入力!AB391</f>
        <v>0</v>
      </c>
      <c r="AB546" s="3162"/>
      <c r="AC546" s="3165">
        <f>名簿入力!AD391</f>
        <v>0</v>
      </c>
      <c r="AD546" s="3165">
        <f>名簿入力!AE391</f>
        <v>0</v>
      </c>
      <c r="AE546" s="3167">
        <f>名簿入力!AF391</f>
        <v>0</v>
      </c>
      <c r="AF546" s="3161">
        <f>名簿入力!AG391</f>
        <v>0</v>
      </c>
      <c r="AG546" s="3162"/>
      <c r="AH546" s="3165">
        <f>名簿入力!AI391</f>
        <v>0</v>
      </c>
      <c r="AI546" s="3165">
        <f>名簿入力!AJ391</f>
        <v>0</v>
      </c>
      <c r="AJ546" s="3175">
        <f>名簿入力!AK391</f>
        <v>0</v>
      </c>
      <c r="AK546" s="3176"/>
      <c r="AL546" s="3176"/>
      <c r="AM546" s="3176"/>
      <c r="AN546" s="3176"/>
      <c r="AO546" s="3177"/>
      <c r="AP546" s="3137">
        <f>名簿入力!AO391</f>
        <v>0</v>
      </c>
      <c r="AQ546" s="3138"/>
      <c r="AR546" s="3138"/>
      <c r="AS546" s="3138"/>
      <c r="AT546" s="3139"/>
      <c r="AU546" s="113"/>
    </row>
    <row r="547" spans="2:47" ht="15" customHeight="1" x14ac:dyDescent="0.15">
      <c r="B547" s="3181"/>
      <c r="C547" s="3182"/>
      <c r="D547" s="3183"/>
      <c r="E547" s="3184"/>
      <c r="F547" s="3185"/>
      <c r="G547" s="3186"/>
      <c r="H547" s="3173"/>
      <c r="I547" s="3174"/>
      <c r="J547" s="3171"/>
      <c r="K547" s="3172"/>
      <c r="L547" s="3173"/>
      <c r="M547" s="3187"/>
      <c r="N547" s="3171"/>
      <c r="O547" s="3171"/>
      <c r="P547" s="3172"/>
      <c r="Q547" s="3173"/>
      <c r="R547" s="3174"/>
      <c r="S547" s="3171"/>
      <c r="T547" s="3171"/>
      <c r="U547" s="3172"/>
      <c r="V547" s="3173"/>
      <c r="W547" s="3174"/>
      <c r="X547" s="3171"/>
      <c r="Y547" s="3171"/>
      <c r="Z547" s="3172"/>
      <c r="AA547" s="3173"/>
      <c r="AB547" s="3174"/>
      <c r="AC547" s="3171"/>
      <c r="AD547" s="3171"/>
      <c r="AE547" s="3172"/>
      <c r="AF547" s="3173"/>
      <c r="AG547" s="3174"/>
      <c r="AH547" s="3171"/>
      <c r="AI547" s="3171"/>
      <c r="AJ547" s="3146">
        <f>名簿入力!AK392</f>
        <v>0</v>
      </c>
      <c r="AK547" s="3147"/>
      <c r="AL547" s="3147"/>
      <c r="AM547" s="3147"/>
      <c r="AN547" s="3147"/>
      <c r="AO547" s="3148"/>
      <c r="AP547" s="3178"/>
      <c r="AQ547" s="3179"/>
      <c r="AR547" s="3179"/>
      <c r="AS547" s="3179"/>
      <c r="AT547" s="3180"/>
      <c r="AU547" s="113"/>
    </row>
    <row r="548" spans="2:47" ht="15" customHeight="1" x14ac:dyDescent="0.15">
      <c r="B548" s="3149">
        <v>190</v>
      </c>
      <c r="C548" s="3151">
        <f>名簿入力!D393</f>
        <v>0</v>
      </c>
      <c r="D548" s="3152"/>
      <c r="E548" s="3155">
        <f>名簿入力!E393</f>
        <v>0</v>
      </c>
      <c r="F548" s="3157">
        <f>名簿入力!G393</f>
        <v>0</v>
      </c>
      <c r="G548" s="3159">
        <f>名簿入力!H393</f>
        <v>0</v>
      </c>
      <c r="H548" s="3161">
        <f>名簿入力!I393</f>
        <v>0</v>
      </c>
      <c r="I548" s="3162"/>
      <c r="J548" s="3165">
        <f>名簿入力!K393</f>
        <v>0</v>
      </c>
      <c r="K548" s="3167">
        <f>名簿入力!L393</f>
        <v>0</v>
      </c>
      <c r="L548" s="3161">
        <f>名簿入力!M393</f>
        <v>0</v>
      </c>
      <c r="M548" s="3169"/>
      <c r="N548" s="3165">
        <f>名簿入力!O393</f>
        <v>0</v>
      </c>
      <c r="O548" s="3165">
        <f>名簿入力!P393</f>
        <v>0</v>
      </c>
      <c r="P548" s="3167">
        <f>名簿入力!Q393</f>
        <v>0</v>
      </c>
      <c r="Q548" s="3161">
        <f>名簿入力!R393</f>
        <v>0</v>
      </c>
      <c r="R548" s="3162"/>
      <c r="S548" s="3165">
        <f>名簿入力!T393</f>
        <v>0</v>
      </c>
      <c r="T548" s="3165">
        <f>名簿入力!U393</f>
        <v>0</v>
      </c>
      <c r="U548" s="3167">
        <f>名簿入力!V393</f>
        <v>0</v>
      </c>
      <c r="V548" s="3161">
        <f>名簿入力!W393</f>
        <v>0</v>
      </c>
      <c r="W548" s="3162"/>
      <c r="X548" s="3165">
        <f>名簿入力!Y393</f>
        <v>0</v>
      </c>
      <c r="Y548" s="3165">
        <f>名簿入力!Z393</f>
        <v>0</v>
      </c>
      <c r="Z548" s="3167">
        <f>名簿入力!AA393</f>
        <v>0</v>
      </c>
      <c r="AA548" s="3161">
        <f>名簿入力!AB393</f>
        <v>0</v>
      </c>
      <c r="AB548" s="3162"/>
      <c r="AC548" s="3165">
        <f>名簿入力!AD393</f>
        <v>0</v>
      </c>
      <c r="AD548" s="3165">
        <f>名簿入力!AE393</f>
        <v>0</v>
      </c>
      <c r="AE548" s="3167">
        <f>名簿入力!AF393</f>
        <v>0</v>
      </c>
      <c r="AF548" s="3161">
        <f>名簿入力!AG393</f>
        <v>0</v>
      </c>
      <c r="AG548" s="3162"/>
      <c r="AH548" s="3165">
        <f>名簿入力!AI393</f>
        <v>0</v>
      </c>
      <c r="AI548" s="3165">
        <f>名簿入力!AJ393</f>
        <v>0</v>
      </c>
      <c r="AJ548" s="3175">
        <f>名簿入力!AK393</f>
        <v>0</v>
      </c>
      <c r="AK548" s="3176"/>
      <c r="AL548" s="3176"/>
      <c r="AM548" s="3176"/>
      <c r="AN548" s="3176"/>
      <c r="AO548" s="3177"/>
      <c r="AP548" s="3137">
        <f>名簿入力!AO393</f>
        <v>0</v>
      </c>
      <c r="AQ548" s="3138"/>
      <c r="AR548" s="3138"/>
      <c r="AS548" s="3138"/>
      <c r="AT548" s="3139"/>
      <c r="AU548" s="113"/>
    </row>
    <row r="549" spans="2:47" ht="15" customHeight="1" x14ac:dyDescent="0.15">
      <c r="B549" s="3181"/>
      <c r="C549" s="3182"/>
      <c r="D549" s="3183"/>
      <c r="E549" s="3184"/>
      <c r="F549" s="3185"/>
      <c r="G549" s="3186"/>
      <c r="H549" s="3173"/>
      <c r="I549" s="3174"/>
      <c r="J549" s="3171"/>
      <c r="K549" s="3172"/>
      <c r="L549" s="3173"/>
      <c r="M549" s="3187"/>
      <c r="N549" s="3171"/>
      <c r="O549" s="3171"/>
      <c r="P549" s="3172"/>
      <c r="Q549" s="3173"/>
      <c r="R549" s="3174"/>
      <c r="S549" s="3171"/>
      <c r="T549" s="3171"/>
      <c r="U549" s="3172"/>
      <c r="V549" s="3173"/>
      <c r="W549" s="3174"/>
      <c r="X549" s="3171"/>
      <c r="Y549" s="3171"/>
      <c r="Z549" s="3172"/>
      <c r="AA549" s="3173"/>
      <c r="AB549" s="3174"/>
      <c r="AC549" s="3171"/>
      <c r="AD549" s="3171"/>
      <c r="AE549" s="3172"/>
      <c r="AF549" s="3173"/>
      <c r="AG549" s="3174"/>
      <c r="AH549" s="3171"/>
      <c r="AI549" s="3171"/>
      <c r="AJ549" s="3146">
        <f>名簿入力!AK394</f>
        <v>0</v>
      </c>
      <c r="AK549" s="3147"/>
      <c r="AL549" s="3147"/>
      <c r="AM549" s="3147"/>
      <c r="AN549" s="3147"/>
      <c r="AO549" s="3148"/>
      <c r="AP549" s="3178"/>
      <c r="AQ549" s="3179"/>
      <c r="AR549" s="3179"/>
      <c r="AS549" s="3179"/>
      <c r="AT549" s="3180"/>
      <c r="AU549" s="113"/>
    </row>
    <row r="550" spans="2:47" ht="15" customHeight="1" x14ac:dyDescent="0.15">
      <c r="B550" s="3149">
        <v>191</v>
      </c>
      <c r="C550" s="3151">
        <f>名簿入力!D395</f>
        <v>0</v>
      </c>
      <c r="D550" s="3152"/>
      <c r="E550" s="3155">
        <f>名簿入力!E395</f>
        <v>0</v>
      </c>
      <c r="F550" s="3157">
        <f>名簿入力!G395</f>
        <v>0</v>
      </c>
      <c r="G550" s="3159">
        <f>名簿入力!H395</f>
        <v>0</v>
      </c>
      <c r="H550" s="3161">
        <f>名簿入力!I395</f>
        <v>0</v>
      </c>
      <c r="I550" s="3162"/>
      <c r="J550" s="3165">
        <f>名簿入力!K395</f>
        <v>0</v>
      </c>
      <c r="K550" s="3167">
        <f>名簿入力!L395</f>
        <v>0</v>
      </c>
      <c r="L550" s="3161">
        <f>名簿入力!M395</f>
        <v>0</v>
      </c>
      <c r="M550" s="3169"/>
      <c r="N550" s="3165">
        <f>名簿入力!O395</f>
        <v>0</v>
      </c>
      <c r="O550" s="3165">
        <f>名簿入力!P395</f>
        <v>0</v>
      </c>
      <c r="P550" s="3167">
        <f>名簿入力!Q395</f>
        <v>0</v>
      </c>
      <c r="Q550" s="3161">
        <f>名簿入力!R395</f>
        <v>0</v>
      </c>
      <c r="R550" s="3162"/>
      <c r="S550" s="3165">
        <f>名簿入力!T395</f>
        <v>0</v>
      </c>
      <c r="T550" s="3165">
        <f>名簿入力!U395</f>
        <v>0</v>
      </c>
      <c r="U550" s="3167">
        <f>名簿入力!V395</f>
        <v>0</v>
      </c>
      <c r="V550" s="3161">
        <f>名簿入力!W395</f>
        <v>0</v>
      </c>
      <c r="W550" s="3162"/>
      <c r="X550" s="3165">
        <f>名簿入力!Y395</f>
        <v>0</v>
      </c>
      <c r="Y550" s="3165">
        <f>名簿入力!Z395</f>
        <v>0</v>
      </c>
      <c r="Z550" s="3167">
        <f>名簿入力!AA395</f>
        <v>0</v>
      </c>
      <c r="AA550" s="3161">
        <f>名簿入力!AB395</f>
        <v>0</v>
      </c>
      <c r="AB550" s="3162"/>
      <c r="AC550" s="3165">
        <f>名簿入力!AD395</f>
        <v>0</v>
      </c>
      <c r="AD550" s="3165">
        <f>名簿入力!AE395</f>
        <v>0</v>
      </c>
      <c r="AE550" s="3167">
        <f>名簿入力!AF395</f>
        <v>0</v>
      </c>
      <c r="AF550" s="3161">
        <f>名簿入力!AG395</f>
        <v>0</v>
      </c>
      <c r="AG550" s="3162"/>
      <c r="AH550" s="3165">
        <f>名簿入力!AI395</f>
        <v>0</v>
      </c>
      <c r="AI550" s="3165">
        <f>名簿入力!AJ395</f>
        <v>0</v>
      </c>
      <c r="AJ550" s="3175">
        <f>名簿入力!AK395</f>
        <v>0</v>
      </c>
      <c r="AK550" s="3176"/>
      <c r="AL550" s="3176"/>
      <c r="AM550" s="3176"/>
      <c r="AN550" s="3176"/>
      <c r="AO550" s="3177"/>
      <c r="AP550" s="3137">
        <f>名簿入力!AO395</f>
        <v>0</v>
      </c>
      <c r="AQ550" s="3138"/>
      <c r="AR550" s="3138"/>
      <c r="AS550" s="3138"/>
      <c r="AT550" s="3139"/>
      <c r="AU550" s="113"/>
    </row>
    <row r="551" spans="2:47" ht="15" customHeight="1" x14ac:dyDescent="0.15">
      <c r="B551" s="3181"/>
      <c r="C551" s="3182"/>
      <c r="D551" s="3183"/>
      <c r="E551" s="3184"/>
      <c r="F551" s="3185"/>
      <c r="G551" s="3186"/>
      <c r="H551" s="3173"/>
      <c r="I551" s="3174"/>
      <c r="J551" s="3171"/>
      <c r="K551" s="3172"/>
      <c r="L551" s="3173"/>
      <c r="M551" s="3187"/>
      <c r="N551" s="3171"/>
      <c r="O551" s="3171"/>
      <c r="P551" s="3172"/>
      <c r="Q551" s="3173"/>
      <c r="R551" s="3174"/>
      <c r="S551" s="3171"/>
      <c r="T551" s="3171"/>
      <c r="U551" s="3172"/>
      <c r="V551" s="3173"/>
      <c r="W551" s="3174"/>
      <c r="X551" s="3171"/>
      <c r="Y551" s="3171"/>
      <c r="Z551" s="3172"/>
      <c r="AA551" s="3173"/>
      <c r="AB551" s="3174"/>
      <c r="AC551" s="3171"/>
      <c r="AD551" s="3171"/>
      <c r="AE551" s="3172"/>
      <c r="AF551" s="3173"/>
      <c r="AG551" s="3174"/>
      <c r="AH551" s="3171"/>
      <c r="AI551" s="3171"/>
      <c r="AJ551" s="3146">
        <f>名簿入力!AK396</f>
        <v>0</v>
      </c>
      <c r="AK551" s="3147"/>
      <c r="AL551" s="3147"/>
      <c r="AM551" s="3147"/>
      <c r="AN551" s="3147"/>
      <c r="AO551" s="3148"/>
      <c r="AP551" s="3178"/>
      <c r="AQ551" s="3179"/>
      <c r="AR551" s="3179"/>
      <c r="AS551" s="3179"/>
      <c r="AT551" s="3180"/>
      <c r="AU551" s="113"/>
    </row>
    <row r="552" spans="2:47" ht="15" customHeight="1" x14ac:dyDescent="0.15">
      <c r="B552" s="3149">
        <v>192</v>
      </c>
      <c r="C552" s="3151">
        <f>名簿入力!D397</f>
        <v>0</v>
      </c>
      <c r="D552" s="3152"/>
      <c r="E552" s="3155">
        <f>名簿入力!E397</f>
        <v>0</v>
      </c>
      <c r="F552" s="3157">
        <f>名簿入力!G397</f>
        <v>0</v>
      </c>
      <c r="G552" s="3159">
        <f>名簿入力!H397</f>
        <v>0</v>
      </c>
      <c r="H552" s="3161">
        <f>名簿入力!I397</f>
        <v>0</v>
      </c>
      <c r="I552" s="3162"/>
      <c r="J552" s="3165">
        <f>名簿入力!K397</f>
        <v>0</v>
      </c>
      <c r="K552" s="3167">
        <f>名簿入力!L397</f>
        <v>0</v>
      </c>
      <c r="L552" s="3161">
        <f>名簿入力!M397</f>
        <v>0</v>
      </c>
      <c r="M552" s="3169"/>
      <c r="N552" s="3165">
        <f>名簿入力!O397</f>
        <v>0</v>
      </c>
      <c r="O552" s="3165">
        <f>名簿入力!P397</f>
        <v>0</v>
      </c>
      <c r="P552" s="3167">
        <f>名簿入力!Q397</f>
        <v>0</v>
      </c>
      <c r="Q552" s="3161">
        <f>名簿入力!R397</f>
        <v>0</v>
      </c>
      <c r="R552" s="3162"/>
      <c r="S552" s="3165">
        <f>名簿入力!T397</f>
        <v>0</v>
      </c>
      <c r="T552" s="3165">
        <f>名簿入力!U397</f>
        <v>0</v>
      </c>
      <c r="U552" s="3167">
        <f>名簿入力!V397</f>
        <v>0</v>
      </c>
      <c r="V552" s="3161">
        <f>名簿入力!W397</f>
        <v>0</v>
      </c>
      <c r="W552" s="3162"/>
      <c r="X552" s="3165">
        <f>名簿入力!Y397</f>
        <v>0</v>
      </c>
      <c r="Y552" s="3165">
        <f>名簿入力!Z397</f>
        <v>0</v>
      </c>
      <c r="Z552" s="3167">
        <f>名簿入力!AA397</f>
        <v>0</v>
      </c>
      <c r="AA552" s="3161">
        <f>名簿入力!AB397</f>
        <v>0</v>
      </c>
      <c r="AB552" s="3162"/>
      <c r="AC552" s="3165">
        <f>名簿入力!AD397</f>
        <v>0</v>
      </c>
      <c r="AD552" s="3165">
        <f>名簿入力!AE397</f>
        <v>0</v>
      </c>
      <c r="AE552" s="3167">
        <f>名簿入力!AF397</f>
        <v>0</v>
      </c>
      <c r="AF552" s="3161">
        <f>名簿入力!AG397</f>
        <v>0</v>
      </c>
      <c r="AG552" s="3162"/>
      <c r="AH552" s="3165">
        <f>名簿入力!AI397</f>
        <v>0</v>
      </c>
      <c r="AI552" s="3165">
        <f>名簿入力!AJ397</f>
        <v>0</v>
      </c>
      <c r="AJ552" s="3175">
        <f>名簿入力!AK397</f>
        <v>0</v>
      </c>
      <c r="AK552" s="3176"/>
      <c r="AL552" s="3176"/>
      <c r="AM552" s="3176"/>
      <c r="AN552" s="3176"/>
      <c r="AO552" s="3177"/>
      <c r="AP552" s="3137">
        <f>名簿入力!AO397</f>
        <v>0</v>
      </c>
      <c r="AQ552" s="3138"/>
      <c r="AR552" s="3138"/>
      <c r="AS552" s="3138"/>
      <c r="AT552" s="3139"/>
      <c r="AU552" s="113"/>
    </row>
    <row r="553" spans="2:47" ht="15" customHeight="1" x14ac:dyDescent="0.15">
      <c r="B553" s="3181"/>
      <c r="C553" s="3182"/>
      <c r="D553" s="3183"/>
      <c r="E553" s="3184"/>
      <c r="F553" s="3185"/>
      <c r="G553" s="3186"/>
      <c r="H553" s="3173"/>
      <c r="I553" s="3174"/>
      <c r="J553" s="3171"/>
      <c r="K553" s="3172"/>
      <c r="L553" s="3173"/>
      <c r="M553" s="3187"/>
      <c r="N553" s="3171"/>
      <c r="O553" s="3171"/>
      <c r="P553" s="3172"/>
      <c r="Q553" s="3173"/>
      <c r="R553" s="3174"/>
      <c r="S553" s="3171"/>
      <c r="T553" s="3171"/>
      <c r="U553" s="3172"/>
      <c r="V553" s="3173"/>
      <c r="W553" s="3174"/>
      <c r="X553" s="3171"/>
      <c r="Y553" s="3171"/>
      <c r="Z553" s="3172"/>
      <c r="AA553" s="3173"/>
      <c r="AB553" s="3174"/>
      <c r="AC553" s="3171"/>
      <c r="AD553" s="3171"/>
      <c r="AE553" s="3172"/>
      <c r="AF553" s="3173"/>
      <c r="AG553" s="3174"/>
      <c r="AH553" s="3171"/>
      <c r="AI553" s="3171"/>
      <c r="AJ553" s="3146">
        <f>名簿入力!AK398</f>
        <v>0</v>
      </c>
      <c r="AK553" s="3147"/>
      <c r="AL553" s="3147"/>
      <c r="AM553" s="3147"/>
      <c r="AN553" s="3147"/>
      <c r="AO553" s="3148"/>
      <c r="AP553" s="3178"/>
      <c r="AQ553" s="3179"/>
      <c r="AR553" s="3179"/>
      <c r="AS553" s="3179"/>
      <c r="AT553" s="3180"/>
      <c r="AU553" s="113"/>
    </row>
    <row r="554" spans="2:47" ht="15" customHeight="1" x14ac:dyDescent="0.15">
      <c r="B554" s="3149">
        <v>193</v>
      </c>
      <c r="C554" s="3151">
        <f>名簿入力!D399</f>
        <v>0</v>
      </c>
      <c r="D554" s="3152"/>
      <c r="E554" s="3155">
        <f>名簿入力!E399</f>
        <v>0</v>
      </c>
      <c r="F554" s="3157">
        <f>名簿入力!G399</f>
        <v>0</v>
      </c>
      <c r="G554" s="3159">
        <f>名簿入力!H399</f>
        <v>0</v>
      </c>
      <c r="H554" s="3161">
        <f>名簿入力!I399</f>
        <v>0</v>
      </c>
      <c r="I554" s="3162"/>
      <c r="J554" s="3165">
        <f>名簿入力!K399</f>
        <v>0</v>
      </c>
      <c r="K554" s="3167">
        <f>名簿入力!L399</f>
        <v>0</v>
      </c>
      <c r="L554" s="3161">
        <f>名簿入力!M399</f>
        <v>0</v>
      </c>
      <c r="M554" s="3169"/>
      <c r="N554" s="3165">
        <f>名簿入力!O399</f>
        <v>0</v>
      </c>
      <c r="O554" s="3165">
        <f>名簿入力!P399</f>
        <v>0</v>
      </c>
      <c r="P554" s="3167">
        <f>名簿入力!Q399</f>
        <v>0</v>
      </c>
      <c r="Q554" s="3161">
        <f>名簿入力!R399</f>
        <v>0</v>
      </c>
      <c r="R554" s="3162"/>
      <c r="S554" s="3165">
        <f>名簿入力!T399</f>
        <v>0</v>
      </c>
      <c r="T554" s="3165">
        <f>名簿入力!U399</f>
        <v>0</v>
      </c>
      <c r="U554" s="3167">
        <f>名簿入力!V399</f>
        <v>0</v>
      </c>
      <c r="V554" s="3161">
        <f>名簿入力!W399</f>
        <v>0</v>
      </c>
      <c r="W554" s="3162"/>
      <c r="X554" s="3165">
        <f>名簿入力!Y399</f>
        <v>0</v>
      </c>
      <c r="Y554" s="3165">
        <f>名簿入力!Z399</f>
        <v>0</v>
      </c>
      <c r="Z554" s="3167">
        <f>名簿入力!AA399</f>
        <v>0</v>
      </c>
      <c r="AA554" s="3161">
        <f>名簿入力!AB399</f>
        <v>0</v>
      </c>
      <c r="AB554" s="3162"/>
      <c r="AC554" s="3165">
        <f>名簿入力!AD399</f>
        <v>0</v>
      </c>
      <c r="AD554" s="3165">
        <f>名簿入力!AE399</f>
        <v>0</v>
      </c>
      <c r="AE554" s="3167">
        <f>名簿入力!AF399</f>
        <v>0</v>
      </c>
      <c r="AF554" s="3161">
        <f>名簿入力!AG399</f>
        <v>0</v>
      </c>
      <c r="AG554" s="3162"/>
      <c r="AH554" s="3165">
        <f>名簿入力!AI399</f>
        <v>0</v>
      </c>
      <c r="AI554" s="3165">
        <f>名簿入力!AJ399</f>
        <v>0</v>
      </c>
      <c r="AJ554" s="3175">
        <f>名簿入力!AK399</f>
        <v>0</v>
      </c>
      <c r="AK554" s="3176"/>
      <c r="AL554" s="3176"/>
      <c r="AM554" s="3176"/>
      <c r="AN554" s="3176"/>
      <c r="AO554" s="3177"/>
      <c r="AP554" s="3137">
        <f>名簿入力!AO399</f>
        <v>0</v>
      </c>
      <c r="AQ554" s="3138"/>
      <c r="AR554" s="3138"/>
      <c r="AS554" s="3138"/>
      <c r="AT554" s="3139"/>
      <c r="AU554" s="113"/>
    </row>
    <row r="555" spans="2:47" ht="15" customHeight="1" x14ac:dyDescent="0.15">
      <c r="B555" s="3181"/>
      <c r="C555" s="3182"/>
      <c r="D555" s="3183"/>
      <c r="E555" s="3184"/>
      <c r="F555" s="3185"/>
      <c r="G555" s="3186"/>
      <c r="H555" s="3173"/>
      <c r="I555" s="3174"/>
      <c r="J555" s="3171"/>
      <c r="K555" s="3172"/>
      <c r="L555" s="3173"/>
      <c r="M555" s="3187"/>
      <c r="N555" s="3171"/>
      <c r="O555" s="3171"/>
      <c r="P555" s="3172"/>
      <c r="Q555" s="3173"/>
      <c r="R555" s="3174"/>
      <c r="S555" s="3171"/>
      <c r="T555" s="3171"/>
      <c r="U555" s="3172"/>
      <c r="V555" s="3173"/>
      <c r="W555" s="3174"/>
      <c r="X555" s="3171"/>
      <c r="Y555" s="3171"/>
      <c r="Z555" s="3172"/>
      <c r="AA555" s="3173"/>
      <c r="AB555" s="3174"/>
      <c r="AC555" s="3171"/>
      <c r="AD555" s="3171"/>
      <c r="AE555" s="3172"/>
      <c r="AF555" s="3173"/>
      <c r="AG555" s="3174"/>
      <c r="AH555" s="3171"/>
      <c r="AI555" s="3171"/>
      <c r="AJ555" s="3146">
        <f>名簿入力!AK400</f>
        <v>0</v>
      </c>
      <c r="AK555" s="3147"/>
      <c r="AL555" s="3147"/>
      <c r="AM555" s="3147"/>
      <c r="AN555" s="3147"/>
      <c r="AO555" s="3148"/>
      <c r="AP555" s="3178"/>
      <c r="AQ555" s="3179"/>
      <c r="AR555" s="3179"/>
      <c r="AS555" s="3179"/>
      <c r="AT555" s="3180"/>
      <c r="AU555" s="113"/>
    </row>
    <row r="556" spans="2:47" ht="15" customHeight="1" x14ac:dyDescent="0.15">
      <c r="B556" s="3149">
        <v>194</v>
      </c>
      <c r="C556" s="3151">
        <f>名簿入力!D401</f>
        <v>0</v>
      </c>
      <c r="D556" s="3152"/>
      <c r="E556" s="3155">
        <f>名簿入力!E401</f>
        <v>0</v>
      </c>
      <c r="F556" s="3157">
        <f>名簿入力!G401</f>
        <v>0</v>
      </c>
      <c r="G556" s="3159">
        <f>名簿入力!H401</f>
        <v>0</v>
      </c>
      <c r="H556" s="3161">
        <f>名簿入力!I401</f>
        <v>0</v>
      </c>
      <c r="I556" s="3162"/>
      <c r="J556" s="3165">
        <f>名簿入力!K401</f>
        <v>0</v>
      </c>
      <c r="K556" s="3167">
        <f>名簿入力!L401</f>
        <v>0</v>
      </c>
      <c r="L556" s="3161">
        <f>名簿入力!M401</f>
        <v>0</v>
      </c>
      <c r="M556" s="3169"/>
      <c r="N556" s="3165">
        <f>名簿入力!O401</f>
        <v>0</v>
      </c>
      <c r="O556" s="3165">
        <f>名簿入力!P401</f>
        <v>0</v>
      </c>
      <c r="P556" s="3167">
        <f>名簿入力!Q401</f>
        <v>0</v>
      </c>
      <c r="Q556" s="3161">
        <f>名簿入力!R401</f>
        <v>0</v>
      </c>
      <c r="R556" s="3162"/>
      <c r="S556" s="3165">
        <f>名簿入力!T401</f>
        <v>0</v>
      </c>
      <c r="T556" s="3165">
        <f>名簿入力!U401</f>
        <v>0</v>
      </c>
      <c r="U556" s="3167">
        <f>名簿入力!V401</f>
        <v>0</v>
      </c>
      <c r="V556" s="3161">
        <f>名簿入力!W401</f>
        <v>0</v>
      </c>
      <c r="W556" s="3162"/>
      <c r="X556" s="3165">
        <f>名簿入力!Y401</f>
        <v>0</v>
      </c>
      <c r="Y556" s="3165">
        <f>名簿入力!Z401</f>
        <v>0</v>
      </c>
      <c r="Z556" s="3167">
        <f>名簿入力!AA401</f>
        <v>0</v>
      </c>
      <c r="AA556" s="3161">
        <f>名簿入力!AB401</f>
        <v>0</v>
      </c>
      <c r="AB556" s="3162"/>
      <c r="AC556" s="3165">
        <f>名簿入力!AD401</f>
        <v>0</v>
      </c>
      <c r="AD556" s="3165">
        <f>名簿入力!AE401</f>
        <v>0</v>
      </c>
      <c r="AE556" s="3167">
        <f>名簿入力!AF401</f>
        <v>0</v>
      </c>
      <c r="AF556" s="3161">
        <f>名簿入力!AG401</f>
        <v>0</v>
      </c>
      <c r="AG556" s="3162"/>
      <c r="AH556" s="3165">
        <f>名簿入力!AI401</f>
        <v>0</v>
      </c>
      <c r="AI556" s="3165">
        <f>名簿入力!AJ401</f>
        <v>0</v>
      </c>
      <c r="AJ556" s="3175">
        <f>名簿入力!AK401</f>
        <v>0</v>
      </c>
      <c r="AK556" s="3176"/>
      <c r="AL556" s="3176"/>
      <c r="AM556" s="3176"/>
      <c r="AN556" s="3176"/>
      <c r="AO556" s="3177"/>
      <c r="AP556" s="3137">
        <f>名簿入力!AO401</f>
        <v>0</v>
      </c>
      <c r="AQ556" s="3138"/>
      <c r="AR556" s="3138"/>
      <c r="AS556" s="3138"/>
      <c r="AT556" s="3139"/>
      <c r="AU556" s="113"/>
    </row>
    <row r="557" spans="2:47" ht="15" customHeight="1" x14ac:dyDescent="0.15">
      <c r="B557" s="3181"/>
      <c r="C557" s="3182"/>
      <c r="D557" s="3183"/>
      <c r="E557" s="3184"/>
      <c r="F557" s="3185"/>
      <c r="G557" s="3186"/>
      <c r="H557" s="3173"/>
      <c r="I557" s="3174"/>
      <c r="J557" s="3171"/>
      <c r="K557" s="3172"/>
      <c r="L557" s="3173"/>
      <c r="M557" s="3187"/>
      <c r="N557" s="3171"/>
      <c r="O557" s="3171"/>
      <c r="P557" s="3172"/>
      <c r="Q557" s="3173"/>
      <c r="R557" s="3174"/>
      <c r="S557" s="3171"/>
      <c r="T557" s="3171"/>
      <c r="U557" s="3172"/>
      <c r="V557" s="3173"/>
      <c r="W557" s="3174"/>
      <c r="X557" s="3171"/>
      <c r="Y557" s="3171"/>
      <c r="Z557" s="3172"/>
      <c r="AA557" s="3173"/>
      <c r="AB557" s="3174"/>
      <c r="AC557" s="3171"/>
      <c r="AD557" s="3171"/>
      <c r="AE557" s="3172"/>
      <c r="AF557" s="3173"/>
      <c r="AG557" s="3174"/>
      <c r="AH557" s="3171"/>
      <c r="AI557" s="3171"/>
      <c r="AJ557" s="3146">
        <f>名簿入力!AK402</f>
        <v>0</v>
      </c>
      <c r="AK557" s="3147"/>
      <c r="AL557" s="3147"/>
      <c r="AM557" s="3147"/>
      <c r="AN557" s="3147"/>
      <c r="AO557" s="3148"/>
      <c r="AP557" s="3178"/>
      <c r="AQ557" s="3179"/>
      <c r="AR557" s="3179"/>
      <c r="AS557" s="3179"/>
      <c r="AT557" s="3180"/>
      <c r="AU557" s="113"/>
    </row>
    <row r="558" spans="2:47" ht="15" customHeight="1" x14ac:dyDescent="0.15">
      <c r="B558" s="3149">
        <v>195</v>
      </c>
      <c r="C558" s="3151">
        <f>名簿入力!D403</f>
        <v>0</v>
      </c>
      <c r="D558" s="3152"/>
      <c r="E558" s="3155">
        <f>名簿入力!E403</f>
        <v>0</v>
      </c>
      <c r="F558" s="3157">
        <f>名簿入力!G403</f>
        <v>0</v>
      </c>
      <c r="G558" s="3159">
        <f>名簿入力!H403</f>
        <v>0</v>
      </c>
      <c r="H558" s="3161">
        <f>名簿入力!I403</f>
        <v>0</v>
      </c>
      <c r="I558" s="3162"/>
      <c r="J558" s="3165">
        <f>名簿入力!K403</f>
        <v>0</v>
      </c>
      <c r="K558" s="3167">
        <f>名簿入力!L403</f>
        <v>0</v>
      </c>
      <c r="L558" s="3161">
        <f>名簿入力!M403</f>
        <v>0</v>
      </c>
      <c r="M558" s="3169"/>
      <c r="N558" s="3165">
        <f>名簿入力!O403</f>
        <v>0</v>
      </c>
      <c r="O558" s="3165">
        <f>名簿入力!P403</f>
        <v>0</v>
      </c>
      <c r="P558" s="3167">
        <f>名簿入力!Q403</f>
        <v>0</v>
      </c>
      <c r="Q558" s="3161">
        <f>名簿入力!R403</f>
        <v>0</v>
      </c>
      <c r="R558" s="3162"/>
      <c r="S558" s="3165">
        <f>名簿入力!T403</f>
        <v>0</v>
      </c>
      <c r="T558" s="3165">
        <f>名簿入力!U403</f>
        <v>0</v>
      </c>
      <c r="U558" s="3167">
        <f>名簿入力!V403</f>
        <v>0</v>
      </c>
      <c r="V558" s="3161">
        <f>名簿入力!W403</f>
        <v>0</v>
      </c>
      <c r="W558" s="3162"/>
      <c r="X558" s="3165">
        <f>名簿入力!Y403</f>
        <v>0</v>
      </c>
      <c r="Y558" s="3165">
        <f>名簿入力!Z403</f>
        <v>0</v>
      </c>
      <c r="Z558" s="3167">
        <f>名簿入力!AA403</f>
        <v>0</v>
      </c>
      <c r="AA558" s="3161">
        <f>名簿入力!AB403</f>
        <v>0</v>
      </c>
      <c r="AB558" s="3162"/>
      <c r="AC558" s="3165">
        <f>名簿入力!AD403</f>
        <v>0</v>
      </c>
      <c r="AD558" s="3165">
        <f>名簿入力!AE403</f>
        <v>0</v>
      </c>
      <c r="AE558" s="3167">
        <f>名簿入力!AF403</f>
        <v>0</v>
      </c>
      <c r="AF558" s="3161">
        <f>名簿入力!AG403</f>
        <v>0</v>
      </c>
      <c r="AG558" s="3162"/>
      <c r="AH558" s="3165">
        <f>名簿入力!AI403</f>
        <v>0</v>
      </c>
      <c r="AI558" s="3165">
        <f>名簿入力!AJ403</f>
        <v>0</v>
      </c>
      <c r="AJ558" s="3175">
        <f>名簿入力!AK403</f>
        <v>0</v>
      </c>
      <c r="AK558" s="3176"/>
      <c r="AL558" s="3176"/>
      <c r="AM558" s="3176"/>
      <c r="AN558" s="3176"/>
      <c r="AO558" s="3177"/>
      <c r="AP558" s="3137">
        <f>名簿入力!AO403</f>
        <v>0</v>
      </c>
      <c r="AQ558" s="3138"/>
      <c r="AR558" s="3138"/>
      <c r="AS558" s="3138"/>
      <c r="AT558" s="3139"/>
      <c r="AU558" s="113"/>
    </row>
    <row r="559" spans="2:47" ht="15" customHeight="1" thickBot="1" x14ac:dyDescent="0.2">
      <c r="B559" s="3150"/>
      <c r="C559" s="3153"/>
      <c r="D559" s="3154"/>
      <c r="E559" s="3156"/>
      <c r="F559" s="3158"/>
      <c r="G559" s="3160"/>
      <c r="H559" s="3163"/>
      <c r="I559" s="3164"/>
      <c r="J559" s="3166"/>
      <c r="K559" s="3168"/>
      <c r="L559" s="3163"/>
      <c r="M559" s="3170"/>
      <c r="N559" s="3166"/>
      <c r="O559" s="3166"/>
      <c r="P559" s="3168"/>
      <c r="Q559" s="3163"/>
      <c r="R559" s="3164"/>
      <c r="S559" s="3166"/>
      <c r="T559" s="3166"/>
      <c r="U559" s="3168"/>
      <c r="V559" s="3163"/>
      <c r="W559" s="3164"/>
      <c r="X559" s="3166"/>
      <c r="Y559" s="3166"/>
      <c r="Z559" s="3168"/>
      <c r="AA559" s="3163"/>
      <c r="AB559" s="3164"/>
      <c r="AC559" s="3166"/>
      <c r="AD559" s="3166"/>
      <c r="AE559" s="3168"/>
      <c r="AF559" s="3163"/>
      <c r="AG559" s="3164"/>
      <c r="AH559" s="3166"/>
      <c r="AI559" s="3166"/>
      <c r="AJ559" s="3143">
        <f>名簿入力!AK404</f>
        <v>0</v>
      </c>
      <c r="AK559" s="3144"/>
      <c r="AL559" s="3144"/>
      <c r="AM559" s="3144"/>
      <c r="AN559" s="3144"/>
      <c r="AO559" s="3145"/>
      <c r="AP559" s="3140"/>
      <c r="AQ559" s="3141"/>
      <c r="AR559" s="3141"/>
      <c r="AS559" s="3141"/>
      <c r="AT559" s="3142"/>
      <c r="AU559" s="113"/>
    </row>
    <row r="560" spans="2:47" ht="46.5" customHeight="1" x14ac:dyDescent="0.15">
      <c r="B560" s="524"/>
      <c r="C560" s="525"/>
      <c r="D560" s="525"/>
      <c r="E560" s="526"/>
      <c r="F560" s="527"/>
      <c r="G560" s="527"/>
      <c r="H560" s="528"/>
      <c r="I560" s="528"/>
      <c r="J560" s="529"/>
      <c r="K560" s="529"/>
      <c r="L560" s="528"/>
      <c r="M560" s="528"/>
      <c r="N560" s="529"/>
      <c r="O560" s="529"/>
      <c r="P560" s="529"/>
      <c r="Q560" s="528"/>
      <c r="R560" s="528"/>
      <c r="S560" s="529"/>
      <c r="T560" s="529"/>
      <c r="U560" s="529"/>
      <c r="V560" s="528"/>
      <c r="W560" s="528"/>
      <c r="X560" s="529"/>
      <c r="Y560" s="529"/>
      <c r="Z560" s="529"/>
      <c r="AA560" s="528"/>
      <c r="AB560" s="528"/>
      <c r="AC560" s="529"/>
      <c r="AD560" s="529"/>
      <c r="AE560" s="529"/>
      <c r="AF560" s="528"/>
      <c r="AG560" s="528"/>
      <c r="AH560" s="529"/>
      <c r="AI560" s="1112"/>
      <c r="AJ560" s="1113"/>
      <c r="AK560" s="1113"/>
      <c r="AL560" s="1113"/>
      <c r="AM560" s="1113"/>
      <c r="AN560" s="1113"/>
      <c r="AO560" s="1113"/>
      <c r="AP560" s="1114"/>
      <c r="AQ560" s="1114"/>
      <c r="AR560" s="1114"/>
      <c r="AS560" s="1114"/>
      <c r="AT560" s="1114"/>
      <c r="AU560" s="113"/>
    </row>
  </sheetData>
  <sheetProtection algorithmName="SHA-512" hashValue="9+3vyKkranHP8tM311y0GEya6Y3wslyu3Ut6DOm8crcQv830jqG+ccCaT/zvIaounVeDmq0j9B0pGSFxKBuhmw==" saltValue="cZOsul8EnD+HsO2uS76HMQ==" spinCount="100000" sheet="1" selectLockedCells="1"/>
  <dataConsolidate/>
  <mergeCells count="6864">
    <mergeCell ref="C2:Z2"/>
    <mergeCell ref="C45:Z45"/>
    <mergeCell ref="C88:Z88"/>
    <mergeCell ref="C131:Z131"/>
    <mergeCell ref="C174:Z174"/>
    <mergeCell ref="C217:Z217"/>
    <mergeCell ref="C260:Z260"/>
    <mergeCell ref="C303:Z303"/>
    <mergeCell ref="C346:Z346"/>
    <mergeCell ref="C389:Z389"/>
    <mergeCell ref="C432:Z432"/>
    <mergeCell ref="C475:Z475"/>
    <mergeCell ref="C518:Z518"/>
    <mergeCell ref="AJ30:AO30"/>
    <mergeCell ref="AJ35:AO35"/>
    <mergeCell ref="AJ34:AO34"/>
    <mergeCell ref="AJ33:AO33"/>
    <mergeCell ref="P36:P37"/>
    <mergeCell ref="S36:S37"/>
    <mergeCell ref="O30:O31"/>
    <mergeCell ref="P32:P33"/>
    <mergeCell ref="O40:O41"/>
    <mergeCell ref="AJ14:AO14"/>
    <mergeCell ref="AJ15:AO15"/>
    <mergeCell ref="AJ16:AO16"/>
    <mergeCell ref="AJ17:AO17"/>
    <mergeCell ref="AJ18:AO18"/>
    <mergeCell ref="AJ19:AO19"/>
    <mergeCell ref="AJ40:AO40"/>
    <mergeCell ref="AJ41:AO41"/>
    <mergeCell ref="U32:U33"/>
    <mergeCell ref="N32:N33"/>
    <mergeCell ref="A1:C1"/>
    <mergeCell ref="E1:G1"/>
    <mergeCell ref="AJ32:AO32"/>
    <mergeCell ref="AJ31:AO31"/>
    <mergeCell ref="Q20:R21"/>
    <mergeCell ref="Q22:R23"/>
    <mergeCell ref="Q24:R25"/>
    <mergeCell ref="Q26:R27"/>
    <mergeCell ref="Q28:R29"/>
    <mergeCell ref="Q34:R35"/>
    <mergeCell ref="U28:U29"/>
    <mergeCell ref="U30:U31"/>
    <mergeCell ref="T30:T31"/>
    <mergeCell ref="O32:O33"/>
    <mergeCell ref="L32:M33"/>
    <mergeCell ref="L34:M35"/>
    <mergeCell ref="Q32:R33"/>
    <mergeCell ref="F30:F31"/>
    <mergeCell ref="H26:I27"/>
    <mergeCell ref="B34:B35"/>
    <mergeCell ref="C34:D35"/>
    <mergeCell ref="E34:E35"/>
    <mergeCell ref="F34:F35"/>
    <mergeCell ref="H10:I11"/>
    <mergeCell ref="Q10:R11"/>
    <mergeCell ref="P34:P35"/>
    <mergeCell ref="S34:S35"/>
    <mergeCell ref="N34:N35"/>
    <mergeCell ref="O34:O35"/>
    <mergeCell ref="U26:U27"/>
    <mergeCell ref="S30:S31"/>
    <mergeCell ref="N30:N31"/>
    <mergeCell ref="AJ20:AO20"/>
    <mergeCell ref="AJ21:AO21"/>
    <mergeCell ref="AJ25:AO25"/>
    <mergeCell ref="AJ26:AO26"/>
    <mergeCell ref="AJ27:AO27"/>
    <mergeCell ref="AJ28:AO28"/>
    <mergeCell ref="AJ29:AO29"/>
    <mergeCell ref="S32:S33"/>
    <mergeCell ref="U34:U35"/>
    <mergeCell ref="T34:T35"/>
    <mergeCell ref="T32:T33"/>
    <mergeCell ref="U24:U25"/>
    <mergeCell ref="B42:B43"/>
    <mergeCell ref="C42:D43"/>
    <mergeCell ref="E42:E43"/>
    <mergeCell ref="F42:F43"/>
    <mergeCell ref="G42:G43"/>
    <mergeCell ref="J42:J43"/>
    <mergeCell ref="K42:K43"/>
    <mergeCell ref="B40:B41"/>
    <mergeCell ref="C40:D41"/>
    <mergeCell ref="E40:E41"/>
    <mergeCell ref="F40:F41"/>
    <mergeCell ref="G40:G41"/>
    <mergeCell ref="J40:J41"/>
    <mergeCell ref="K40:K41"/>
    <mergeCell ref="H40:I41"/>
    <mergeCell ref="H42:I43"/>
    <mergeCell ref="P40:P41"/>
    <mergeCell ref="P42:P43"/>
    <mergeCell ref="N42:N43"/>
    <mergeCell ref="O42:O43"/>
    <mergeCell ref="Q40:R41"/>
    <mergeCell ref="N36:N37"/>
    <mergeCell ref="O36:O37"/>
    <mergeCell ref="H36:I37"/>
    <mergeCell ref="Q38:R39"/>
    <mergeCell ref="L36:M37"/>
    <mergeCell ref="L38:M39"/>
    <mergeCell ref="Q36:R37"/>
    <mergeCell ref="Q42:R43"/>
    <mergeCell ref="S40:S41"/>
    <mergeCell ref="P38:P39"/>
    <mergeCell ref="S38:S39"/>
    <mergeCell ref="N38:N39"/>
    <mergeCell ref="O38:O39"/>
    <mergeCell ref="U36:U37"/>
    <mergeCell ref="U38:U39"/>
    <mergeCell ref="T38:T39"/>
    <mergeCell ref="AJ43:AO43"/>
    <mergeCell ref="AJ42:AO42"/>
    <mergeCell ref="G34:G35"/>
    <mergeCell ref="J34:J35"/>
    <mergeCell ref="K34:K35"/>
    <mergeCell ref="B32:B33"/>
    <mergeCell ref="C32:D33"/>
    <mergeCell ref="E32:E33"/>
    <mergeCell ref="F32:F33"/>
    <mergeCell ref="G32:G33"/>
    <mergeCell ref="J32:J33"/>
    <mergeCell ref="K32:K33"/>
    <mergeCell ref="H32:I33"/>
    <mergeCell ref="H34:I35"/>
    <mergeCell ref="B38:B39"/>
    <mergeCell ref="C38:D39"/>
    <mergeCell ref="E38:E39"/>
    <mergeCell ref="F38:F39"/>
    <mergeCell ref="G38:G39"/>
    <mergeCell ref="J38:J39"/>
    <mergeCell ref="K38:K39"/>
    <mergeCell ref="H38:I39"/>
    <mergeCell ref="B36:B37"/>
    <mergeCell ref="C36:D37"/>
    <mergeCell ref="E36:E37"/>
    <mergeCell ref="F36:F37"/>
    <mergeCell ref="G36:G37"/>
    <mergeCell ref="J36:J37"/>
    <mergeCell ref="K36:K37"/>
    <mergeCell ref="V32:W33"/>
    <mergeCell ref="X32:X33"/>
    <mergeCell ref="Y32:Y33"/>
    <mergeCell ref="H30:I31"/>
    <mergeCell ref="P30:P31"/>
    <mergeCell ref="S26:S27"/>
    <mergeCell ref="N26:N27"/>
    <mergeCell ref="O26:O27"/>
    <mergeCell ref="P28:P29"/>
    <mergeCell ref="S28:S29"/>
    <mergeCell ref="T26:T27"/>
    <mergeCell ref="P26:P27"/>
    <mergeCell ref="G30:G31"/>
    <mergeCell ref="J30:J31"/>
    <mergeCell ref="K30:K31"/>
    <mergeCell ref="Q30:R31"/>
    <mergeCell ref="L30:M31"/>
    <mergeCell ref="B26:B27"/>
    <mergeCell ref="C26:D27"/>
    <mergeCell ref="E26:E27"/>
    <mergeCell ref="F26:F27"/>
    <mergeCell ref="G26:G27"/>
    <mergeCell ref="J26:J27"/>
    <mergeCell ref="K26:K27"/>
    <mergeCell ref="L26:M27"/>
    <mergeCell ref="B30:B31"/>
    <mergeCell ref="C30:D31"/>
    <mergeCell ref="E30:E31"/>
    <mergeCell ref="K24:K25"/>
    <mergeCell ref="N24:N25"/>
    <mergeCell ref="O24:O25"/>
    <mergeCell ref="B24:B25"/>
    <mergeCell ref="C24:D25"/>
    <mergeCell ref="E24:E25"/>
    <mergeCell ref="F24:F25"/>
    <mergeCell ref="G24:G25"/>
    <mergeCell ref="J24:J25"/>
    <mergeCell ref="L24:M25"/>
    <mergeCell ref="H24:I25"/>
    <mergeCell ref="C28:D29"/>
    <mergeCell ref="E28:E29"/>
    <mergeCell ref="F28:F29"/>
    <mergeCell ref="G28:G29"/>
    <mergeCell ref="J28:J29"/>
    <mergeCell ref="T24:T25"/>
    <mergeCell ref="P24:P25"/>
    <mergeCell ref="S24:S25"/>
    <mergeCell ref="B28:B29"/>
    <mergeCell ref="T28:T29"/>
    <mergeCell ref="K28:K29"/>
    <mergeCell ref="N28:N29"/>
    <mergeCell ref="O28:O29"/>
    <mergeCell ref="L28:M29"/>
    <mergeCell ref="H28:I29"/>
    <mergeCell ref="B22:B23"/>
    <mergeCell ref="C22:D23"/>
    <mergeCell ref="E22:E23"/>
    <mergeCell ref="F22:F23"/>
    <mergeCell ref="G22:G23"/>
    <mergeCell ref="J22:J23"/>
    <mergeCell ref="K22:K23"/>
    <mergeCell ref="S22:S23"/>
    <mergeCell ref="N22:N23"/>
    <mergeCell ref="O22:O23"/>
    <mergeCell ref="U22:U23"/>
    <mergeCell ref="T22:T23"/>
    <mergeCell ref="L14:M15"/>
    <mergeCell ref="L16:M17"/>
    <mergeCell ref="L18:M19"/>
    <mergeCell ref="H14:I15"/>
    <mergeCell ref="H16:I17"/>
    <mergeCell ref="H18:I19"/>
    <mergeCell ref="O16:O17"/>
    <mergeCell ref="B14:B15"/>
    <mergeCell ref="C14:D15"/>
    <mergeCell ref="E14:E15"/>
    <mergeCell ref="F14:F15"/>
    <mergeCell ref="B20:B21"/>
    <mergeCell ref="C20:D21"/>
    <mergeCell ref="E20:E21"/>
    <mergeCell ref="F20:F21"/>
    <mergeCell ref="G20:G21"/>
    <mergeCell ref="J20:J21"/>
    <mergeCell ref="U20:U21"/>
    <mergeCell ref="K20:K21"/>
    <mergeCell ref="U16:U17"/>
    <mergeCell ref="AF6:AG6"/>
    <mergeCell ref="N20:N21"/>
    <mergeCell ref="O20:O21"/>
    <mergeCell ref="L20:M21"/>
    <mergeCell ref="L22:M23"/>
    <mergeCell ref="H20:I21"/>
    <mergeCell ref="H22:I23"/>
    <mergeCell ref="P22:P23"/>
    <mergeCell ref="Q16:R17"/>
    <mergeCell ref="G12:G13"/>
    <mergeCell ref="J12:J13"/>
    <mergeCell ref="Q14:R15"/>
    <mergeCell ref="B18:B19"/>
    <mergeCell ref="C18:D19"/>
    <mergeCell ref="E18:E19"/>
    <mergeCell ref="F18:F19"/>
    <mergeCell ref="G18:G19"/>
    <mergeCell ref="J16:J17"/>
    <mergeCell ref="K16:K17"/>
    <mergeCell ref="N16:N17"/>
    <mergeCell ref="P16:P17"/>
    <mergeCell ref="N12:N13"/>
    <mergeCell ref="O12:O13"/>
    <mergeCell ref="J18:J19"/>
    <mergeCell ref="K18:K19"/>
    <mergeCell ref="N18:N19"/>
    <mergeCell ref="E16:E17"/>
    <mergeCell ref="F16:F17"/>
    <mergeCell ref="G16:G17"/>
    <mergeCell ref="Q18:R19"/>
    <mergeCell ref="O18:O19"/>
    <mergeCell ref="P18:P19"/>
    <mergeCell ref="V10:W11"/>
    <mergeCell ref="X10:Z10"/>
    <mergeCell ref="AA10:AB11"/>
    <mergeCell ref="AC10:AE10"/>
    <mergeCell ref="AF10:AG11"/>
    <mergeCell ref="AH10:AI10"/>
    <mergeCell ref="V12:W13"/>
    <mergeCell ref="X12:X13"/>
    <mergeCell ref="Y12:Y13"/>
    <mergeCell ref="Z12:Z13"/>
    <mergeCell ref="U14:U15"/>
    <mergeCell ref="Q12:R13"/>
    <mergeCell ref="T14:T15"/>
    <mergeCell ref="P14:P15"/>
    <mergeCell ref="S14:S15"/>
    <mergeCell ref="V14:W15"/>
    <mergeCell ref="X14:X15"/>
    <mergeCell ref="Y14:Y15"/>
    <mergeCell ref="Z14:Z15"/>
    <mergeCell ref="AA14:AB15"/>
    <mergeCell ref="AC14:AC15"/>
    <mergeCell ref="AD12:AD13"/>
    <mergeCell ref="AE12:AE13"/>
    <mergeCell ref="AF12:AG13"/>
    <mergeCell ref="AH12:AH13"/>
    <mergeCell ref="AI12:AI13"/>
    <mergeCell ref="AD14:AD15"/>
    <mergeCell ref="AE14:AE15"/>
    <mergeCell ref="AF14:AG15"/>
    <mergeCell ref="AH14:AH15"/>
    <mergeCell ref="AI14:AI15"/>
    <mergeCell ref="G14:G15"/>
    <mergeCell ref="K12:K13"/>
    <mergeCell ref="B8:B11"/>
    <mergeCell ref="C8:D11"/>
    <mergeCell ref="H8:K8"/>
    <mergeCell ref="L8:P8"/>
    <mergeCell ref="F8:G9"/>
    <mergeCell ref="Q8:U8"/>
    <mergeCell ref="F10:F11"/>
    <mergeCell ref="G10:G11"/>
    <mergeCell ref="J10:K10"/>
    <mergeCell ref="N10:P10"/>
    <mergeCell ref="S10:U10"/>
    <mergeCell ref="L10:M11"/>
    <mergeCell ref="H12:I13"/>
    <mergeCell ref="L12:M13"/>
    <mergeCell ref="J14:J15"/>
    <mergeCell ref="K14:K15"/>
    <mergeCell ref="N14:N15"/>
    <mergeCell ref="O14:O15"/>
    <mergeCell ref="B12:B13"/>
    <mergeCell ref="C12:D13"/>
    <mergeCell ref="E12:E13"/>
    <mergeCell ref="F12:F13"/>
    <mergeCell ref="U12:U13"/>
    <mergeCell ref="S16:S17"/>
    <mergeCell ref="B16:B17"/>
    <mergeCell ref="C16:D17"/>
    <mergeCell ref="AP126:AT127"/>
    <mergeCell ref="AP167:AT168"/>
    <mergeCell ref="AP169:AT170"/>
    <mergeCell ref="AP210:AT211"/>
    <mergeCell ref="AP212:AT213"/>
    <mergeCell ref="AP253:AT254"/>
    <mergeCell ref="AP255:AT256"/>
    <mergeCell ref="AP296:AT297"/>
    <mergeCell ref="AP298:AT299"/>
    <mergeCell ref="AP339:AT340"/>
    <mergeCell ref="AP341:AT342"/>
    <mergeCell ref="H1:AW1"/>
    <mergeCell ref="R6:S6"/>
    <mergeCell ref="J6:K6"/>
    <mergeCell ref="AP8:AT8"/>
    <mergeCell ref="P12:P13"/>
    <mergeCell ref="S12:S13"/>
    <mergeCell ref="T12:T13"/>
    <mergeCell ref="T16:T17"/>
    <mergeCell ref="AJ36:AO36"/>
    <mergeCell ref="AJ37:AO37"/>
    <mergeCell ref="AJ38:AO38"/>
    <mergeCell ref="AJ39:AO39"/>
    <mergeCell ref="T18:T19"/>
    <mergeCell ref="U18:U19"/>
    <mergeCell ref="P20:P21"/>
    <mergeCell ref="S20:S21"/>
    <mergeCell ref="T20:T21"/>
    <mergeCell ref="AP14:AT15"/>
    <mergeCell ref="AP16:AT17"/>
    <mergeCell ref="AP18:AT19"/>
    <mergeCell ref="S18:S19"/>
    <mergeCell ref="AP20:AT21"/>
    <mergeCell ref="AP22:AT23"/>
    <mergeCell ref="AP24:AT25"/>
    <mergeCell ref="AP26:AT27"/>
    <mergeCell ref="AP28:AT29"/>
    <mergeCell ref="AP30:AT31"/>
    <mergeCell ref="AP32:AT33"/>
    <mergeCell ref="AP34:AT35"/>
    <mergeCell ref="AP36:AT37"/>
    <mergeCell ref="AP38:AT39"/>
    <mergeCell ref="AP40:AT41"/>
    <mergeCell ref="AP42:AT43"/>
    <mergeCell ref="AP75:AT76"/>
    <mergeCell ref="AP77:AT78"/>
    <mergeCell ref="AP73:AT74"/>
    <mergeCell ref="AH42:AH43"/>
    <mergeCell ref="AI42:AI43"/>
    <mergeCell ref="AC20:AC21"/>
    <mergeCell ref="AD20:AD21"/>
    <mergeCell ref="AE20:AE21"/>
    <mergeCell ref="AF20:AG21"/>
    <mergeCell ref="AH20:AH21"/>
    <mergeCell ref="AI20:AI21"/>
    <mergeCell ref="V22:W23"/>
    <mergeCell ref="X22:X23"/>
    <mergeCell ref="Y22:Y23"/>
    <mergeCell ref="Z22:Z23"/>
    <mergeCell ref="AA22:AB23"/>
    <mergeCell ref="AC22:AC23"/>
    <mergeCell ref="AJ12:AO12"/>
    <mergeCell ref="AJ13:AO13"/>
    <mergeCell ref="AJ22:AO22"/>
    <mergeCell ref="AJ23:AO23"/>
    <mergeCell ref="AJ24:AO24"/>
    <mergeCell ref="V16:W17"/>
    <mergeCell ref="X16:X17"/>
    <mergeCell ref="Y16:Y17"/>
    <mergeCell ref="Z16:Z17"/>
    <mergeCell ref="AA16:AB17"/>
    <mergeCell ref="AC16:AC17"/>
    <mergeCell ref="AD16:AD17"/>
    <mergeCell ref="AE16:AE17"/>
    <mergeCell ref="AF16:AG17"/>
    <mergeCell ref="AH16:AH17"/>
    <mergeCell ref="AI16:AI17"/>
    <mergeCell ref="V18:W19"/>
    <mergeCell ref="X18:X19"/>
    <mergeCell ref="Y18:Y19"/>
    <mergeCell ref="Z18:Z19"/>
    <mergeCell ref="AA18:AB19"/>
    <mergeCell ref="AC18:AC19"/>
    <mergeCell ref="AD18:AD19"/>
    <mergeCell ref="AE18:AE19"/>
    <mergeCell ref="AF18:AG19"/>
    <mergeCell ref="AH18:AH19"/>
    <mergeCell ref="AI18:AI19"/>
    <mergeCell ref="V20:W21"/>
    <mergeCell ref="X20:X21"/>
    <mergeCell ref="Y20:Y21"/>
    <mergeCell ref="Z20:Z21"/>
    <mergeCell ref="AA20:AB21"/>
    <mergeCell ref="AD22:AD23"/>
    <mergeCell ref="AE22:AE23"/>
    <mergeCell ref="AF22:AG23"/>
    <mergeCell ref="AH22:AH23"/>
    <mergeCell ref="AI22:AI23"/>
    <mergeCell ref="V24:W25"/>
    <mergeCell ref="X24:X25"/>
    <mergeCell ref="Y24:Y25"/>
    <mergeCell ref="Z24:Z25"/>
    <mergeCell ref="AA24:AB25"/>
    <mergeCell ref="AC24:AC25"/>
    <mergeCell ref="AD24:AD25"/>
    <mergeCell ref="AE24:AE25"/>
    <mergeCell ref="AF24:AG25"/>
    <mergeCell ref="AH24:AH25"/>
    <mergeCell ref="AI24:AI25"/>
    <mergeCell ref="V26:W27"/>
    <mergeCell ref="X26:X27"/>
    <mergeCell ref="Y26:Y27"/>
    <mergeCell ref="Z26:Z27"/>
    <mergeCell ref="AA26:AB27"/>
    <mergeCell ref="AC26:AC27"/>
    <mergeCell ref="AD26:AD27"/>
    <mergeCell ref="AE26:AE27"/>
    <mergeCell ref="AF26:AG27"/>
    <mergeCell ref="AH26:AH27"/>
    <mergeCell ref="AI26:AI27"/>
    <mergeCell ref="V28:W29"/>
    <mergeCell ref="X28:X29"/>
    <mergeCell ref="Y28:Y29"/>
    <mergeCell ref="Z28:Z29"/>
    <mergeCell ref="AA28:AB29"/>
    <mergeCell ref="AC28:AC29"/>
    <mergeCell ref="AD28:AD29"/>
    <mergeCell ref="AE28:AE29"/>
    <mergeCell ref="AF28:AG29"/>
    <mergeCell ref="AH28:AH29"/>
    <mergeCell ref="AI28:AI29"/>
    <mergeCell ref="V30:W31"/>
    <mergeCell ref="X30:X31"/>
    <mergeCell ref="Y30:Y31"/>
    <mergeCell ref="Z30:Z31"/>
    <mergeCell ref="AA30:AB31"/>
    <mergeCell ref="AC30:AC31"/>
    <mergeCell ref="AD30:AD31"/>
    <mergeCell ref="AE30:AE31"/>
    <mergeCell ref="AF30:AG31"/>
    <mergeCell ref="AH30:AH31"/>
    <mergeCell ref="AI30:AI31"/>
    <mergeCell ref="Z32:Z33"/>
    <mergeCell ref="AA32:AB33"/>
    <mergeCell ref="AC32:AC33"/>
    <mergeCell ref="AD32:AD33"/>
    <mergeCell ref="AE32:AE33"/>
    <mergeCell ref="AF32:AG33"/>
    <mergeCell ref="AH32:AH33"/>
    <mergeCell ref="AI32:AI33"/>
    <mergeCell ref="V34:W35"/>
    <mergeCell ref="X34:X35"/>
    <mergeCell ref="Y34:Y35"/>
    <mergeCell ref="Z34:Z35"/>
    <mergeCell ref="AA34:AB35"/>
    <mergeCell ref="AC34:AC35"/>
    <mergeCell ref="AD34:AD35"/>
    <mergeCell ref="AE34:AE35"/>
    <mergeCell ref="AF34:AG35"/>
    <mergeCell ref="AH34:AH35"/>
    <mergeCell ref="AI34:AI35"/>
    <mergeCell ref="G53:G54"/>
    <mergeCell ref="H53:I54"/>
    <mergeCell ref="J53:K53"/>
    <mergeCell ref="L53:M54"/>
    <mergeCell ref="N53:P53"/>
    <mergeCell ref="Q53:R54"/>
    <mergeCell ref="S53:U53"/>
    <mergeCell ref="V36:W37"/>
    <mergeCell ref="X36:X37"/>
    <mergeCell ref="Y36:Y37"/>
    <mergeCell ref="Z36:Z37"/>
    <mergeCell ref="AA36:AB37"/>
    <mergeCell ref="AC36:AC37"/>
    <mergeCell ref="AD36:AD37"/>
    <mergeCell ref="AE36:AE37"/>
    <mergeCell ref="AF36:AG37"/>
    <mergeCell ref="AH36:AH37"/>
    <mergeCell ref="AE42:AE43"/>
    <mergeCell ref="AF42:AG43"/>
    <mergeCell ref="V53:W54"/>
    <mergeCell ref="X53:Z53"/>
    <mergeCell ref="AA53:AB54"/>
    <mergeCell ref="AC53:AE53"/>
    <mergeCell ref="AF53:AG54"/>
    <mergeCell ref="AH53:AI53"/>
    <mergeCell ref="N40:N41"/>
    <mergeCell ref="L40:M41"/>
    <mergeCell ref="S42:S43"/>
    <mergeCell ref="U40:U41"/>
    <mergeCell ref="U42:U43"/>
    <mergeCell ref="T42:T43"/>
    <mergeCell ref="T40:T41"/>
    <mergeCell ref="AI36:AI37"/>
    <mergeCell ref="V38:W39"/>
    <mergeCell ref="X38:X39"/>
    <mergeCell ref="Y38:Y39"/>
    <mergeCell ref="Z38:Z39"/>
    <mergeCell ref="AA38:AB39"/>
    <mergeCell ref="AC38:AC39"/>
    <mergeCell ref="AD38:AD39"/>
    <mergeCell ref="AE38:AE39"/>
    <mergeCell ref="AF38:AG39"/>
    <mergeCell ref="AH38:AH39"/>
    <mergeCell ref="AI38:AI39"/>
    <mergeCell ref="L42:M43"/>
    <mergeCell ref="T36:T37"/>
    <mergeCell ref="V40:W41"/>
    <mergeCell ref="X40:X41"/>
    <mergeCell ref="Y40:Y41"/>
    <mergeCell ref="Z40:Z41"/>
    <mergeCell ref="AA40:AB41"/>
    <mergeCell ref="AC40:AC41"/>
    <mergeCell ref="AD40:AD41"/>
    <mergeCell ref="AE40:AE41"/>
    <mergeCell ref="AF40:AG41"/>
    <mergeCell ref="AH40:AH41"/>
    <mergeCell ref="AI40:AI41"/>
    <mergeCell ref="V42:W43"/>
    <mergeCell ref="X42:X43"/>
    <mergeCell ref="Y42:Y43"/>
    <mergeCell ref="Z42:Z43"/>
    <mergeCell ref="AA42:AB43"/>
    <mergeCell ref="AC42:AC43"/>
    <mergeCell ref="AD42:AD43"/>
    <mergeCell ref="AP12:AT12"/>
    <mergeCell ref="AP13:AT13"/>
    <mergeCell ref="D4:Z5"/>
    <mergeCell ref="AJ4:AT4"/>
    <mergeCell ref="AQ2:AR2"/>
    <mergeCell ref="AS2:AT2"/>
    <mergeCell ref="U6:V6"/>
    <mergeCell ref="AP9:AT11"/>
    <mergeCell ref="E8:E11"/>
    <mergeCell ref="B4:C5"/>
    <mergeCell ref="AL5:AN5"/>
    <mergeCell ref="AR5:AT5"/>
    <mergeCell ref="B6:C6"/>
    <mergeCell ref="D6:E6"/>
    <mergeCell ref="G6:H6"/>
    <mergeCell ref="AJ6:AT7"/>
    <mergeCell ref="AD7:AE7"/>
    <mergeCell ref="H9:K9"/>
    <mergeCell ref="L9:P9"/>
    <mergeCell ref="Q9:U9"/>
    <mergeCell ref="V9:Z9"/>
    <mergeCell ref="AA9:AE9"/>
    <mergeCell ref="AF9:AI9"/>
    <mergeCell ref="AA12:AB13"/>
    <mergeCell ref="AC12:AC13"/>
    <mergeCell ref="AB4:AH4"/>
    <mergeCell ref="AJ8:AO8"/>
    <mergeCell ref="AJ9:AO11"/>
    <mergeCell ref="P6:Q6"/>
    <mergeCell ref="V8:Z8"/>
    <mergeCell ref="AA8:AE8"/>
    <mergeCell ref="AF8:AI8"/>
    <mergeCell ref="AQ45:AR45"/>
    <mergeCell ref="AS45:AT45"/>
    <mergeCell ref="B47:C48"/>
    <mergeCell ref="D47:Z48"/>
    <mergeCell ref="B49:C49"/>
    <mergeCell ref="D49:E49"/>
    <mergeCell ref="G49:H49"/>
    <mergeCell ref="J49:K49"/>
    <mergeCell ref="P49:Q49"/>
    <mergeCell ref="R49:S49"/>
    <mergeCell ref="U49:V49"/>
    <mergeCell ref="B51:B54"/>
    <mergeCell ref="C51:D54"/>
    <mergeCell ref="E51:E54"/>
    <mergeCell ref="F51:G52"/>
    <mergeCell ref="H51:K51"/>
    <mergeCell ref="L51:P51"/>
    <mergeCell ref="Q51:U51"/>
    <mergeCell ref="V51:Z51"/>
    <mergeCell ref="AA51:AE51"/>
    <mergeCell ref="AF51:AI51"/>
    <mergeCell ref="AJ51:AO51"/>
    <mergeCell ref="AP51:AT51"/>
    <mergeCell ref="H52:K52"/>
    <mergeCell ref="L52:P52"/>
    <mergeCell ref="Q52:U52"/>
    <mergeCell ref="V52:Z52"/>
    <mergeCell ref="AA52:AE52"/>
    <mergeCell ref="AF52:AI52"/>
    <mergeCell ref="AJ52:AO54"/>
    <mergeCell ref="AP52:AT54"/>
    <mergeCell ref="F53:F54"/>
    <mergeCell ref="B55:B56"/>
    <mergeCell ref="C55:D56"/>
    <mergeCell ref="E55:E56"/>
    <mergeCell ref="F55:F56"/>
    <mergeCell ref="G55:G56"/>
    <mergeCell ref="H55:I56"/>
    <mergeCell ref="J55:J56"/>
    <mergeCell ref="K55:K56"/>
    <mergeCell ref="L55:M56"/>
    <mergeCell ref="N55:N56"/>
    <mergeCell ref="O55:O56"/>
    <mergeCell ref="P55:P56"/>
    <mergeCell ref="Q55:R56"/>
    <mergeCell ref="S55:S56"/>
    <mergeCell ref="T55:T56"/>
    <mergeCell ref="U55:U56"/>
    <mergeCell ref="V55:W56"/>
    <mergeCell ref="X55:X56"/>
    <mergeCell ref="Y55:Y56"/>
    <mergeCell ref="Z55:Z56"/>
    <mergeCell ref="AA55:AB56"/>
    <mergeCell ref="AC55:AC56"/>
    <mergeCell ref="AD55:AD56"/>
    <mergeCell ref="AE55:AE56"/>
    <mergeCell ref="AF55:AG56"/>
    <mergeCell ref="AH55:AH56"/>
    <mergeCell ref="AI55:AI56"/>
    <mergeCell ref="AJ55:AO55"/>
    <mergeCell ref="AP55:AT55"/>
    <mergeCell ref="AJ56:AO56"/>
    <mergeCell ref="AP56:AT56"/>
    <mergeCell ref="B57:B58"/>
    <mergeCell ref="C57:D58"/>
    <mergeCell ref="E57:E58"/>
    <mergeCell ref="F57:F58"/>
    <mergeCell ref="G57:G58"/>
    <mergeCell ref="H57:I58"/>
    <mergeCell ref="J57:J58"/>
    <mergeCell ref="K57:K58"/>
    <mergeCell ref="L57:M58"/>
    <mergeCell ref="N57:N58"/>
    <mergeCell ref="O57:O58"/>
    <mergeCell ref="P57:P58"/>
    <mergeCell ref="Q57:R58"/>
    <mergeCell ref="S57:S58"/>
    <mergeCell ref="T57:T58"/>
    <mergeCell ref="U57:U58"/>
    <mergeCell ref="V57:W58"/>
    <mergeCell ref="X57:X58"/>
    <mergeCell ref="Y57:Y58"/>
    <mergeCell ref="Z57:Z58"/>
    <mergeCell ref="AA57:AB58"/>
    <mergeCell ref="AC57:AC58"/>
    <mergeCell ref="AD57:AD58"/>
    <mergeCell ref="AE57:AE58"/>
    <mergeCell ref="AF57:AG58"/>
    <mergeCell ref="AH57:AH58"/>
    <mergeCell ref="AI57:AI58"/>
    <mergeCell ref="AJ57:AO57"/>
    <mergeCell ref="AP57:AT58"/>
    <mergeCell ref="AJ58:AO58"/>
    <mergeCell ref="B59:B60"/>
    <mergeCell ref="C59:D60"/>
    <mergeCell ref="E59:E60"/>
    <mergeCell ref="F59:F60"/>
    <mergeCell ref="G59:G60"/>
    <mergeCell ref="H59:I60"/>
    <mergeCell ref="J59:J60"/>
    <mergeCell ref="K59:K60"/>
    <mergeCell ref="L59:M60"/>
    <mergeCell ref="N59:N60"/>
    <mergeCell ref="O59:O60"/>
    <mergeCell ref="P59:P60"/>
    <mergeCell ref="Q59:R60"/>
    <mergeCell ref="S59:S60"/>
    <mergeCell ref="T59:T60"/>
    <mergeCell ref="U59:U60"/>
    <mergeCell ref="V59:W60"/>
    <mergeCell ref="X59:X60"/>
    <mergeCell ref="Y59:Y60"/>
    <mergeCell ref="Z59:Z60"/>
    <mergeCell ref="AA59:AB60"/>
    <mergeCell ref="AC59:AC60"/>
    <mergeCell ref="AD59:AD60"/>
    <mergeCell ref="AE59:AE60"/>
    <mergeCell ref="AF59:AG60"/>
    <mergeCell ref="AH59:AH60"/>
    <mergeCell ref="AI59:AI60"/>
    <mergeCell ref="AJ59:AO59"/>
    <mergeCell ref="AP59:AT60"/>
    <mergeCell ref="AJ60:AO60"/>
    <mergeCell ref="B61:B62"/>
    <mergeCell ref="C61:D62"/>
    <mergeCell ref="E61:E62"/>
    <mergeCell ref="F61:F62"/>
    <mergeCell ref="G61:G62"/>
    <mergeCell ref="H61:I62"/>
    <mergeCell ref="J61:J62"/>
    <mergeCell ref="K61:K62"/>
    <mergeCell ref="L61:M62"/>
    <mergeCell ref="N61:N62"/>
    <mergeCell ref="O61:O62"/>
    <mergeCell ref="P61:P62"/>
    <mergeCell ref="Q61:R62"/>
    <mergeCell ref="S61:S62"/>
    <mergeCell ref="T61:T62"/>
    <mergeCell ref="U61:U62"/>
    <mergeCell ref="V61:W62"/>
    <mergeCell ref="X61:X62"/>
    <mergeCell ref="Y61:Y62"/>
    <mergeCell ref="Z61:Z62"/>
    <mergeCell ref="AA61:AB62"/>
    <mergeCell ref="AC61:AC62"/>
    <mergeCell ref="AD61:AD62"/>
    <mergeCell ref="AE61:AE62"/>
    <mergeCell ref="AF61:AG62"/>
    <mergeCell ref="AH61:AH62"/>
    <mergeCell ref="AI61:AI62"/>
    <mergeCell ref="AJ61:AO61"/>
    <mergeCell ref="AP61:AT62"/>
    <mergeCell ref="AJ62:AO62"/>
    <mergeCell ref="B63:B64"/>
    <mergeCell ref="C63:D64"/>
    <mergeCell ref="E63:E64"/>
    <mergeCell ref="F63:F64"/>
    <mergeCell ref="G63:G64"/>
    <mergeCell ref="H63:I64"/>
    <mergeCell ref="J63:J64"/>
    <mergeCell ref="K63:K64"/>
    <mergeCell ref="L63:M64"/>
    <mergeCell ref="N63:N64"/>
    <mergeCell ref="O63:O64"/>
    <mergeCell ref="P63:P64"/>
    <mergeCell ref="Q63:R64"/>
    <mergeCell ref="S63:S64"/>
    <mergeCell ref="T63:T64"/>
    <mergeCell ref="U63:U64"/>
    <mergeCell ref="V63:W64"/>
    <mergeCell ref="X63:X64"/>
    <mergeCell ref="Y63:Y64"/>
    <mergeCell ref="Z63:Z64"/>
    <mergeCell ref="AA63:AB64"/>
    <mergeCell ref="AC63:AC64"/>
    <mergeCell ref="AD63:AD64"/>
    <mergeCell ref="AE63:AE64"/>
    <mergeCell ref="AF63:AG64"/>
    <mergeCell ref="AH63:AH64"/>
    <mergeCell ref="AI63:AI64"/>
    <mergeCell ref="AJ63:AO63"/>
    <mergeCell ref="AP63:AT64"/>
    <mergeCell ref="AJ64:AO64"/>
    <mergeCell ref="B65:B66"/>
    <mergeCell ref="C65:D66"/>
    <mergeCell ref="E65:E66"/>
    <mergeCell ref="F65:F66"/>
    <mergeCell ref="G65:G66"/>
    <mergeCell ref="H65:I66"/>
    <mergeCell ref="J65:J66"/>
    <mergeCell ref="K65:K66"/>
    <mergeCell ref="L65:M66"/>
    <mergeCell ref="N65:N66"/>
    <mergeCell ref="O65:O66"/>
    <mergeCell ref="P65:P66"/>
    <mergeCell ref="Q65:R66"/>
    <mergeCell ref="S65:S66"/>
    <mergeCell ref="T65:T66"/>
    <mergeCell ref="U65:U66"/>
    <mergeCell ref="V65:W66"/>
    <mergeCell ref="X65:X66"/>
    <mergeCell ref="Y65:Y66"/>
    <mergeCell ref="Z65:Z66"/>
    <mergeCell ref="AA65:AB66"/>
    <mergeCell ref="AC65:AC66"/>
    <mergeCell ref="AD65:AD66"/>
    <mergeCell ref="AE65:AE66"/>
    <mergeCell ref="AF65:AG66"/>
    <mergeCell ref="AH65:AH66"/>
    <mergeCell ref="AI65:AI66"/>
    <mergeCell ref="AJ65:AO65"/>
    <mergeCell ref="AP65:AT66"/>
    <mergeCell ref="AJ66:AO66"/>
    <mergeCell ref="B67:B68"/>
    <mergeCell ref="C67:D68"/>
    <mergeCell ref="E67:E68"/>
    <mergeCell ref="F67:F68"/>
    <mergeCell ref="G67:G68"/>
    <mergeCell ref="H67:I68"/>
    <mergeCell ref="J67:J68"/>
    <mergeCell ref="K67:K68"/>
    <mergeCell ref="L67:M68"/>
    <mergeCell ref="N67:N68"/>
    <mergeCell ref="O67:O68"/>
    <mergeCell ref="P67:P68"/>
    <mergeCell ref="Q67:R68"/>
    <mergeCell ref="S67:S68"/>
    <mergeCell ref="T67:T68"/>
    <mergeCell ref="U67:U68"/>
    <mergeCell ref="V67:W68"/>
    <mergeCell ref="X67:X68"/>
    <mergeCell ref="Y67:Y68"/>
    <mergeCell ref="Z67:Z68"/>
    <mergeCell ref="AA67:AB68"/>
    <mergeCell ref="AC67:AC68"/>
    <mergeCell ref="AD67:AD68"/>
    <mergeCell ref="AE67:AE68"/>
    <mergeCell ref="AF67:AG68"/>
    <mergeCell ref="AH67:AH68"/>
    <mergeCell ref="AI67:AI68"/>
    <mergeCell ref="AJ67:AO67"/>
    <mergeCell ref="AP67:AT68"/>
    <mergeCell ref="AJ68:AO68"/>
    <mergeCell ref="B69:B70"/>
    <mergeCell ref="C69:D70"/>
    <mergeCell ref="E69:E70"/>
    <mergeCell ref="F69:F70"/>
    <mergeCell ref="G69:G70"/>
    <mergeCell ref="H69:I70"/>
    <mergeCell ref="J69:J70"/>
    <mergeCell ref="K69:K70"/>
    <mergeCell ref="L69:M70"/>
    <mergeCell ref="N69:N70"/>
    <mergeCell ref="O69:O70"/>
    <mergeCell ref="P69:P70"/>
    <mergeCell ref="Q69:R70"/>
    <mergeCell ref="S69:S70"/>
    <mergeCell ref="T69:T70"/>
    <mergeCell ref="U69:U70"/>
    <mergeCell ref="V69:W70"/>
    <mergeCell ref="X69:X70"/>
    <mergeCell ref="Y69:Y70"/>
    <mergeCell ref="Z69:Z70"/>
    <mergeCell ref="AA69:AB70"/>
    <mergeCell ref="AC69:AC70"/>
    <mergeCell ref="AD69:AD70"/>
    <mergeCell ref="AE69:AE70"/>
    <mergeCell ref="AF69:AG70"/>
    <mergeCell ref="AH69:AH70"/>
    <mergeCell ref="AI69:AI70"/>
    <mergeCell ref="AJ69:AO69"/>
    <mergeCell ref="AP69:AT70"/>
    <mergeCell ref="AJ70:AO70"/>
    <mergeCell ref="B71:B72"/>
    <mergeCell ref="C71:D72"/>
    <mergeCell ref="E71:E72"/>
    <mergeCell ref="F71:F72"/>
    <mergeCell ref="G71:G72"/>
    <mergeCell ref="H71:I72"/>
    <mergeCell ref="J71:J72"/>
    <mergeCell ref="K71:K72"/>
    <mergeCell ref="L71:M72"/>
    <mergeCell ref="N71:N72"/>
    <mergeCell ref="O71:O72"/>
    <mergeCell ref="P71:P72"/>
    <mergeCell ref="Q71:R72"/>
    <mergeCell ref="S71:S72"/>
    <mergeCell ref="T71:T72"/>
    <mergeCell ref="U71:U72"/>
    <mergeCell ref="V71:W72"/>
    <mergeCell ref="X71:X72"/>
    <mergeCell ref="Y71:Y72"/>
    <mergeCell ref="Z71:Z72"/>
    <mergeCell ref="AA71:AB72"/>
    <mergeCell ref="AC71:AC72"/>
    <mergeCell ref="AD71:AD72"/>
    <mergeCell ref="AE71:AE72"/>
    <mergeCell ref="AF71:AG72"/>
    <mergeCell ref="AH71:AH72"/>
    <mergeCell ref="AI71:AI72"/>
    <mergeCell ref="AJ71:AO71"/>
    <mergeCell ref="AP71:AT72"/>
    <mergeCell ref="AJ72:AO72"/>
    <mergeCell ref="B73:B74"/>
    <mergeCell ref="C73:D74"/>
    <mergeCell ref="E73:E74"/>
    <mergeCell ref="F73:F74"/>
    <mergeCell ref="G73:G74"/>
    <mergeCell ref="H73:I74"/>
    <mergeCell ref="J73:J74"/>
    <mergeCell ref="K73:K74"/>
    <mergeCell ref="L73:M74"/>
    <mergeCell ref="N73:N74"/>
    <mergeCell ref="O73:O74"/>
    <mergeCell ref="P73:P74"/>
    <mergeCell ref="Q73:R74"/>
    <mergeCell ref="S73:S74"/>
    <mergeCell ref="T73:T74"/>
    <mergeCell ref="U73:U74"/>
    <mergeCell ref="V73:W74"/>
    <mergeCell ref="X73:X74"/>
    <mergeCell ref="Y73:Y74"/>
    <mergeCell ref="B75:B76"/>
    <mergeCell ref="C75:D76"/>
    <mergeCell ref="E75:E76"/>
    <mergeCell ref="F75:F76"/>
    <mergeCell ref="G75:G76"/>
    <mergeCell ref="H75:I76"/>
    <mergeCell ref="J75:J76"/>
    <mergeCell ref="K75:K76"/>
    <mergeCell ref="L75:M76"/>
    <mergeCell ref="N75:N76"/>
    <mergeCell ref="O75:O76"/>
    <mergeCell ref="P75:P76"/>
    <mergeCell ref="Q75:R76"/>
    <mergeCell ref="S75:S76"/>
    <mergeCell ref="T75:T76"/>
    <mergeCell ref="U75:U76"/>
    <mergeCell ref="V75:W76"/>
    <mergeCell ref="AJ74:AO74"/>
    <mergeCell ref="X75:X76"/>
    <mergeCell ref="Y75:Y76"/>
    <mergeCell ref="Z75:Z76"/>
    <mergeCell ref="AA75:AB76"/>
    <mergeCell ref="AC75:AC76"/>
    <mergeCell ref="AD75:AD76"/>
    <mergeCell ref="AE75:AE76"/>
    <mergeCell ref="AF75:AG76"/>
    <mergeCell ref="AH75:AH76"/>
    <mergeCell ref="AI75:AI76"/>
    <mergeCell ref="AJ75:AO75"/>
    <mergeCell ref="AJ76:AO76"/>
    <mergeCell ref="AI73:AI74"/>
    <mergeCell ref="X77:X78"/>
    <mergeCell ref="Y77:Y78"/>
    <mergeCell ref="AJ73:AO73"/>
    <mergeCell ref="AH73:AH74"/>
    <mergeCell ref="Z73:Z74"/>
    <mergeCell ref="AA73:AB74"/>
    <mergeCell ref="AC73:AC74"/>
    <mergeCell ref="AD73:AD74"/>
    <mergeCell ref="AE73:AE74"/>
    <mergeCell ref="AF73:AG74"/>
    <mergeCell ref="AH79:AH80"/>
    <mergeCell ref="C77:D78"/>
    <mergeCell ref="E77:E78"/>
    <mergeCell ref="F77:F78"/>
    <mergeCell ref="G77:G78"/>
    <mergeCell ref="H77:I78"/>
    <mergeCell ref="J77:J78"/>
    <mergeCell ref="K77:K78"/>
    <mergeCell ref="L77:M78"/>
    <mergeCell ref="N77:N78"/>
    <mergeCell ref="O77:O78"/>
    <mergeCell ref="P77:P78"/>
    <mergeCell ref="Q77:R78"/>
    <mergeCell ref="S77:S78"/>
    <mergeCell ref="T77:T78"/>
    <mergeCell ref="U77:U78"/>
    <mergeCell ref="V77:W78"/>
    <mergeCell ref="Y79:Y80"/>
    <mergeCell ref="Z79:Z80"/>
    <mergeCell ref="AA79:AB80"/>
    <mergeCell ref="AC79:AC80"/>
    <mergeCell ref="AI81:AI82"/>
    <mergeCell ref="Z77:Z78"/>
    <mergeCell ref="AA77:AB78"/>
    <mergeCell ref="AC77:AC78"/>
    <mergeCell ref="AD77:AD78"/>
    <mergeCell ref="AE77:AE78"/>
    <mergeCell ref="AF77:AG78"/>
    <mergeCell ref="AH77:AH78"/>
    <mergeCell ref="AI77:AI78"/>
    <mergeCell ref="AJ77:AO77"/>
    <mergeCell ref="AJ78:AO78"/>
    <mergeCell ref="B79:B80"/>
    <mergeCell ref="C79:D80"/>
    <mergeCell ref="E79:E80"/>
    <mergeCell ref="F79:F80"/>
    <mergeCell ref="G79:G80"/>
    <mergeCell ref="H79:I80"/>
    <mergeCell ref="J79:J80"/>
    <mergeCell ref="K79:K80"/>
    <mergeCell ref="L79:M80"/>
    <mergeCell ref="N79:N80"/>
    <mergeCell ref="O79:O80"/>
    <mergeCell ref="P79:P80"/>
    <mergeCell ref="Q79:R80"/>
    <mergeCell ref="S79:S80"/>
    <mergeCell ref="T79:T80"/>
    <mergeCell ref="U79:U80"/>
    <mergeCell ref="V79:W80"/>
    <mergeCell ref="AD79:AD80"/>
    <mergeCell ref="AE79:AE80"/>
    <mergeCell ref="B77:B78"/>
    <mergeCell ref="AF79:AG80"/>
    <mergeCell ref="AJ84:AO84"/>
    <mergeCell ref="AI79:AI80"/>
    <mergeCell ref="AJ79:AO79"/>
    <mergeCell ref="AP79:AT80"/>
    <mergeCell ref="AJ80:AO80"/>
    <mergeCell ref="B81:B82"/>
    <mergeCell ref="C81:D82"/>
    <mergeCell ref="E81:E82"/>
    <mergeCell ref="F81:F82"/>
    <mergeCell ref="G81:G82"/>
    <mergeCell ref="H81:I82"/>
    <mergeCell ref="J81:J82"/>
    <mergeCell ref="K81:K82"/>
    <mergeCell ref="L81:M82"/>
    <mergeCell ref="N81:N82"/>
    <mergeCell ref="O81:O82"/>
    <mergeCell ref="P81:P82"/>
    <mergeCell ref="Q81:R82"/>
    <mergeCell ref="S81:S82"/>
    <mergeCell ref="T81:T82"/>
    <mergeCell ref="U81:U82"/>
    <mergeCell ref="V81:W82"/>
    <mergeCell ref="X81:X82"/>
    <mergeCell ref="Y81:Y82"/>
    <mergeCell ref="Z81:Z82"/>
    <mergeCell ref="AA81:AB82"/>
    <mergeCell ref="AC81:AC82"/>
    <mergeCell ref="AD81:AD82"/>
    <mergeCell ref="AE81:AE82"/>
    <mergeCell ref="AF81:AG82"/>
    <mergeCell ref="X79:X80"/>
    <mergeCell ref="AH81:AH82"/>
    <mergeCell ref="V85:W86"/>
    <mergeCell ref="AJ81:AO81"/>
    <mergeCell ref="AP81:AT82"/>
    <mergeCell ref="AJ82:AO82"/>
    <mergeCell ref="B83:B84"/>
    <mergeCell ref="C83:D84"/>
    <mergeCell ref="E83:E84"/>
    <mergeCell ref="F83:F84"/>
    <mergeCell ref="G83:G84"/>
    <mergeCell ref="H83:I84"/>
    <mergeCell ref="J83:J84"/>
    <mergeCell ref="K83:K84"/>
    <mergeCell ref="L83:M84"/>
    <mergeCell ref="N83:N84"/>
    <mergeCell ref="O83:O84"/>
    <mergeCell ref="P83:P84"/>
    <mergeCell ref="Q83:R84"/>
    <mergeCell ref="S83:S84"/>
    <mergeCell ref="T83:T84"/>
    <mergeCell ref="U83:U84"/>
    <mergeCell ref="X83:X84"/>
    <mergeCell ref="Y83:Y84"/>
    <mergeCell ref="Z83:Z84"/>
    <mergeCell ref="AC83:AC84"/>
    <mergeCell ref="AD83:AD84"/>
    <mergeCell ref="AE83:AE84"/>
    <mergeCell ref="AH83:AH84"/>
    <mergeCell ref="AI83:AI84"/>
    <mergeCell ref="AJ83:AO83"/>
    <mergeCell ref="V83:W84"/>
    <mergeCell ref="AA83:AB84"/>
    <mergeCell ref="AP83:AT84"/>
    <mergeCell ref="X85:X86"/>
    <mergeCell ref="Y85:Y86"/>
    <mergeCell ref="Z85:Z86"/>
    <mergeCell ref="AA85:AB86"/>
    <mergeCell ref="AC85:AC86"/>
    <mergeCell ref="AD85:AD86"/>
    <mergeCell ref="AE85:AE86"/>
    <mergeCell ref="AF85:AG86"/>
    <mergeCell ref="AH85:AH86"/>
    <mergeCell ref="AI85:AI86"/>
    <mergeCell ref="AJ85:AO85"/>
    <mergeCell ref="AP85:AT86"/>
    <mergeCell ref="AF83:AG84"/>
    <mergeCell ref="AJ86:AO86"/>
    <mergeCell ref="AQ88:AR88"/>
    <mergeCell ref="AS88:AT88"/>
    <mergeCell ref="B85:B86"/>
    <mergeCell ref="C85:D86"/>
    <mergeCell ref="E85:E86"/>
    <mergeCell ref="F85:F86"/>
    <mergeCell ref="G85:G86"/>
    <mergeCell ref="H85:I86"/>
    <mergeCell ref="J85:J86"/>
    <mergeCell ref="K85:K86"/>
    <mergeCell ref="L85:M86"/>
    <mergeCell ref="N85:N86"/>
    <mergeCell ref="O85:O86"/>
    <mergeCell ref="P85:P86"/>
    <mergeCell ref="Q85:R86"/>
    <mergeCell ref="S85:S86"/>
    <mergeCell ref="T85:T86"/>
    <mergeCell ref="U85:U86"/>
    <mergeCell ref="B90:C91"/>
    <mergeCell ref="D90:Z91"/>
    <mergeCell ref="B92:C92"/>
    <mergeCell ref="D92:E92"/>
    <mergeCell ref="G92:H92"/>
    <mergeCell ref="J92:K92"/>
    <mergeCell ref="P92:Q92"/>
    <mergeCell ref="R92:S92"/>
    <mergeCell ref="U92:V92"/>
    <mergeCell ref="B94:B97"/>
    <mergeCell ref="C94:D97"/>
    <mergeCell ref="E94:E97"/>
    <mergeCell ref="F94:G95"/>
    <mergeCell ref="H94:K94"/>
    <mergeCell ref="L94:P94"/>
    <mergeCell ref="Q94:U94"/>
    <mergeCell ref="V94:Z94"/>
    <mergeCell ref="S98:S99"/>
    <mergeCell ref="T98:T99"/>
    <mergeCell ref="U98:U99"/>
    <mergeCell ref="AA94:AE94"/>
    <mergeCell ref="AF94:AI94"/>
    <mergeCell ref="AJ94:AO94"/>
    <mergeCell ref="AP94:AT94"/>
    <mergeCell ref="H95:K95"/>
    <mergeCell ref="L95:P95"/>
    <mergeCell ref="Q95:U95"/>
    <mergeCell ref="V95:Z95"/>
    <mergeCell ref="AA95:AE95"/>
    <mergeCell ref="AF95:AI95"/>
    <mergeCell ref="AJ95:AO97"/>
    <mergeCell ref="AP95:AT97"/>
    <mergeCell ref="F96:F97"/>
    <mergeCell ref="G96:G97"/>
    <mergeCell ref="H96:I97"/>
    <mergeCell ref="J96:K96"/>
    <mergeCell ref="L96:M97"/>
    <mergeCell ref="N96:P96"/>
    <mergeCell ref="Q96:R97"/>
    <mergeCell ref="S96:U96"/>
    <mergeCell ref="V96:W97"/>
    <mergeCell ref="X96:Z96"/>
    <mergeCell ref="AA96:AB97"/>
    <mergeCell ref="AC96:AE96"/>
    <mergeCell ref="AF96:AG97"/>
    <mergeCell ref="AH96:AI96"/>
    <mergeCell ref="Z98:Z99"/>
    <mergeCell ref="AA98:AB99"/>
    <mergeCell ref="AC98:AC99"/>
    <mergeCell ref="AD98:AD99"/>
    <mergeCell ref="AE98:AE99"/>
    <mergeCell ref="AF98:AG99"/>
    <mergeCell ref="AH98:AH99"/>
    <mergeCell ref="AI98:AI99"/>
    <mergeCell ref="AJ98:AO98"/>
    <mergeCell ref="AP98:AT98"/>
    <mergeCell ref="AJ99:AO99"/>
    <mergeCell ref="AP99:AT99"/>
    <mergeCell ref="Z100:Z101"/>
    <mergeCell ref="AA100:AB101"/>
    <mergeCell ref="AC100:AC101"/>
    <mergeCell ref="AD100:AD101"/>
    <mergeCell ref="AE100:AE101"/>
    <mergeCell ref="AF100:AG101"/>
    <mergeCell ref="AH100:AH101"/>
    <mergeCell ref="AI100:AI101"/>
    <mergeCell ref="AJ100:AO100"/>
    <mergeCell ref="AP100:AT101"/>
    <mergeCell ref="AJ101:AO101"/>
    <mergeCell ref="B102:B103"/>
    <mergeCell ref="C102:D103"/>
    <mergeCell ref="E102:E103"/>
    <mergeCell ref="F102:F103"/>
    <mergeCell ref="G102:G103"/>
    <mergeCell ref="H102:I103"/>
    <mergeCell ref="J102:J103"/>
    <mergeCell ref="K102:K103"/>
    <mergeCell ref="L102:M103"/>
    <mergeCell ref="N102:N103"/>
    <mergeCell ref="O102:O103"/>
    <mergeCell ref="P102:P103"/>
    <mergeCell ref="Q102:R103"/>
    <mergeCell ref="V98:W99"/>
    <mergeCell ref="X102:X103"/>
    <mergeCell ref="X98:X99"/>
    <mergeCell ref="Y98:Y99"/>
    <mergeCell ref="Y102:Y103"/>
    <mergeCell ref="V100:W101"/>
    <mergeCell ref="B98:B99"/>
    <mergeCell ref="C98:D99"/>
    <mergeCell ref="E98:E99"/>
    <mergeCell ref="F98:F99"/>
    <mergeCell ref="G98:G99"/>
    <mergeCell ref="H98:I99"/>
    <mergeCell ref="J98:J99"/>
    <mergeCell ref="K98:K99"/>
    <mergeCell ref="L98:M99"/>
    <mergeCell ref="N98:N99"/>
    <mergeCell ref="O98:O99"/>
    <mergeCell ref="P98:P99"/>
    <mergeCell ref="Q98:R99"/>
    <mergeCell ref="Z102:Z103"/>
    <mergeCell ref="AA102:AB103"/>
    <mergeCell ref="AC102:AC103"/>
    <mergeCell ref="AD102:AD103"/>
    <mergeCell ref="AE102:AE103"/>
    <mergeCell ref="AF102:AG103"/>
    <mergeCell ref="AH102:AH103"/>
    <mergeCell ref="AI102:AI103"/>
    <mergeCell ref="AJ102:AO102"/>
    <mergeCell ref="AP102:AT103"/>
    <mergeCell ref="AJ103:AO103"/>
    <mergeCell ref="X104:X105"/>
    <mergeCell ref="B100:B101"/>
    <mergeCell ref="C100:D101"/>
    <mergeCell ref="E100:E101"/>
    <mergeCell ref="F100:F101"/>
    <mergeCell ref="G100:G101"/>
    <mergeCell ref="H100:I101"/>
    <mergeCell ref="J100:J101"/>
    <mergeCell ref="K100:K101"/>
    <mergeCell ref="L100:M101"/>
    <mergeCell ref="N100:N101"/>
    <mergeCell ref="O100:O101"/>
    <mergeCell ref="P100:P101"/>
    <mergeCell ref="Q100:R101"/>
    <mergeCell ref="S100:S101"/>
    <mergeCell ref="T100:T101"/>
    <mergeCell ref="U100:U101"/>
    <mergeCell ref="Y104:Y105"/>
    <mergeCell ref="X100:X101"/>
    <mergeCell ref="Y100:Y101"/>
    <mergeCell ref="E104:E105"/>
    <mergeCell ref="F104:F105"/>
    <mergeCell ref="G104:G105"/>
    <mergeCell ref="H104:I105"/>
    <mergeCell ref="J104:J105"/>
    <mergeCell ref="K104:K105"/>
    <mergeCell ref="L104:M105"/>
    <mergeCell ref="N104:N105"/>
    <mergeCell ref="O104:O105"/>
    <mergeCell ref="P104:P105"/>
    <mergeCell ref="Q104:R105"/>
    <mergeCell ref="S104:S105"/>
    <mergeCell ref="T104:T105"/>
    <mergeCell ref="U104:U105"/>
    <mergeCell ref="V104:W105"/>
    <mergeCell ref="S102:S103"/>
    <mergeCell ref="T102:T103"/>
    <mergeCell ref="U102:U103"/>
    <mergeCell ref="V102:W103"/>
    <mergeCell ref="Z104:Z105"/>
    <mergeCell ref="AA104:AB105"/>
    <mergeCell ref="AC104:AC105"/>
    <mergeCell ref="AD104:AD105"/>
    <mergeCell ref="AE104:AE105"/>
    <mergeCell ref="AF104:AG105"/>
    <mergeCell ref="AH104:AH105"/>
    <mergeCell ref="AI104:AI105"/>
    <mergeCell ref="AJ104:AO104"/>
    <mergeCell ref="AP104:AT105"/>
    <mergeCell ref="AJ105:AO105"/>
    <mergeCell ref="B106:B107"/>
    <mergeCell ref="C106:D107"/>
    <mergeCell ref="E106:E107"/>
    <mergeCell ref="F106:F107"/>
    <mergeCell ref="G106:G107"/>
    <mergeCell ref="H106:I107"/>
    <mergeCell ref="J106:J107"/>
    <mergeCell ref="K106:K107"/>
    <mergeCell ref="L106:M107"/>
    <mergeCell ref="N106:N107"/>
    <mergeCell ref="O106:O107"/>
    <mergeCell ref="P106:P107"/>
    <mergeCell ref="Q106:R107"/>
    <mergeCell ref="S106:S107"/>
    <mergeCell ref="T106:T107"/>
    <mergeCell ref="U106:U107"/>
    <mergeCell ref="V106:W107"/>
    <mergeCell ref="X106:X107"/>
    <mergeCell ref="Y106:Y107"/>
    <mergeCell ref="B104:B105"/>
    <mergeCell ref="C104:D105"/>
    <mergeCell ref="AA106:AB107"/>
    <mergeCell ref="AC106:AC107"/>
    <mergeCell ref="AD106:AD107"/>
    <mergeCell ref="AE106:AE107"/>
    <mergeCell ref="AF106:AG107"/>
    <mergeCell ref="AH106:AH107"/>
    <mergeCell ref="AI106:AI107"/>
    <mergeCell ref="AJ106:AO106"/>
    <mergeCell ref="AP106:AT107"/>
    <mergeCell ref="AJ107:AO107"/>
    <mergeCell ref="B108:B109"/>
    <mergeCell ref="C108:D109"/>
    <mergeCell ref="E108:E109"/>
    <mergeCell ref="F108:F109"/>
    <mergeCell ref="G108:G109"/>
    <mergeCell ref="H108:I109"/>
    <mergeCell ref="J108:J109"/>
    <mergeCell ref="K108:K109"/>
    <mergeCell ref="L108:M109"/>
    <mergeCell ref="N108:N109"/>
    <mergeCell ref="O108:O109"/>
    <mergeCell ref="P108:P109"/>
    <mergeCell ref="Q108:R109"/>
    <mergeCell ref="S108:S109"/>
    <mergeCell ref="T108:T109"/>
    <mergeCell ref="U108:U109"/>
    <mergeCell ref="V108:W109"/>
    <mergeCell ref="X108:X109"/>
    <mergeCell ref="Y108:Y109"/>
    <mergeCell ref="Z108:Z109"/>
    <mergeCell ref="AA108:AB109"/>
    <mergeCell ref="Z106:Z107"/>
    <mergeCell ref="AC108:AC109"/>
    <mergeCell ref="AD108:AD109"/>
    <mergeCell ref="AE108:AE109"/>
    <mergeCell ref="AF108:AG109"/>
    <mergeCell ref="AH108:AH109"/>
    <mergeCell ref="AI108:AI109"/>
    <mergeCell ref="AJ108:AO108"/>
    <mergeCell ref="AP108:AT109"/>
    <mergeCell ref="AJ109:AO109"/>
    <mergeCell ref="B110:B111"/>
    <mergeCell ref="C110:D111"/>
    <mergeCell ref="E110:E111"/>
    <mergeCell ref="F110:F111"/>
    <mergeCell ref="G110:G111"/>
    <mergeCell ref="H110:I111"/>
    <mergeCell ref="J110:J111"/>
    <mergeCell ref="K110:K111"/>
    <mergeCell ref="L110:M111"/>
    <mergeCell ref="N110:N111"/>
    <mergeCell ref="O110:O111"/>
    <mergeCell ref="P110:P111"/>
    <mergeCell ref="Q110:R111"/>
    <mergeCell ref="S110:S111"/>
    <mergeCell ref="T110:T111"/>
    <mergeCell ref="U110:U111"/>
    <mergeCell ref="V110:W111"/>
    <mergeCell ref="X110:X111"/>
    <mergeCell ref="Y110:Y111"/>
    <mergeCell ref="Z110:Z111"/>
    <mergeCell ref="AA110:AB111"/>
    <mergeCell ref="AC110:AC111"/>
    <mergeCell ref="AD110:AD111"/>
    <mergeCell ref="AE110:AE111"/>
    <mergeCell ref="AF110:AG111"/>
    <mergeCell ref="AH110:AH111"/>
    <mergeCell ref="AI110:AI111"/>
    <mergeCell ref="AJ110:AO110"/>
    <mergeCell ref="AP110:AT111"/>
    <mergeCell ref="AJ111:AO111"/>
    <mergeCell ref="B112:B113"/>
    <mergeCell ref="C112:D113"/>
    <mergeCell ref="E112:E113"/>
    <mergeCell ref="F112:F113"/>
    <mergeCell ref="G112:G113"/>
    <mergeCell ref="H112:I113"/>
    <mergeCell ref="J112:J113"/>
    <mergeCell ref="K112:K113"/>
    <mergeCell ref="L112:M113"/>
    <mergeCell ref="N112:N113"/>
    <mergeCell ref="O112:O113"/>
    <mergeCell ref="P112:P113"/>
    <mergeCell ref="Q112:R113"/>
    <mergeCell ref="S112:S113"/>
    <mergeCell ref="T112:T113"/>
    <mergeCell ref="U112:U113"/>
    <mergeCell ref="V112:W113"/>
    <mergeCell ref="X112:X113"/>
    <mergeCell ref="Y112:Y113"/>
    <mergeCell ref="Z112:Z113"/>
    <mergeCell ref="AA112:AB113"/>
    <mergeCell ref="AC112:AC113"/>
    <mergeCell ref="AD112:AD113"/>
    <mergeCell ref="AE112:AE113"/>
    <mergeCell ref="AF112:AG113"/>
    <mergeCell ref="AH112:AH113"/>
    <mergeCell ref="AI112:AI113"/>
    <mergeCell ref="AJ112:AO112"/>
    <mergeCell ref="AP112:AT113"/>
    <mergeCell ref="AJ113:AO113"/>
    <mergeCell ref="B114:B115"/>
    <mergeCell ref="C114:D115"/>
    <mergeCell ref="E114:E115"/>
    <mergeCell ref="F114:F115"/>
    <mergeCell ref="G114:G115"/>
    <mergeCell ref="H114:I115"/>
    <mergeCell ref="J114:J115"/>
    <mergeCell ref="K114:K115"/>
    <mergeCell ref="L114:M115"/>
    <mergeCell ref="N114:N115"/>
    <mergeCell ref="O114:O115"/>
    <mergeCell ref="P114:P115"/>
    <mergeCell ref="Q114:R115"/>
    <mergeCell ref="S114:S115"/>
    <mergeCell ref="T114:T115"/>
    <mergeCell ref="U114:U115"/>
    <mergeCell ref="V114:W115"/>
    <mergeCell ref="X114:X115"/>
    <mergeCell ref="Y114:Y115"/>
    <mergeCell ref="Z114:Z115"/>
    <mergeCell ref="AA114:AB115"/>
    <mergeCell ref="AC114:AC115"/>
    <mergeCell ref="AD114:AD115"/>
    <mergeCell ref="AE114:AE115"/>
    <mergeCell ref="AF114:AG115"/>
    <mergeCell ref="AH114:AH115"/>
    <mergeCell ref="AI114:AI115"/>
    <mergeCell ref="AJ114:AO114"/>
    <mergeCell ref="AP114:AT115"/>
    <mergeCell ref="AJ115:AO115"/>
    <mergeCell ref="B116:B117"/>
    <mergeCell ref="C116:D117"/>
    <mergeCell ref="E116:E117"/>
    <mergeCell ref="F116:F117"/>
    <mergeCell ref="G116:G117"/>
    <mergeCell ref="H116:I117"/>
    <mergeCell ref="J116:J117"/>
    <mergeCell ref="K116:K117"/>
    <mergeCell ref="L116:M117"/>
    <mergeCell ref="N116:N117"/>
    <mergeCell ref="O116:O117"/>
    <mergeCell ref="P116:P117"/>
    <mergeCell ref="Q116:R117"/>
    <mergeCell ref="S116:S117"/>
    <mergeCell ref="T116:T117"/>
    <mergeCell ref="U116:U117"/>
    <mergeCell ref="V116:W117"/>
    <mergeCell ref="X116:X117"/>
    <mergeCell ref="Y116:Y117"/>
    <mergeCell ref="Z116:Z117"/>
    <mergeCell ref="AA116:AB117"/>
    <mergeCell ref="AC116:AC117"/>
    <mergeCell ref="AD116:AD117"/>
    <mergeCell ref="AE116:AE117"/>
    <mergeCell ref="AF116:AG117"/>
    <mergeCell ref="AH116:AH117"/>
    <mergeCell ref="AI116:AI117"/>
    <mergeCell ref="AJ116:AO116"/>
    <mergeCell ref="AP116:AT117"/>
    <mergeCell ref="AJ117:AO117"/>
    <mergeCell ref="B118:B119"/>
    <mergeCell ref="C118:D119"/>
    <mergeCell ref="E118:E119"/>
    <mergeCell ref="F118:F119"/>
    <mergeCell ref="G118:G119"/>
    <mergeCell ref="H118:I119"/>
    <mergeCell ref="J118:J119"/>
    <mergeCell ref="K118:K119"/>
    <mergeCell ref="L118:M119"/>
    <mergeCell ref="N118:N119"/>
    <mergeCell ref="O118:O119"/>
    <mergeCell ref="P118:P119"/>
    <mergeCell ref="Q118:R119"/>
    <mergeCell ref="S118:S119"/>
    <mergeCell ref="T118:T119"/>
    <mergeCell ref="U118:U119"/>
    <mergeCell ref="V118:W119"/>
    <mergeCell ref="X118:X119"/>
    <mergeCell ref="Y118:Y119"/>
    <mergeCell ref="Z118:Z119"/>
    <mergeCell ref="AA118:AB119"/>
    <mergeCell ref="AC118:AC119"/>
    <mergeCell ref="AD118:AD119"/>
    <mergeCell ref="AE118:AE119"/>
    <mergeCell ref="AF118:AG119"/>
    <mergeCell ref="AH118:AH119"/>
    <mergeCell ref="AI118:AI119"/>
    <mergeCell ref="AJ118:AO118"/>
    <mergeCell ref="AP118:AT119"/>
    <mergeCell ref="AJ119:AO119"/>
    <mergeCell ref="B120:B121"/>
    <mergeCell ref="C120:D121"/>
    <mergeCell ref="E120:E121"/>
    <mergeCell ref="F120:F121"/>
    <mergeCell ref="G120:G121"/>
    <mergeCell ref="H120:I121"/>
    <mergeCell ref="J120:J121"/>
    <mergeCell ref="K120:K121"/>
    <mergeCell ref="L120:M121"/>
    <mergeCell ref="N120:N121"/>
    <mergeCell ref="O120:O121"/>
    <mergeCell ref="P120:P121"/>
    <mergeCell ref="Q120:R121"/>
    <mergeCell ref="S120:S121"/>
    <mergeCell ref="T120:T121"/>
    <mergeCell ref="U120:U121"/>
    <mergeCell ref="V120:W121"/>
    <mergeCell ref="X120:X121"/>
    <mergeCell ref="Y120:Y121"/>
    <mergeCell ref="Z120:Z121"/>
    <mergeCell ref="AA120:AB121"/>
    <mergeCell ref="AC120:AC121"/>
    <mergeCell ref="AD120:AD121"/>
    <mergeCell ref="AE120:AE121"/>
    <mergeCell ref="AF120:AG121"/>
    <mergeCell ref="AH120:AH121"/>
    <mergeCell ref="AI120:AI121"/>
    <mergeCell ref="AJ120:AO120"/>
    <mergeCell ref="AP120:AT121"/>
    <mergeCell ref="AJ121:AO121"/>
    <mergeCell ref="B122:B123"/>
    <mergeCell ref="C122:D123"/>
    <mergeCell ref="E122:E123"/>
    <mergeCell ref="F122:F123"/>
    <mergeCell ref="G122:G123"/>
    <mergeCell ref="H122:I123"/>
    <mergeCell ref="J122:J123"/>
    <mergeCell ref="K122:K123"/>
    <mergeCell ref="L122:M123"/>
    <mergeCell ref="N122:N123"/>
    <mergeCell ref="O122:O123"/>
    <mergeCell ref="P122:P123"/>
    <mergeCell ref="Q122:R123"/>
    <mergeCell ref="S122:S123"/>
    <mergeCell ref="T122:T123"/>
    <mergeCell ref="U122:U123"/>
    <mergeCell ref="V122:W123"/>
    <mergeCell ref="X122:X123"/>
    <mergeCell ref="Y122:Y123"/>
    <mergeCell ref="Z122:Z123"/>
    <mergeCell ref="AA122:AB123"/>
    <mergeCell ref="AC122:AC123"/>
    <mergeCell ref="AD122:AD123"/>
    <mergeCell ref="AE122:AE123"/>
    <mergeCell ref="AF122:AG123"/>
    <mergeCell ref="AH122:AH123"/>
    <mergeCell ref="AI122:AI123"/>
    <mergeCell ref="AJ122:AO122"/>
    <mergeCell ref="AP122:AT123"/>
    <mergeCell ref="AJ123:AO123"/>
    <mergeCell ref="B124:B125"/>
    <mergeCell ref="C124:D125"/>
    <mergeCell ref="E124:E125"/>
    <mergeCell ref="F124:F125"/>
    <mergeCell ref="G124:G125"/>
    <mergeCell ref="H124:I125"/>
    <mergeCell ref="J124:J125"/>
    <mergeCell ref="K124:K125"/>
    <mergeCell ref="L124:M125"/>
    <mergeCell ref="N124:N125"/>
    <mergeCell ref="O124:O125"/>
    <mergeCell ref="P124:P125"/>
    <mergeCell ref="Q124:R125"/>
    <mergeCell ref="S124:S125"/>
    <mergeCell ref="T124:T125"/>
    <mergeCell ref="U124:U125"/>
    <mergeCell ref="V124:W125"/>
    <mergeCell ref="X124:X125"/>
    <mergeCell ref="Y124:Y125"/>
    <mergeCell ref="Z124:Z125"/>
    <mergeCell ref="AA124:AB125"/>
    <mergeCell ref="AC124:AC125"/>
    <mergeCell ref="AD124:AD125"/>
    <mergeCell ref="AE124:AE125"/>
    <mergeCell ref="AF124:AG125"/>
    <mergeCell ref="AH124:AH125"/>
    <mergeCell ref="AI124:AI125"/>
    <mergeCell ref="AJ124:AO124"/>
    <mergeCell ref="AP124:AT125"/>
    <mergeCell ref="V128:W129"/>
    <mergeCell ref="AJ125:AO125"/>
    <mergeCell ref="B126:B127"/>
    <mergeCell ref="C126:D127"/>
    <mergeCell ref="E126:E127"/>
    <mergeCell ref="F126:F127"/>
    <mergeCell ref="G126:G127"/>
    <mergeCell ref="H126:I127"/>
    <mergeCell ref="J126:J127"/>
    <mergeCell ref="K126:K127"/>
    <mergeCell ref="L126:M127"/>
    <mergeCell ref="N126:N127"/>
    <mergeCell ref="O126:O127"/>
    <mergeCell ref="P126:P127"/>
    <mergeCell ref="Q126:R127"/>
    <mergeCell ref="S126:S127"/>
    <mergeCell ref="T126:T127"/>
    <mergeCell ref="U126:U127"/>
    <mergeCell ref="V126:W127"/>
    <mergeCell ref="X126:X127"/>
    <mergeCell ref="Y126:Y127"/>
    <mergeCell ref="Z126:Z127"/>
    <mergeCell ref="AA126:AB127"/>
    <mergeCell ref="AC126:AC127"/>
    <mergeCell ref="AD126:AD127"/>
    <mergeCell ref="AE126:AE127"/>
    <mergeCell ref="AF126:AG127"/>
    <mergeCell ref="AH126:AH127"/>
    <mergeCell ref="AI126:AI127"/>
    <mergeCell ref="AJ126:AO126"/>
    <mergeCell ref="AJ127:AO127"/>
    <mergeCell ref="X128:X129"/>
    <mergeCell ref="Y128:Y129"/>
    <mergeCell ref="Z128:Z129"/>
    <mergeCell ref="AA128:AB129"/>
    <mergeCell ref="AC128:AC129"/>
    <mergeCell ref="AD128:AD129"/>
    <mergeCell ref="AE128:AE129"/>
    <mergeCell ref="AF128:AG129"/>
    <mergeCell ref="AH128:AH129"/>
    <mergeCell ref="AI128:AI129"/>
    <mergeCell ref="AJ128:AO128"/>
    <mergeCell ref="AP128:AT129"/>
    <mergeCell ref="AJ129:AO129"/>
    <mergeCell ref="AQ131:AR131"/>
    <mergeCell ref="AS131:AT131"/>
    <mergeCell ref="B128:B129"/>
    <mergeCell ref="C128:D129"/>
    <mergeCell ref="E128:E129"/>
    <mergeCell ref="F128:F129"/>
    <mergeCell ref="G128:G129"/>
    <mergeCell ref="H128:I129"/>
    <mergeCell ref="J128:J129"/>
    <mergeCell ref="K128:K129"/>
    <mergeCell ref="L128:M129"/>
    <mergeCell ref="N128:N129"/>
    <mergeCell ref="O128:O129"/>
    <mergeCell ref="P128:P129"/>
    <mergeCell ref="Q128:R129"/>
    <mergeCell ref="S128:S129"/>
    <mergeCell ref="T128:T129"/>
    <mergeCell ref="U128:U129"/>
    <mergeCell ref="B133:C134"/>
    <mergeCell ref="D133:Z134"/>
    <mergeCell ref="B135:C135"/>
    <mergeCell ref="D135:E135"/>
    <mergeCell ref="G135:H135"/>
    <mergeCell ref="J135:K135"/>
    <mergeCell ref="P135:Q135"/>
    <mergeCell ref="R135:S135"/>
    <mergeCell ref="U135:V135"/>
    <mergeCell ref="B137:B140"/>
    <mergeCell ref="C137:D140"/>
    <mergeCell ref="E137:E140"/>
    <mergeCell ref="F137:G138"/>
    <mergeCell ref="H137:K137"/>
    <mergeCell ref="L137:P137"/>
    <mergeCell ref="Q137:U137"/>
    <mergeCell ref="V137:Z137"/>
    <mergeCell ref="AF137:AI137"/>
    <mergeCell ref="AJ137:AO137"/>
    <mergeCell ref="AP137:AT137"/>
    <mergeCell ref="H138:K138"/>
    <mergeCell ref="L138:P138"/>
    <mergeCell ref="Q138:U138"/>
    <mergeCell ref="V138:Z138"/>
    <mergeCell ref="AA138:AE138"/>
    <mergeCell ref="AF138:AI138"/>
    <mergeCell ref="AJ138:AO140"/>
    <mergeCell ref="AP138:AT140"/>
    <mergeCell ref="F139:F140"/>
    <mergeCell ref="G139:G140"/>
    <mergeCell ref="H139:I140"/>
    <mergeCell ref="J139:K139"/>
    <mergeCell ref="L139:M140"/>
    <mergeCell ref="N139:P139"/>
    <mergeCell ref="Q139:R140"/>
    <mergeCell ref="S139:U139"/>
    <mergeCell ref="V139:W140"/>
    <mergeCell ref="X139:Z139"/>
    <mergeCell ref="AA139:AB140"/>
    <mergeCell ref="AC139:AE139"/>
    <mergeCell ref="AF139:AG140"/>
    <mergeCell ref="AH139:AI139"/>
    <mergeCell ref="C141:D142"/>
    <mergeCell ref="E141:E142"/>
    <mergeCell ref="F141:F142"/>
    <mergeCell ref="G141:G142"/>
    <mergeCell ref="H141:I142"/>
    <mergeCell ref="J141:J142"/>
    <mergeCell ref="K141:K142"/>
    <mergeCell ref="L141:M142"/>
    <mergeCell ref="N141:N142"/>
    <mergeCell ref="O141:O142"/>
    <mergeCell ref="P141:P142"/>
    <mergeCell ref="Q141:R142"/>
    <mergeCell ref="S141:S142"/>
    <mergeCell ref="T141:T142"/>
    <mergeCell ref="U141:U142"/>
    <mergeCell ref="V141:W142"/>
    <mergeCell ref="AA137:AE137"/>
    <mergeCell ref="X141:X142"/>
    <mergeCell ref="Y141:Y142"/>
    <mergeCell ref="Z141:Z142"/>
    <mergeCell ref="AA141:AB142"/>
    <mergeCell ref="AC141:AC142"/>
    <mergeCell ref="AD141:AD142"/>
    <mergeCell ref="AE141:AE142"/>
    <mergeCell ref="AF141:AG142"/>
    <mergeCell ref="AH141:AH142"/>
    <mergeCell ref="AI141:AI142"/>
    <mergeCell ref="AJ141:AO141"/>
    <mergeCell ref="AP141:AT141"/>
    <mergeCell ref="AJ142:AO142"/>
    <mergeCell ref="AP142:AT142"/>
    <mergeCell ref="B143:B144"/>
    <mergeCell ref="C143:D144"/>
    <mergeCell ref="E143:E144"/>
    <mergeCell ref="F143:F144"/>
    <mergeCell ref="G143:G144"/>
    <mergeCell ref="H143:I144"/>
    <mergeCell ref="J143:J144"/>
    <mergeCell ref="K143:K144"/>
    <mergeCell ref="L143:M144"/>
    <mergeCell ref="N143:N144"/>
    <mergeCell ref="O143:O144"/>
    <mergeCell ref="P143:P144"/>
    <mergeCell ref="Q143:R144"/>
    <mergeCell ref="S143:S144"/>
    <mergeCell ref="T143:T144"/>
    <mergeCell ref="U143:U144"/>
    <mergeCell ref="V143:W144"/>
    <mergeCell ref="B141:B142"/>
    <mergeCell ref="X143:X144"/>
    <mergeCell ref="Y143:Y144"/>
    <mergeCell ref="Z143:Z144"/>
    <mergeCell ref="AA143:AB144"/>
    <mergeCell ref="AC143:AC144"/>
    <mergeCell ref="AD143:AD144"/>
    <mergeCell ref="AE143:AE144"/>
    <mergeCell ref="AF143:AG144"/>
    <mergeCell ref="AH143:AH144"/>
    <mergeCell ref="AI143:AI144"/>
    <mergeCell ref="AJ143:AO143"/>
    <mergeCell ref="AP143:AT144"/>
    <mergeCell ref="AJ144:AO144"/>
    <mergeCell ref="B145:B146"/>
    <mergeCell ref="C145:D146"/>
    <mergeCell ref="E145:E146"/>
    <mergeCell ref="F145:F146"/>
    <mergeCell ref="G145:G146"/>
    <mergeCell ref="H145:I146"/>
    <mergeCell ref="J145:J146"/>
    <mergeCell ref="K145:K146"/>
    <mergeCell ref="L145:M146"/>
    <mergeCell ref="N145:N146"/>
    <mergeCell ref="O145:O146"/>
    <mergeCell ref="P145:P146"/>
    <mergeCell ref="Q145:R146"/>
    <mergeCell ref="S145:S146"/>
    <mergeCell ref="T145:T146"/>
    <mergeCell ref="U145:U146"/>
    <mergeCell ref="V145:W146"/>
    <mergeCell ref="X145:X146"/>
    <mergeCell ref="Y145:Y146"/>
    <mergeCell ref="Z145:Z146"/>
    <mergeCell ref="AA145:AB146"/>
    <mergeCell ref="AC145:AC146"/>
    <mergeCell ref="AD145:AD146"/>
    <mergeCell ref="AE145:AE146"/>
    <mergeCell ref="AF145:AG146"/>
    <mergeCell ref="AH145:AH146"/>
    <mergeCell ref="AI145:AI146"/>
    <mergeCell ref="AJ145:AO145"/>
    <mergeCell ref="AP145:AT146"/>
    <mergeCell ref="AJ146:AO146"/>
    <mergeCell ref="B147:B148"/>
    <mergeCell ref="C147:D148"/>
    <mergeCell ref="E147:E148"/>
    <mergeCell ref="F147:F148"/>
    <mergeCell ref="G147:G148"/>
    <mergeCell ref="H147:I148"/>
    <mergeCell ref="J147:J148"/>
    <mergeCell ref="K147:K148"/>
    <mergeCell ref="L147:M148"/>
    <mergeCell ref="N147:N148"/>
    <mergeCell ref="O147:O148"/>
    <mergeCell ref="P147:P148"/>
    <mergeCell ref="Q147:R148"/>
    <mergeCell ref="S147:S148"/>
    <mergeCell ref="T147:T148"/>
    <mergeCell ref="U147:U148"/>
    <mergeCell ref="V147:W148"/>
    <mergeCell ref="X147:X148"/>
    <mergeCell ref="Y147:Y148"/>
    <mergeCell ref="Z147:Z148"/>
    <mergeCell ref="AA147:AB148"/>
    <mergeCell ref="AC147:AC148"/>
    <mergeCell ref="AD147:AD148"/>
    <mergeCell ref="AE147:AE148"/>
    <mergeCell ref="AF147:AG148"/>
    <mergeCell ref="AH147:AH148"/>
    <mergeCell ref="AI147:AI148"/>
    <mergeCell ref="AJ147:AO147"/>
    <mergeCell ref="AP147:AT148"/>
    <mergeCell ref="AJ148:AO148"/>
    <mergeCell ref="B149:B150"/>
    <mergeCell ref="C149:D150"/>
    <mergeCell ref="E149:E150"/>
    <mergeCell ref="F149:F150"/>
    <mergeCell ref="G149:G150"/>
    <mergeCell ref="H149:I150"/>
    <mergeCell ref="J149:J150"/>
    <mergeCell ref="K149:K150"/>
    <mergeCell ref="L149:M150"/>
    <mergeCell ref="N149:N150"/>
    <mergeCell ref="O149:O150"/>
    <mergeCell ref="P149:P150"/>
    <mergeCell ref="Q149:R150"/>
    <mergeCell ref="S149:S150"/>
    <mergeCell ref="T149:T150"/>
    <mergeCell ref="U149:U150"/>
    <mergeCell ref="V149:W150"/>
    <mergeCell ref="X149:X150"/>
    <mergeCell ref="Y149:Y150"/>
    <mergeCell ref="Z149:Z150"/>
    <mergeCell ref="AA149:AB150"/>
    <mergeCell ref="AC149:AC150"/>
    <mergeCell ref="AD149:AD150"/>
    <mergeCell ref="AE149:AE150"/>
    <mergeCell ref="AF149:AG150"/>
    <mergeCell ref="AH149:AH150"/>
    <mergeCell ref="AI149:AI150"/>
    <mergeCell ref="AJ149:AO149"/>
    <mergeCell ref="AP149:AT150"/>
    <mergeCell ref="AJ150:AO150"/>
    <mergeCell ref="B151:B152"/>
    <mergeCell ref="C151:D152"/>
    <mergeCell ref="E151:E152"/>
    <mergeCell ref="F151:F152"/>
    <mergeCell ref="G151:G152"/>
    <mergeCell ref="H151:I152"/>
    <mergeCell ref="J151:J152"/>
    <mergeCell ref="K151:K152"/>
    <mergeCell ref="L151:M152"/>
    <mergeCell ref="N151:N152"/>
    <mergeCell ref="O151:O152"/>
    <mergeCell ref="P151:P152"/>
    <mergeCell ref="Q151:R152"/>
    <mergeCell ref="S151:S152"/>
    <mergeCell ref="T151:T152"/>
    <mergeCell ref="U151:U152"/>
    <mergeCell ref="V151:W152"/>
    <mergeCell ref="X151:X152"/>
    <mergeCell ref="Y151:Y152"/>
    <mergeCell ref="Z151:Z152"/>
    <mergeCell ref="AA151:AB152"/>
    <mergeCell ref="AC151:AC152"/>
    <mergeCell ref="AD151:AD152"/>
    <mergeCell ref="AE151:AE152"/>
    <mergeCell ref="AF151:AG152"/>
    <mergeCell ref="AH151:AH152"/>
    <mergeCell ref="AI151:AI152"/>
    <mergeCell ref="AJ151:AO151"/>
    <mergeCell ref="AP151:AT152"/>
    <mergeCell ref="AJ152:AO152"/>
    <mergeCell ref="B153:B154"/>
    <mergeCell ref="C153:D154"/>
    <mergeCell ref="E153:E154"/>
    <mergeCell ref="F153:F154"/>
    <mergeCell ref="G153:G154"/>
    <mergeCell ref="H153:I154"/>
    <mergeCell ref="J153:J154"/>
    <mergeCell ref="K153:K154"/>
    <mergeCell ref="L153:M154"/>
    <mergeCell ref="N153:N154"/>
    <mergeCell ref="O153:O154"/>
    <mergeCell ref="P153:P154"/>
    <mergeCell ref="Q153:R154"/>
    <mergeCell ref="S153:S154"/>
    <mergeCell ref="T153:T154"/>
    <mergeCell ref="U153:U154"/>
    <mergeCell ref="V153:W154"/>
    <mergeCell ref="X153:X154"/>
    <mergeCell ref="Y153:Y154"/>
    <mergeCell ref="Z153:Z154"/>
    <mergeCell ref="AA153:AB154"/>
    <mergeCell ref="AC153:AC154"/>
    <mergeCell ref="AD153:AD154"/>
    <mergeCell ref="AE153:AE154"/>
    <mergeCell ref="AF153:AG154"/>
    <mergeCell ref="AH153:AH154"/>
    <mergeCell ref="AI153:AI154"/>
    <mergeCell ref="AJ153:AO153"/>
    <mergeCell ref="AP153:AT154"/>
    <mergeCell ref="AJ154:AO154"/>
    <mergeCell ref="B155:B156"/>
    <mergeCell ref="C155:D156"/>
    <mergeCell ref="E155:E156"/>
    <mergeCell ref="F155:F156"/>
    <mergeCell ref="G155:G156"/>
    <mergeCell ref="H155:I156"/>
    <mergeCell ref="J155:J156"/>
    <mergeCell ref="K155:K156"/>
    <mergeCell ref="L155:M156"/>
    <mergeCell ref="N155:N156"/>
    <mergeCell ref="O155:O156"/>
    <mergeCell ref="P155:P156"/>
    <mergeCell ref="Q155:R156"/>
    <mergeCell ref="S155:S156"/>
    <mergeCell ref="T155:T156"/>
    <mergeCell ref="U155:U156"/>
    <mergeCell ref="V155:W156"/>
    <mergeCell ref="X155:X156"/>
    <mergeCell ref="Y155:Y156"/>
    <mergeCell ref="Z155:Z156"/>
    <mergeCell ref="AA155:AB156"/>
    <mergeCell ref="AC155:AC156"/>
    <mergeCell ref="AD155:AD156"/>
    <mergeCell ref="AE155:AE156"/>
    <mergeCell ref="AF155:AG156"/>
    <mergeCell ref="AH155:AH156"/>
    <mergeCell ref="AI155:AI156"/>
    <mergeCell ref="AJ155:AO155"/>
    <mergeCell ref="AP155:AT156"/>
    <mergeCell ref="AJ156:AO156"/>
    <mergeCell ref="B157:B158"/>
    <mergeCell ref="C157:D158"/>
    <mergeCell ref="E157:E158"/>
    <mergeCell ref="F157:F158"/>
    <mergeCell ref="G157:G158"/>
    <mergeCell ref="H157:I158"/>
    <mergeCell ref="J157:J158"/>
    <mergeCell ref="K157:K158"/>
    <mergeCell ref="L157:M158"/>
    <mergeCell ref="N157:N158"/>
    <mergeCell ref="O157:O158"/>
    <mergeCell ref="P157:P158"/>
    <mergeCell ref="Q157:R158"/>
    <mergeCell ref="S157:S158"/>
    <mergeCell ref="T157:T158"/>
    <mergeCell ref="U157:U158"/>
    <mergeCell ref="V157:W158"/>
    <mergeCell ref="X157:X158"/>
    <mergeCell ref="Y157:Y158"/>
    <mergeCell ref="Z157:Z158"/>
    <mergeCell ref="AA157:AB158"/>
    <mergeCell ref="AC157:AC158"/>
    <mergeCell ref="AD157:AD158"/>
    <mergeCell ref="AE157:AE158"/>
    <mergeCell ref="AF157:AG158"/>
    <mergeCell ref="AH157:AH158"/>
    <mergeCell ref="AI157:AI158"/>
    <mergeCell ref="AJ157:AO157"/>
    <mergeCell ref="AP157:AT158"/>
    <mergeCell ref="AJ158:AO158"/>
    <mergeCell ref="B159:B160"/>
    <mergeCell ref="C159:D160"/>
    <mergeCell ref="E159:E160"/>
    <mergeCell ref="F159:F160"/>
    <mergeCell ref="G159:G160"/>
    <mergeCell ref="H159:I160"/>
    <mergeCell ref="J159:J160"/>
    <mergeCell ref="K159:K160"/>
    <mergeCell ref="L159:M160"/>
    <mergeCell ref="N159:N160"/>
    <mergeCell ref="O159:O160"/>
    <mergeCell ref="P159:P160"/>
    <mergeCell ref="Q159:R160"/>
    <mergeCell ref="S159:S160"/>
    <mergeCell ref="T159:T160"/>
    <mergeCell ref="U159:U160"/>
    <mergeCell ref="V159:W160"/>
    <mergeCell ref="X159:X160"/>
    <mergeCell ref="Y159:Y160"/>
    <mergeCell ref="Z159:Z160"/>
    <mergeCell ref="AA159:AB160"/>
    <mergeCell ref="AC159:AC160"/>
    <mergeCell ref="AD159:AD160"/>
    <mergeCell ref="AE159:AE160"/>
    <mergeCell ref="AF159:AG160"/>
    <mergeCell ref="AH159:AH160"/>
    <mergeCell ref="AI159:AI160"/>
    <mergeCell ref="AJ159:AO159"/>
    <mergeCell ref="AP159:AT160"/>
    <mergeCell ref="AJ160:AO160"/>
    <mergeCell ref="B161:B162"/>
    <mergeCell ref="C161:D162"/>
    <mergeCell ref="E161:E162"/>
    <mergeCell ref="F161:F162"/>
    <mergeCell ref="G161:G162"/>
    <mergeCell ref="H161:I162"/>
    <mergeCell ref="J161:J162"/>
    <mergeCell ref="K161:K162"/>
    <mergeCell ref="L161:M162"/>
    <mergeCell ref="N161:N162"/>
    <mergeCell ref="O161:O162"/>
    <mergeCell ref="P161:P162"/>
    <mergeCell ref="Q161:R162"/>
    <mergeCell ref="S161:S162"/>
    <mergeCell ref="T161:T162"/>
    <mergeCell ref="U161:U162"/>
    <mergeCell ref="V161:W162"/>
    <mergeCell ref="X161:X162"/>
    <mergeCell ref="Y161:Y162"/>
    <mergeCell ref="Z161:Z162"/>
    <mergeCell ref="AA161:AB162"/>
    <mergeCell ref="AC161:AC162"/>
    <mergeCell ref="AD161:AD162"/>
    <mergeCell ref="AE161:AE162"/>
    <mergeCell ref="AF161:AG162"/>
    <mergeCell ref="AH161:AH162"/>
    <mergeCell ref="AI161:AI162"/>
    <mergeCell ref="AJ161:AO161"/>
    <mergeCell ref="AP161:AT162"/>
    <mergeCell ref="AJ162:AO162"/>
    <mergeCell ref="B163:B164"/>
    <mergeCell ref="C163:D164"/>
    <mergeCell ref="E163:E164"/>
    <mergeCell ref="F163:F164"/>
    <mergeCell ref="G163:G164"/>
    <mergeCell ref="H163:I164"/>
    <mergeCell ref="J163:J164"/>
    <mergeCell ref="K163:K164"/>
    <mergeCell ref="L163:M164"/>
    <mergeCell ref="N163:N164"/>
    <mergeCell ref="O163:O164"/>
    <mergeCell ref="P163:P164"/>
    <mergeCell ref="Q163:R164"/>
    <mergeCell ref="S163:S164"/>
    <mergeCell ref="T163:T164"/>
    <mergeCell ref="U163:U164"/>
    <mergeCell ref="V163:W164"/>
    <mergeCell ref="X163:X164"/>
    <mergeCell ref="Y163:Y164"/>
    <mergeCell ref="Z163:Z164"/>
    <mergeCell ref="AA163:AB164"/>
    <mergeCell ref="AC163:AC164"/>
    <mergeCell ref="AD163:AD164"/>
    <mergeCell ref="AE163:AE164"/>
    <mergeCell ref="AF163:AG164"/>
    <mergeCell ref="AH163:AH164"/>
    <mergeCell ref="AI163:AI164"/>
    <mergeCell ref="AJ163:AO163"/>
    <mergeCell ref="AP163:AT164"/>
    <mergeCell ref="AJ164:AO164"/>
    <mergeCell ref="B165:B166"/>
    <mergeCell ref="C165:D166"/>
    <mergeCell ref="E165:E166"/>
    <mergeCell ref="F165:F166"/>
    <mergeCell ref="G165:G166"/>
    <mergeCell ref="H165:I166"/>
    <mergeCell ref="J165:J166"/>
    <mergeCell ref="K165:K166"/>
    <mergeCell ref="L165:M166"/>
    <mergeCell ref="N165:N166"/>
    <mergeCell ref="O165:O166"/>
    <mergeCell ref="P165:P166"/>
    <mergeCell ref="Q165:R166"/>
    <mergeCell ref="S165:S166"/>
    <mergeCell ref="T165:T166"/>
    <mergeCell ref="U165:U166"/>
    <mergeCell ref="V165:W166"/>
    <mergeCell ref="X165:X166"/>
    <mergeCell ref="Y165:Y166"/>
    <mergeCell ref="Z165:Z166"/>
    <mergeCell ref="AA165:AB166"/>
    <mergeCell ref="AC165:AC166"/>
    <mergeCell ref="AD165:AD166"/>
    <mergeCell ref="AE165:AE166"/>
    <mergeCell ref="AF165:AG166"/>
    <mergeCell ref="AH165:AH166"/>
    <mergeCell ref="AI165:AI166"/>
    <mergeCell ref="AJ165:AO165"/>
    <mergeCell ref="AP165:AT166"/>
    <mergeCell ref="AJ166:AO166"/>
    <mergeCell ref="B167:B168"/>
    <mergeCell ref="C167:D168"/>
    <mergeCell ref="E167:E168"/>
    <mergeCell ref="F167:F168"/>
    <mergeCell ref="G167:G168"/>
    <mergeCell ref="H167:I168"/>
    <mergeCell ref="J167:J168"/>
    <mergeCell ref="K167:K168"/>
    <mergeCell ref="L167:M168"/>
    <mergeCell ref="N167:N168"/>
    <mergeCell ref="O167:O168"/>
    <mergeCell ref="P167:P168"/>
    <mergeCell ref="Q167:R168"/>
    <mergeCell ref="S167:S168"/>
    <mergeCell ref="T167:T168"/>
    <mergeCell ref="U167:U168"/>
    <mergeCell ref="V167:W168"/>
    <mergeCell ref="X167:X168"/>
    <mergeCell ref="Y167:Y168"/>
    <mergeCell ref="Z167:Z168"/>
    <mergeCell ref="AA167:AB168"/>
    <mergeCell ref="AC167:AC168"/>
    <mergeCell ref="AD167:AD168"/>
    <mergeCell ref="AE167:AE168"/>
    <mergeCell ref="AF167:AG168"/>
    <mergeCell ref="AH167:AH168"/>
    <mergeCell ref="AI167:AI168"/>
    <mergeCell ref="AJ167:AO167"/>
    <mergeCell ref="AJ168:AO168"/>
    <mergeCell ref="B169:B170"/>
    <mergeCell ref="C169:D170"/>
    <mergeCell ref="E169:E170"/>
    <mergeCell ref="F169:F170"/>
    <mergeCell ref="G169:G170"/>
    <mergeCell ref="H169:I170"/>
    <mergeCell ref="J169:J170"/>
    <mergeCell ref="K169:K170"/>
    <mergeCell ref="L169:M170"/>
    <mergeCell ref="N169:N170"/>
    <mergeCell ref="O169:O170"/>
    <mergeCell ref="P169:P170"/>
    <mergeCell ref="Q169:R170"/>
    <mergeCell ref="S169:S170"/>
    <mergeCell ref="T169:T170"/>
    <mergeCell ref="U169:U170"/>
    <mergeCell ref="V169:W170"/>
    <mergeCell ref="X169:X170"/>
    <mergeCell ref="Y169:Y170"/>
    <mergeCell ref="Z169:Z170"/>
    <mergeCell ref="AA169:AB170"/>
    <mergeCell ref="AC169:AC170"/>
    <mergeCell ref="AD169:AD170"/>
    <mergeCell ref="AE169:AE170"/>
    <mergeCell ref="AF169:AG170"/>
    <mergeCell ref="AH169:AH170"/>
    <mergeCell ref="AI169:AI170"/>
    <mergeCell ref="AJ169:AO169"/>
    <mergeCell ref="AJ170:AO170"/>
    <mergeCell ref="Y171:Y172"/>
    <mergeCell ref="Z171:Z172"/>
    <mergeCell ref="AA171:AB172"/>
    <mergeCell ref="AC171:AC172"/>
    <mergeCell ref="AD171:AD172"/>
    <mergeCell ref="AE171:AE172"/>
    <mergeCell ref="AF171:AG172"/>
    <mergeCell ref="AH171:AH172"/>
    <mergeCell ref="AI171:AI172"/>
    <mergeCell ref="AJ171:AO171"/>
    <mergeCell ref="X171:X172"/>
    <mergeCell ref="AP171:AT172"/>
    <mergeCell ref="AJ172:AO172"/>
    <mergeCell ref="AQ174:AR174"/>
    <mergeCell ref="AS174:AT174"/>
    <mergeCell ref="B171:B172"/>
    <mergeCell ref="C171:D172"/>
    <mergeCell ref="E171:E172"/>
    <mergeCell ref="F171:F172"/>
    <mergeCell ref="G171:G172"/>
    <mergeCell ref="H171:I172"/>
    <mergeCell ref="J171:J172"/>
    <mergeCell ref="K171:K172"/>
    <mergeCell ref="L171:M172"/>
    <mergeCell ref="N171:N172"/>
    <mergeCell ref="O171:O172"/>
    <mergeCell ref="P171:P172"/>
    <mergeCell ref="Q171:R172"/>
    <mergeCell ref="S171:S172"/>
    <mergeCell ref="T171:T172"/>
    <mergeCell ref="U171:U172"/>
    <mergeCell ref="V171:W172"/>
    <mergeCell ref="B176:C177"/>
    <mergeCell ref="D176:Z177"/>
    <mergeCell ref="B178:C178"/>
    <mergeCell ref="D178:E178"/>
    <mergeCell ref="G178:H178"/>
    <mergeCell ref="J178:K178"/>
    <mergeCell ref="P178:Q178"/>
    <mergeCell ref="R178:S178"/>
    <mergeCell ref="U178:V178"/>
    <mergeCell ref="B180:B183"/>
    <mergeCell ref="C180:D183"/>
    <mergeCell ref="E180:E183"/>
    <mergeCell ref="F180:G181"/>
    <mergeCell ref="H180:K180"/>
    <mergeCell ref="L180:P180"/>
    <mergeCell ref="Q180:U180"/>
    <mergeCell ref="V180:Z180"/>
    <mergeCell ref="AF180:AI180"/>
    <mergeCell ref="AJ180:AO180"/>
    <mergeCell ref="AP180:AT180"/>
    <mergeCell ref="H181:K181"/>
    <mergeCell ref="L181:P181"/>
    <mergeCell ref="Q181:U181"/>
    <mergeCell ref="V181:Z181"/>
    <mergeCell ref="AA181:AE181"/>
    <mergeCell ref="AF181:AI181"/>
    <mergeCell ref="AJ181:AO183"/>
    <mergeCell ref="AP181:AT183"/>
    <mergeCell ref="F182:F183"/>
    <mergeCell ref="G182:G183"/>
    <mergeCell ref="H182:I183"/>
    <mergeCell ref="J182:K182"/>
    <mergeCell ref="L182:M183"/>
    <mergeCell ref="N182:P182"/>
    <mergeCell ref="Q182:R183"/>
    <mergeCell ref="S182:U182"/>
    <mergeCell ref="V182:W183"/>
    <mergeCell ref="X182:Z182"/>
    <mergeCell ref="AA182:AB183"/>
    <mergeCell ref="AC182:AE182"/>
    <mergeCell ref="AF182:AG183"/>
    <mergeCell ref="AH182:AI182"/>
    <mergeCell ref="C184:D185"/>
    <mergeCell ref="E184:E185"/>
    <mergeCell ref="F184:F185"/>
    <mergeCell ref="G184:G185"/>
    <mergeCell ref="H184:I185"/>
    <mergeCell ref="J184:J185"/>
    <mergeCell ref="K184:K185"/>
    <mergeCell ref="L184:M185"/>
    <mergeCell ref="N184:N185"/>
    <mergeCell ref="O184:O185"/>
    <mergeCell ref="P184:P185"/>
    <mergeCell ref="Q184:R185"/>
    <mergeCell ref="S184:S185"/>
    <mergeCell ref="T184:T185"/>
    <mergeCell ref="U184:U185"/>
    <mergeCell ref="V184:W185"/>
    <mergeCell ref="AA180:AE180"/>
    <mergeCell ref="X184:X185"/>
    <mergeCell ref="Y184:Y185"/>
    <mergeCell ref="Z184:Z185"/>
    <mergeCell ref="AA184:AB185"/>
    <mergeCell ref="AC184:AC185"/>
    <mergeCell ref="AD184:AD185"/>
    <mergeCell ref="AE184:AE185"/>
    <mergeCell ref="AF184:AG185"/>
    <mergeCell ref="AH184:AH185"/>
    <mergeCell ref="AI184:AI185"/>
    <mergeCell ref="AJ184:AO184"/>
    <mergeCell ref="AP184:AT184"/>
    <mergeCell ref="AJ185:AO185"/>
    <mergeCell ref="AP185:AT185"/>
    <mergeCell ref="B186:B187"/>
    <mergeCell ref="C186:D187"/>
    <mergeCell ref="E186:E187"/>
    <mergeCell ref="F186:F187"/>
    <mergeCell ref="G186:G187"/>
    <mergeCell ref="H186:I187"/>
    <mergeCell ref="J186:J187"/>
    <mergeCell ref="K186:K187"/>
    <mergeCell ref="L186:M187"/>
    <mergeCell ref="N186:N187"/>
    <mergeCell ref="O186:O187"/>
    <mergeCell ref="P186:P187"/>
    <mergeCell ref="Q186:R187"/>
    <mergeCell ref="S186:S187"/>
    <mergeCell ref="T186:T187"/>
    <mergeCell ref="U186:U187"/>
    <mergeCell ref="V186:W187"/>
    <mergeCell ref="B184:B185"/>
    <mergeCell ref="X186:X187"/>
    <mergeCell ref="Y186:Y187"/>
    <mergeCell ref="Z186:Z187"/>
    <mergeCell ref="AA186:AB187"/>
    <mergeCell ref="AC186:AC187"/>
    <mergeCell ref="AD186:AD187"/>
    <mergeCell ref="AE186:AE187"/>
    <mergeCell ref="AF186:AG187"/>
    <mergeCell ref="AH186:AH187"/>
    <mergeCell ref="AI186:AI187"/>
    <mergeCell ref="AJ186:AO186"/>
    <mergeCell ref="AP186:AT187"/>
    <mergeCell ref="AJ187:AO187"/>
    <mergeCell ref="B188:B189"/>
    <mergeCell ref="C188:D189"/>
    <mergeCell ref="E188:E189"/>
    <mergeCell ref="F188:F189"/>
    <mergeCell ref="G188:G189"/>
    <mergeCell ref="H188:I189"/>
    <mergeCell ref="J188:J189"/>
    <mergeCell ref="K188:K189"/>
    <mergeCell ref="L188:M189"/>
    <mergeCell ref="N188:N189"/>
    <mergeCell ref="O188:O189"/>
    <mergeCell ref="P188:P189"/>
    <mergeCell ref="Q188:R189"/>
    <mergeCell ref="S188:S189"/>
    <mergeCell ref="T188:T189"/>
    <mergeCell ref="U188:U189"/>
    <mergeCell ref="V188:W189"/>
    <mergeCell ref="X188:X189"/>
    <mergeCell ref="Y188:Y189"/>
    <mergeCell ref="Z188:Z189"/>
    <mergeCell ref="AA188:AB189"/>
    <mergeCell ref="AC188:AC189"/>
    <mergeCell ref="AD188:AD189"/>
    <mergeCell ref="AE188:AE189"/>
    <mergeCell ref="AF188:AG189"/>
    <mergeCell ref="AH188:AH189"/>
    <mergeCell ref="AI188:AI189"/>
    <mergeCell ref="AJ188:AO188"/>
    <mergeCell ref="AP188:AT189"/>
    <mergeCell ref="AJ189:AO189"/>
    <mergeCell ref="B190:B191"/>
    <mergeCell ref="C190:D191"/>
    <mergeCell ref="E190:E191"/>
    <mergeCell ref="F190:F191"/>
    <mergeCell ref="G190:G191"/>
    <mergeCell ref="H190:I191"/>
    <mergeCell ref="J190:J191"/>
    <mergeCell ref="K190:K191"/>
    <mergeCell ref="L190:M191"/>
    <mergeCell ref="N190:N191"/>
    <mergeCell ref="O190:O191"/>
    <mergeCell ref="P190:P191"/>
    <mergeCell ref="Q190:R191"/>
    <mergeCell ref="S190:S191"/>
    <mergeCell ref="T190:T191"/>
    <mergeCell ref="U190:U191"/>
    <mergeCell ref="V190:W191"/>
    <mergeCell ref="X190:X191"/>
    <mergeCell ref="Y190:Y191"/>
    <mergeCell ref="Z190:Z191"/>
    <mergeCell ref="AA190:AB191"/>
    <mergeCell ref="AC190:AC191"/>
    <mergeCell ref="AD190:AD191"/>
    <mergeCell ref="AE190:AE191"/>
    <mergeCell ref="AF190:AG191"/>
    <mergeCell ref="AH190:AH191"/>
    <mergeCell ref="AI190:AI191"/>
    <mergeCell ref="AJ190:AO190"/>
    <mergeCell ref="AP190:AT191"/>
    <mergeCell ref="AJ191:AO191"/>
    <mergeCell ref="B192:B193"/>
    <mergeCell ref="C192:D193"/>
    <mergeCell ref="E192:E193"/>
    <mergeCell ref="F192:F193"/>
    <mergeCell ref="G192:G193"/>
    <mergeCell ref="H192:I193"/>
    <mergeCell ref="J192:J193"/>
    <mergeCell ref="K192:K193"/>
    <mergeCell ref="L192:M193"/>
    <mergeCell ref="N192:N193"/>
    <mergeCell ref="O192:O193"/>
    <mergeCell ref="P192:P193"/>
    <mergeCell ref="Q192:R193"/>
    <mergeCell ref="S192:S193"/>
    <mergeCell ref="T192:T193"/>
    <mergeCell ref="U192:U193"/>
    <mergeCell ref="V192:W193"/>
    <mergeCell ref="X192:X193"/>
    <mergeCell ref="Y192:Y193"/>
    <mergeCell ref="Z192:Z193"/>
    <mergeCell ref="AA192:AB193"/>
    <mergeCell ref="AC192:AC193"/>
    <mergeCell ref="AD192:AD193"/>
    <mergeCell ref="AE192:AE193"/>
    <mergeCell ref="AF192:AG193"/>
    <mergeCell ref="AH192:AH193"/>
    <mergeCell ref="AI192:AI193"/>
    <mergeCell ref="AJ192:AO192"/>
    <mergeCell ref="AP192:AT193"/>
    <mergeCell ref="AJ193:AO193"/>
    <mergeCell ref="B194:B195"/>
    <mergeCell ref="C194:D195"/>
    <mergeCell ref="E194:E195"/>
    <mergeCell ref="F194:F195"/>
    <mergeCell ref="G194:G195"/>
    <mergeCell ref="H194:I195"/>
    <mergeCell ref="J194:J195"/>
    <mergeCell ref="K194:K195"/>
    <mergeCell ref="L194:M195"/>
    <mergeCell ref="N194:N195"/>
    <mergeCell ref="O194:O195"/>
    <mergeCell ref="P194:P195"/>
    <mergeCell ref="Q194:R195"/>
    <mergeCell ref="S194:S195"/>
    <mergeCell ref="T194:T195"/>
    <mergeCell ref="U194:U195"/>
    <mergeCell ref="V194:W195"/>
    <mergeCell ref="X194:X195"/>
    <mergeCell ref="Y194:Y195"/>
    <mergeCell ref="Z194:Z195"/>
    <mergeCell ref="AA194:AB195"/>
    <mergeCell ref="AC194:AC195"/>
    <mergeCell ref="AD194:AD195"/>
    <mergeCell ref="AE194:AE195"/>
    <mergeCell ref="AF194:AG195"/>
    <mergeCell ref="AH194:AH195"/>
    <mergeCell ref="AI194:AI195"/>
    <mergeCell ref="AJ194:AO194"/>
    <mergeCell ref="AP194:AT195"/>
    <mergeCell ref="AJ195:AO195"/>
    <mergeCell ref="B196:B197"/>
    <mergeCell ref="C196:D197"/>
    <mergeCell ref="E196:E197"/>
    <mergeCell ref="F196:F197"/>
    <mergeCell ref="G196:G197"/>
    <mergeCell ref="H196:I197"/>
    <mergeCell ref="J196:J197"/>
    <mergeCell ref="K196:K197"/>
    <mergeCell ref="L196:M197"/>
    <mergeCell ref="N196:N197"/>
    <mergeCell ref="O196:O197"/>
    <mergeCell ref="P196:P197"/>
    <mergeCell ref="Q196:R197"/>
    <mergeCell ref="S196:S197"/>
    <mergeCell ref="T196:T197"/>
    <mergeCell ref="U196:U197"/>
    <mergeCell ref="V196:W197"/>
    <mergeCell ref="X196:X197"/>
    <mergeCell ref="Y196:Y197"/>
    <mergeCell ref="Z196:Z197"/>
    <mergeCell ref="AA196:AB197"/>
    <mergeCell ref="AC196:AC197"/>
    <mergeCell ref="AD196:AD197"/>
    <mergeCell ref="AE196:AE197"/>
    <mergeCell ref="AF196:AG197"/>
    <mergeCell ref="AH196:AH197"/>
    <mergeCell ref="AI196:AI197"/>
    <mergeCell ref="AJ196:AO196"/>
    <mergeCell ref="AP196:AT197"/>
    <mergeCell ref="AJ197:AO197"/>
    <mergeCell ref="B198:B199"/>
    <mergeCell ref="C198:D199"/>
    <mergeCell ref="E198:E199"/>
    <mergeCell ref="F198:F199"/>
    <mergeCell ref="G198:G199"/>
    <mergeCell ref="H198:I199"/>
    <mergeCell ref="J198:J199"/>
    <mergeCell ref="K198:K199"/>
    <mergeCell ref="L198:M199"/>
    <mergeCell ref="N198:N199"/>
    <mergeCell ref="O198:O199"/>
    <mergeCell ref="P198:P199"/>
    <mergeCell ref="Q198:R199"/>
    <mergeCell ref="S198:S199"/>
    <mergeCell ref="T198:T199"/>
    <mergeCell ref="U198:U199"/>
    <mergeCell ref="V198:W199"/>
    <mergeCell ref="X198:X199"/>
    <mergeCell ref="Y198:Y199"/>
    <mergeCell ref="Z198:Z199"/>
    <mergeCell ref="AA198:AB199"/>
    <mergeCell ref="AC198:AC199"/>
    <mergeCell ref="AD198:AD199"/>
    <mergeCell ref="AE198:AE199"/>
    <mergeCell ref="AF198:AG199"/>
    <mergeCell ref="AH198:AH199"/>
    <mergeCell ref="AI198:AI199"/>
    <mergeCell ref="AJ198:AO198"/>
    <mergeCell ref="AP198:AT199"/>
    <mergeCell ref="AJ199:AO199"/>
    <mergeCell ref="B200:B201"/>
    <mergeCell ref="C200:D201"/>
    <mergeCell ref="E200:E201"/>
    <mergeCell ref="F200:F201"/>
    <mergeCell ref="G200:G201"/>
    <mergeCell ref="H200:I201"/>
    <mergeCell ref="J200:J201"/>
    <mergeCell ref="K200:K201"/>
    <mergeCell ref="L200:M201"/>
    <mergeCell ref="N200:N201"/>
    <mergeCell ref="O200:O201"/>
    <mergeCell ref="P200:P201"/>
    <mergeCell ref="Q200:R201"/>
    <mergeCell ref="S200:S201"/>
    <mergeCell ref="T200:T201"/>
    <mergeCell ref="U200:U201"/>
    <mergeCell ref="V200:W201"/>
    <mergeCell ref="X200:X201"/>
    <mergeCell ref="Y200:Y201"/>
    <mergeCell ref="Z200:Z201"/>
    <mergeCell ref="AA200:AB201"/>
    <mergeCell ref="AC200:AC201"/>
    <mergeCell ref="AD200:AD201"/>
    <mergeCell ref="AE200:AE201"/>
    <mergeCell ref="AF200:AG201"/>
    <mergeCell ref="AH200:AH201"/>
    <mergeCell ref="AI200:AI201"/>
    <mergeCell ref="AJ200:AO200"/>
    <mergeCell ref="AP200:AT201"/>
    <mergeCell ref="AJ201:AO201"/>
    <mergeCell ref="B202:B203"/>
    <mergeCell ref="C202:D203"/>
    <mergeCell ref="E202:E203"/>
    <mergeCell ref="F202:F203"/>
    <mergeCell ref="G202:G203"/>
    <mergeCell ref="H202:I203"/>
    <mergeCell ref="J202:J203"/>
    <mergeCell ref="K202:K203"/>
    <mergeCell ref="L202:M203"/>
    <mergeCell ref="N202:N203"/>
    <mergeCell ref="O202:O203"/>
    <mergeCell ref="P202:P203"/>
    <mergeCell ref="Q202:R203"/>
    <mergeCell ref="S202:S203"/>
    <mergeCell ref="T202:T203"/>
    <mergeCell ref="U202:U203"/>
    <mergeCell ref="V202:W203"/>
    <mergeCell ref="X202:X203"/>
    <mergeCell ref="Y202:Y203"/>
    <mergeCell ref="Z202:Z203"/>
    <mergeCell ref="AA202:AB203"/>
    <mergeCell ref="AC202:AC203"/>
    <mergeCell ref="AD202:AD203"/>
    <mergeCell ref="AE202:AE203"/>
    <mergeCell ref="AF202:AG203"/>
    <mergeCell ref="AH202:AH203"/>
    <mergeCell ref="AI202:AI203"/>
    <mergeCell ref="AJ202:AO202"/>
    <mergeCell ref="AP202:AT203"/>
    <mergeCell ref="AJ203:AO203"/>
    <mergeCell ref="B204:B205"/>
    <mergeCell ref="C204:D205"/>
    <mergeCell ref="E204:E205"/>
    <mergeCell ref="F204:F205"/>
    <mergeCell ref="G204:G205"/>
    <mergeCell ref="H204:I205"/>
    <mergeCell ref="J204:J205"/>
    <mergeCell ref="K204:K205"/>
    <mergeCell ref="L204:M205"/>
    <mergeCell ref="N204:N205"/>
    <mergeCell ref="O204:O205"/>
    <mergeCell ref="P204:P205"/>
    <mergeCell ref="Q204:R205"/>
    <mergeCell ref="S204:S205"/>
    <mergeCell ref="T204:T205"/>
    <mergeCell ref="U204:U205"/>
    <mergeCell ref="V204:W205"/>
    <mergeCell ref="X204:X205"/>
    <mergeCell ref="Y204:Y205"/>
    <mergeCell ref="Z204:Z205"/>
    <mergeCell ref="AA204:AB205"/>
    <mergeCell ref="AC204:AC205"/>
    <mergeCell ref="AD204:AD205"/>
    <mergeCell ref="AE204:AE205"/>
    <mergeCell ref="AF204:AG205"/>
    <mergeCell ref="AH204:AH205"/>
    <mergeCell ref="AI204:AI205"/>
    <mergeCell ref="AJ204:AO204"/>
    <mergeCell ref="AP204:AT205"/>
    <mergeCell ref="AJ205:AO205"/>
    <mergeCell ref="B206:B207"/>
    <mergeCell ref="C206:D207"/>
    <mergeCell ref="E206:E207"/>
    <mergeCell ref="F206:F207"/>
    <mergeCell ref="G206:G207"/>
    <mergeCell ref="H206:I207"/>
    <mergeCell ref="J206:J207"/>
    <mergeCell ref="K206:K207"/>
    <mergeCell ref="L206:M207"/>
    <mergeCell ref="N206:N207"/>
    <mergeCell ref="O206:O207"/>
    <mergeCell ref="P206:P207"/>
    <mergeCell ref="Q206:R207"/>
    <mergeCell ref="S206:S207"/>
    <mergeCell ref="T206:T207"/>
    <mergeCell ref="U206:U207"/>
    <mergeCell ref="V206:W207"/>
    <mergeCell ref="X206:X207"/>
    <mergeCell ref="Y206:Y207"/>
    <mergeCell ref="Z206:Z207"/>
    <mergeCell ref="AA206:AB207"/>
    <mergeCell ref="AC206:AC207"/>
    <mergeCell ref="AD206:AD207"/>
    <mergeCell ref="AE206:AE207"/>
    <mergeCell ref="AF206:AG207"/>
    <mergeCell ref="AH206:AH207"/>
    <mergeCell ref="AI206:AI207"/>
    <mergeCell ref="AJ206:AO206"/>
    <mergeCell ref="AP206:AT207"/>
    <mergeCell ref="AJ207:AO207"/>
    <mergeCell ref="B208:B209"/>
    <mergeCell ref="C208:D209"/>
    <mergeCell ref="E208:E209"/>
    <mergeCell ref="F208:F209"/>
    <mergeCell ref="G208:G209"/>
    <mergeCell ref="H208:I209"/>
    <mergeCell ref="J208:J209"/>
    <mergeCell ref="K208:K209"/>
    <mergeCell ref="L208:M209"/>
    <mergeCell ref="N208:N209"/>
    <mergeCell ref="O208:O209"/>
    <mergeCell ref="P208:P209"/>
    <mergeCell ref="Q208:R209"/>
    <mergeCell ref="S208:S209"/>
    <mergeCell ref="T208:T209"/>
    <mergeCell ref="U208:U209"/>
    <mergeCell ref="V208:W209"/>
    <mergeCell ref="X208:X209"/>
    <mergeCell ref="Y208:Y209"/>
    <mergeCell ref="Z208:Z209"/>
    <mergeCell ref="AA208:AB209"/>
    <mergeCell ref="AC208:AC209"/>
    <mergeCell ref="AD208:AD209"/>
    <mergeCell ref="AE208:AE209"/>
    <mergeCell ref="AF208:AG209"/>
    <mergeCell ref="AH208:AH209"/>
    <mergeCell ref="AI208:AI209"/>
    <mergeCell ref="AJ208:AO208"/>
    <mergeCell ref="AP208:AT209"/>
    <mergeCell ref="AJ209:AO209"/>
    <mergeCell ref="B210:B211"/>
    <mergeCell ref="C210:D211"/>
    <mergeCell ref="E210:E211"/>
    <mergeCell ref="F210:F211"/>
    <mergeCell ref="G210:G211"/>
    <mergeCell ref="H210:I211"/>
    <mergeCell ref="J210:J211"/>
    <mergeCell ref="K210:K211"/>
    <mergeCell ref="L210:M211"/>
    <mergeCell ref="N210:N211"/>
    <mergeCell ref="O210:O211"/>
    <mergeCell ref="P210:P211"/>
    <mergeCell ref="Q210:R211"/>
    <mergeCell ref="S210:S211"/>
    <mergeCell ref="T210:T211"/>
    <mergeCell ref="U210:U211"/>
    <mergeCell ref="V210:W211"/>
    <mergeCell ref="X210:X211"/>
    <mergeCell ref="Y210:Y211"/>
    <mergeCell ref="Z210:Z211"/>
    <mergeCell ref="AA210:AB211"/>
    <mergeCell ref="AC210:AC211"/>
    <mergeCell ref="AD210:AD211"/>
    <mergeCell ref="AE210:AE211"/>
    <mergeCell ref="AF210:AG211"/>
    <mergeCell ref="AH210:AH211"/>
    <mergeCell ref="AI210:AI211"/>
    <mergeCell ref="AJ210:AO210"/>
    <mergeCell ref="AJ211:AO211"/>
    <mergeCell ref="B212:B213"/>
    <mergeCell ref="C212:D213"/>
    <mergeCell ref="E212:E213"/>
    <mergeCell ref="F212:F213"/>
    <mergeCell ref="G212:G213"/>
    <mergeCell ref="H212:I213"/>
    <mergeCell ref="J212:J213"/>
    <mergeCell ref="K212:K213"/>
    <mergeCell ref="L212:M213"/>
    <mergeCell ref="N212:N213"/>
    <mergeCell ref="O212:O213"/>
    <mergeCell ref="P212:P213"/>
    <mergeCell ref="Q212:R213"/>
    <mergeCell ref="S212:S213"/>
    <mergeCell ref="T212:T213"/>
    <mergeCell ref="U212:U213"/>
    <mergeCell ref="V212:W213"/>
    <mergeCell ref="X212:X213"/>
    <mergeCell ref="Y212:Y213"/>
    <mergeCell ref="Z212:Z213"/>
    <mergeCell ref="AA212:AB213"/>
    <mergeCell ref="AC212:AC213"/>
    <mergeCell ref="AD212:AD213"/>
    <mergeCell ref="AE212:AE213"/>
    <mergeCell ref="AF212:AG213"/>
    <mergeCell ref="AH212:AH213"/>
    <mergeCell ref="AI212:AI213"/>
    <mergeCell ref="AJ212:AO212"/>
    <mergeCell ref="AJ213:AO213"/>
    <mergeCell ref="Y214:Y215"/>
    <mergeCell ref="Z214:Z215"/>
    <mergeCell ref="AA214:AB215"/>
    <mergeCell ref="AC214:AC215"/>
    <mergeCell ref="AD214:AD215"/>
    <mergeCell ref="AE214:AE215"/>
    <mergeCell ref="AF214:AG215"/>
    <mergeCell ref="AH214:AH215"/>
    <mergeCell ref="AI214:AI215"/>
    <mergeCell ref="AJ214:AO214"/>
    <mergeCell ref="X214:X215"/>
    <mergeCell ref="AP214:AT215"/>
    <mergeCell ref="AJ215:AO215"/>
    <mergeCell ref="AQ217:AR217"/>
    <mergeCell ref="AS217:AT217"/>
    <mergeCell ref="B214:B215"/>
    <mergeCell ref="C214:D215"/>
    <mergeCell ref="E214:E215"/>
    <mergeCell ref="F214:F215"/>
    <mergeCell ref="G214:G215"/>
    <mergeCell ref="H214:I215"/>
    <mergeCell ref="J214:J215"/>
    <mergeCell ref="K214:K215"/>
    <mergeCell ref="L214:M215"/>
    <mergeCell ref="N214:N215"/>
    <mergeCell ref="O214:O215"/>
    <mergeCell ref="P214:P215"/>
    <mergeCell ref="Q214:R215"/>
    <mergeCell ref="S214:S215"/>
    <mergeCell ref="T214:T215"/>
    <mergeCell ref="U214:U215"/>
    <mergeCell ref="V214:W215"/>
    <mergeCell ref="B219:C220"/>
    <mergeCell ref="D219:Z220"/>
    <mergeCell ref="B221:C221"/>
    <mergeCell ref="D221:E221"/>
    <mergeCell ref="G221:H221"/>
    <mergeCell ref="J221:K221"/>
    <mergeCell ref="P221:Q221"/>
    <mergeCell ref="R221:S221"/>
    <mergeCell ref="U221:V221"/>
    <mergeCell ref="B223:B226"/>
    <mergeCell ref="C223:D226"/>
    <mergeCell ref="E223:E226"/>
    <mergeCell ref="F223:G224"/>
    <mergeCell ref="H223:K223"/>
    <mergeCell ref="L223:P223"/>
    <mergeCell ref="Q223:U223"/>
    <mergeCell ref="V223:Z223"/>
    <mergeCell ref="AF223:AI223"/>
    <mergeCell ref="AJ223:AO223"/>
    <mergeCell ref="AP223:AT223"/>
    <mergeCell ref="H224:K224"/>
    <mergeCell ref="L224:P224"/>
    <mergeCell ref="Q224:U224"/>
    <mergeCell ref="V224:Z224"/>
    <mergeCell ref="AA224:AE224"/>
    <mergeCell ref="AF224:AI224"/>
    <mergeCell ref="AJ224:AO226"/>
    <mergeCell ref="AP224:AT226"/>
    <mergeCell ref="F225:F226"/>
    <mergeCell ref="G225:G226"/>
    <mergeCell ref="H225:I226"/>
    <mergeCell ref="J225:K225"/>
    <mergeCell ref="L225:M226"/>
    <mergeCell ref="N225:P225"/>
    <mergeCell ref="Q225:R226"/>
    <mergeCell ref="S225:U225"/>
    <mergeCell ref="V225:W226"/>
    <mergeCell ref="X225:Z225"/>
    <mergeCell ref="AA225:AB226"/>
    <mergeCell ref="AC225:AE225"/>
    <mergeCell ref="AF225:AG226"/>
    <mergeCell ref="AH225:AI225"/>
    <mergeCell ref="C227:D228"/>
    <mergeCell ref="E227:E228"/>
    <mergeCell ref="F227:F228"/>
    <mergeCell ref="G227:G228"/>
    <mergeCell ref="H227:I228"/>
    <mergeCell ref="J227:J228"/>
    <mergeCell ref="K227:K228"/>
    <mergeCell ref="L227:M228"/>
    <mergeCell ref="N227:N228"/>
    <mergeCell ref="O227:O228"/>
    <mergeCell ref="P227:P228"/>
    <mergeCell ref="Q227:R228"/>
    <mergeCell ref="S227:S228"/>
    <mergeCell ref="T227:T228"/>
    <mergeCell ref="U227:U228"/>
    <mergeCell ref="V227:W228"/>
    <mergeCell ref="AA223:AE223"/>
    <mergeCell ref="X227:X228"/>
    <mergeCell ref="Y227:Y228"/>
    <mergeCell ref="Z227:Z228"/>
    <mergeCell ref="AA227:AB228"/>
    <mergeCell ref="AC227:AC228"/>
    <mergeCell ref="AD227:AD228"/>
    <mergeCell ref="AE227:AE228"/>
    <mergeCell ref="AF227:AG228"/>
    <mergeCell ref="AH227:AH228"/>
    <mergeCell ref="AI227:AI228"/>
    <mergeCell ref="AJ227:AO227"/>
    <mergeCell ref="AP227:AT227"/>
    <mergeCell ref="AJ228:AO228"/>
    <mergeCell ref="AP228:AT228"/>
    <mergeCell ref="B229:B230"/>
    <mergeCell ref="C229:D230"/>
    <mergeCell ref="E229:E230"/>
    <mergeCell ref="F229:F230"/>
    <mergeCell ref="G229:G230"/>
    <mergeCell ref="H229:I230"/>
    <mergeCell ref="J229:J230"/>
    <mergeCell ref="K229:K230"/>
    <mergeCell ref="L229:M230"/>
    <mergeCell ref="N229:N230"/>
    <mergeCell ref="O229:O230"/>
    <mergeCell ref="P229:P230"/>
    <mergeCell ref="Q229:R230"/>
    <mergeCell ref="S229:S230"/>
    <mergeCell ref="T229:T230"/>
    <mergeCell ref="U229:U230"/>
    <mergeCell ref="V229:W230"/>
    <mergeCell ref="B227:B228"/>
    <mergeCell ref="X229:X230"/>
    <mergeCell ref="Y229:Y230"/>
    <mergeCell ref="Z229:Z230"/>
    <mergeCell ref="AA229:AB230"/>
    <mergeCell ref="AC229:AC230"/>
    <mergeCell ref="AD229:AD230"/>
    <mergeCell ref="AE229:AE230"/>
    <mergeCell ref="AF229:AG230"/>
    <mergeCell ref="AH229:AH230"/>
    <mergeCell ref="AI229:AI230"/>
    <mergeCell ref="AJ229:AO229"/>
    <mergeCell ref="AP229:AT230"/>
    <mergeCell ref="AJ230:AO230"/>
    <mergeCell ref="B231:B232"/>
    <mergeCell ref="C231:D232"/>
    <mergeCell ref="E231:E232"/>
    <mergeCell ref="F231:F232"/>
    <mergeCell ref="G231:G232"/>
    <mergeCell ref="H231:I232"/>
    <mergeCell ref="J231:J232"/>
    <mergeCell ref="K231:K232"/>
    <mergeCell ref="L231:M232"/>
    <mergeCell ref="N231:N232"/>
    <mergeCell ref="O231:O232"/>
    <mergeCell ref="P231:P232"/>
    <mergeCell ref="Q231:R232"/>
    <mergeCell ref="S231:S232"/>
    <mergeCell ref="T231:T232"/>
    <mergeCell ref="U231:U232"/>
    <mergeCell ref="V231:W232"/>
    <mergeCell ref="X231:X232"/>
    <mergeCell ref="Y231:Y232"/>
    <mergeCell ref="Z231:Z232"/>
    <mergeCell ref="AA231:AB232"/>
    <mergeCell ref="AC231:AC232"/>
    <mergeCell ref="AD231:AD232"/>
    <mergeCell ref="AE231:AE232"/>
    <mergeCell ref="AF231:AG232"/>
    <mergeCell ref="AH231:AH232"/>
    <mergeCell ref="AI231:AI232"/>
    <mergeCell ref="AJ231:AO231"/>
    <mergeCell ref="AP231:AT232"/>
    <mergeCell ref="AJ232:AO232"/>
    <mergeCell ref="B233:B234"/>
    <mergeCell ref="C233:D234"/>
    <mergeCell ref="E233:E234"/>
    <mergeCell ref="F233:F234"/>
    <mergeCell ref="G233:G234"/>
    <mergeCell ref="H233:I234"/>
    <mergeCell ref="J233:J234"/>
    <mergeCell ref="K233:K234"/>
    <mergeCell ref="L233:M234"/>
    <mergeCell ref="N233:N234"/>
    <mergeCell ref="O233:O234"/>
    <mergeCell ref="P233:P234"/>
    <mergeCell ref="Q233:R234"/>
    <mergeCell ref="S233:S234"/>
    <mergeCell ref="T233:T234"/>
    <mergeCell ref="U233:U234"/>
    <mergeCell ref="V233:W234"/>
    <mergeCell ref="X233:X234"/>
    <mergeCell ref="Y233:Y234"/>
    <mergeCell ref="Z233:Z234"/>
    <mergeCell ref="AA233:AB234"/>
    <mergeCell ref="AC233:AC234"/>
    <mergeCell ref="AD233:AD234"/>
    <mergeCell ref="AE233:AE234"/>
    <mergeCell ref="AF233:AG234"/>
    <mergeCell ref="AH233:AH234"/>
    <mergeCell ref="AI233:AI234"/>
    <mergeCell ref="AJ233:AO233"/>
    <mergeCell ref="AP233:AT234"/>
    <mergeCell ref="AJ234:AO234"/>
    <mergeCell ref="B235:B236"/>
    <mergeCell ref="C235:D236"/>
    <mergeCell ref="E235:E236"/>
    <mergeCell ref="F235:F236"/>
    <mergeCell ref="G235:G236"/>
    <mergeCell ref="H235:I236"/>
    <mergeCell ref="J235:J236"/>
    <mergeCell ref="K235:K236"/>
    <mergeCell ref="L235:M236"/>
    <mergeCell ref="N235:N236"/>
    <mergeCell ref="O235:O236"/>
    <mergeCell ref="P235:P236"/>
    <mergeCell ref="Q235:R236"/>
    <mergeCell ref="S235:S236"/>
    <mergeCell ref="T235:T236"/>
    <mergeCell ref="U235:U236"/>
    <mergeCell ref="V235:W236"/>
    <mergeCell ref="X235:X236"/>
    <mergeCell ref="Y235:Y236"/>
    <mergeCell ref="Z235:Z236"/>
    <mergeCell ref="AA235:AB236"/>
    <mergeCell ref="AC235:AC236"/>
    <mergeCell ref="AD235:AD236"/>
    <mergeCell ref="AE235:AE236"/>
    <mergeCell ref="AF235:AG236"/>
    <mergeCell ref="AH235:AH236"/>
    <mergeCell ref="AI235:AI236"/>
    <mergeCell ref="AJ235:AO235"/>
    <mergeCell ref="AP235:AT236"/>
    <mergeCell ref="AJ236:AO236"/>
    <mergeCell ref="B237:B238"/>
    <mergeCell ref="C237:D238"/>
    <mergeCell ref="E237:E238"/>
    <mergeCell ref="F237:F238"/>
    <mergeCell ref="G237:G238"/>
    <mergeCell ref="H237:I238"/>
    <mergeCell ref="J237:J238"/>
    <mergeCell ref="K237:K238"/>
    <mergeCell ref="L237:M238"/>
    <mergeCell ref="N237:N238"/>
    <mergeCell ref="O237:O238"/>
    <mergeCell ref="P237:P238"/>
    <mergeCell ref="Q237:R238"/>
    <mergeCell ref="S237:S238"/>
    <mergeCell ref="T237:T238"/>
    <mergeCell ref="U237:U238"/>
    <mergeCell ref="V237:W238"/>
    <mergeCell ref="X237:X238"/>
    <mergeCell ref="Y237:Y238"/>
    <mergeCell ref="Z237:Z238"/>
    <mergeCell ref="AA237:AB238"/>
    <mergeCell ref="AC237:AC238"/>
    <mergeCell ref="AD237:AD238"/>
    <mergeCell ref="AE237:AE238"/>
    <mergeCell ref="AF237:AG238"/>
    <mergeCell ref="AH237:AH238"/>
    <mergeCell ref="AI237:AI238"/>
    <mergeCell ref="AJ237:AO237"/>
    <mergeCell ref="AP237:AT238"/>
    <mergeCell ref="AJ238:AO238"/>
    <mergeCell ref="B239:B240"/>
    <mergeCell ref="C239:D240"/>
    <mergeCell ref="E239:E240"/>
    <mergeCell ref="F239:F240"/>
    <mergeCell ref="G239:G240"/>
    <mergeCell ref="H239:I240"/>
    <mergeCell ref="J239:J240"/>
    <mergeCell ref="K239:K240"/>
    <mergeCell ref="L239:M240"/>
    <mergeCell ref="N239:N240"/>
    <mergeCell ref="O239:O240"/>
    <mergeCell ref="P239:P240"/>
    <mergeCell ref="Q239:R240"/>
    <mergeCell ref="S239:S240"/>
    <mergeCell ref="T239:T240"/>
    <mergeCell ref="U239:U240"/>
    <mergeCell ref="V239:W240"/>
    <mergeCell ref="X239:X240"/>
    <mergeCell ref="Y239:Y240"/>
    <mergeCell ref="Z239:Z240"/>
    <mergeCell ref="AA239:AB240"/>
    <mergeCell ref="AC239:AC240"/>
    <mergeCell ref="AD239:AD240"/>
    <mergeCell ref="AE239:AE240"/>
    <mergeCell ref="AF239:AG240"/>
    <mergeCell ref="AH239:AH240"/>
    <mergeCell ref="AI239:AI240"/>
    <mergeCell ref="AJ239:AO239"/>
    <mergeCell ref="AP239:AT240"/>
    <mergeCell ref="AJ240:AO240"/>
    <mergeCell ref="B241:B242"/>
    <mergeCell ref="C241:D242"/>
    <mergeCell ref="E241:E242"/>
    <mergeCell ref="F241:F242"/>
    <mergeCell ref="G241:G242"/>
    <mergeCell ref="H241:I242"/>
    <mergeCell ref="J241:J242"/>
    <mergeCell ref="K241:K242"/>
    <mergeCell ref="L241:M242"/>
    <mergeCell ref="N241:N242"/>
    <mergeCell ref="O241:O242"/>
    <mergeCell ref="P241:P242"/>
    <mergeCell ref="Q241:R242"/>
    <mergeCell ref="S241:S242"/>
    <mergeCell ref="T241:T242"/>
    <mergeCell ref="U241:U242"/>
    <mergeCell ref="V241:W242"/>
    <mergeCell ref="X241:X242"/>
    <mergeCell ref="Y241:Y242"/>
    <mergeCell ref="Z241:Z242"/>
    <mergeCell ref="AA241:AB242"/>
    <mergeCell ref="AC241:AC242"/>
    <mergeCell ref="AD241:AD242"/>
    <mergeCell ref="AE241:AE242"/>
    <mergeCell ref="AF241:AG242"/>
    <mergeCell ref="AH241:AH242"/>
    <mergeCell ref="AI241:AI242"/>
    <mergeCell ref="AJ241:AO241"/>
    <mergeCell ref="AP241:AT242"/>
    <mergeCell ref="AJ242:AO242"/>
    <mergeCell ref="B243:B244"/>
    <mergeCell ref="C243:D244"/>
    <mergeCell ref="E243:E244"/>
    <mergeCell ref="F243:F244"/>
    <mergeCell ref="G243:G244"/>
    <mergeCell ref="H243:I244"/>
    <mergeCell ref="J243:J244"/>
    <mergeCell ref="K243:K244"/>
    <mergeCell ref="L243:M244"/>
    <mergeCell ref="N243:N244"/>
    <mergeCell ref="O243:O244"/>
    <mergeCell ref="P243:P244"/>
    <mergeCell ref="Q243:R244"/>
    <mergeCell ref="S243:S244"/>
    <mergeCell ref="T243:T244"/>
    <mergeCell ref="U243:U244"/>
    <mergeCell ref="V243:W244"/>
    <mergeCell ref="X243:X244"/>
    <mergeCell ref="Y243:Y244"/>
    <mergeCell ref="Z243:Z244"/>
    <mergeCell ref="AA243:AB244"/>
    <mergeCell ref="AC243:AC244"/>
    <mergeCell ref="AD243:AD244"/>
    <mergeCell ref="AE243:AE244"/>
    <mergeCell ref="AF243:AG244"/>
    <mergeCell ref="AH243:AH244"/>
    <mergeCell ref="AI243:AI244"/>
    <mergeCell ref="AJ243:AO243"/>
    <mergeCell ref="AP243:AT244"/>
    <mergeCell ref="AJ244:AO244"/>
    <mergeCell ref="B245:B246"/>
    <mergeCell ref="C245:D246"/>
    <mergeCell ref="E245:E246"/>
    <mergeCell ref="F245:F246"/>
    <mergeCell ref="G245:G246"/>
    <mergeCell ref="H245:I246"/>
    <mergeCell ref="J245:J246"/>
    <mergeCell ref="K245:K246"/>
    <mergeCell ref="L245:M246"/>
    <mergeCell ref="N245:N246"/>
    <mergeCell ref="O245:O246"/>
    <mergeCell ref="P245:P246"/>
    <mergeCell ref="Q245:R246"/>
    <mergeCell ref="S245:S246"/>
    <mergeCell ref="T245:T246"/>
    <mergeCell ref="U245:U246"/>
    <mergeCell ref="V245:W246"/>
    <mergeCell ref="X245:X246"/>
    <mergeCell ref="Y245:Y246"/>
    <mergeCell ref="Z245:Z246"/>
    <mergeCell ref="AA245:AB246"/>
    <mergeCell ref="AC245:AC246"/>
    <mergeCell ref="AD245:AD246"/>
    <mergeCell ref="AE245:AE246"/>
    <mergeCell ref="AF245:AG246"/>
    <mergeCell ref="AH245:AH246"/>
    <mergeCell ref="AI245:AI246"/>
    <mergeCell ref="AJ245:AO245"/>
    <mergeCell ref="AP245:AT246"/>
    <mergeCell ref="AJ246:AO246"/>
    <mergeCell ref="B247:B248"/>
    <mergeCell ref="C247:D248"/>
    <mergeCell ref="E247:E248"/>
    <mergeCell ref="F247:F248"/>
    <mergeCell ref="G247:G248"/>
    <mergeCell ref="H247:I248"/>
    <mergeCell ref="J247:J248"/>
    <mergeCell ref="K247:K248"/>
    <mergeCell ref="L247:M248"/>
    <mergeCell ref="N247:N248"/>
    <mergeCell ref="O247:O248"/>
    <mergeCell ref="P247:P248"/>
    <mergeCell ref="Q247:R248"/>
    <mergeCell ref="S247:S248"/>
    <mergeCell ref="T247:T248"/>
    <mergeCell ref="U247:U248"/>
    <mergeCell ref="V247:W248"/>
    <mergeCell ref="X247:X248"/>
    <mergeCell ref="Y247:Y248"/>
    <mergeCell ref="Z247:Z248"/>
    <mergeCell ref="AA247:AB248"/>
    <mergeCell ref="AC247:AC248"/>
    <mergeCell ref="AD247:AD248"/>
    <mergeCell ref="AE247:AE248"/>
    <mergeCell ref="AF247:AG248"/>
    <mergeCell ref="AH247:AH248"/>
    <mergeCell ref="AI247:AI248"/>
    <mergeCell ref="AJ247:AO247"/>
    <mergeCell ref="AP247:AT248"/>
    <mergeCell ref="AJ248:AO248"/>
    <mergeCell ref="B249:B250"/>
    <mergeCell ref="C249:D250"/>
    <mergeCell ref="E249:E250"/>
    <mergeCell ref="F249:F250"/>
    <mergeCell ref="G249:G250"/>
    <mergeCell ref="H249:I250"/>
    <mergeCell ref="J249:J250"/>
    <mergeCell ref="K249:K250"/>
    <mergeCell ref="L249:M250"/>
    <mergeCell ref="N249:N250"/>
    <mergeCell ref="O249:O250"/>
    <mergeCell ref="P249:P250"/>
    <mergeCell ref="Q249:R250"/>
    <mergeCell ref="S249:S250"/>
    <mergeCell ref="T249:T250"/>
    <mergeCell ref="U249:U250"/>
    <mergeCell ref="V249:W250"/>
    <mergeCell ref="X249:X250"/>
    <mergeCell ref="Y249:Y250"/>
    <mergeCell ref="Z249:Z250"/>
    <mergeCell ref="AA249:AB250"/>
    <mergeCell ref="AC249:AC250"/>
    <mergeCell ref="AD249:AD250"/>
    <mergeCell ref="AE249:AE250"/>
    <mergeCell ref="AF249:AG250"/>
    <mergeCell ref="AH249:AH250"/>
    <mergeCell ref="AI249:AI250"/>
    <mergeCell ref="AJ249:AO249"/>
    <mergeCell ref="AP249:AT250"/>
    <mergeCell ref="AJ250:AO250"/>
    <mergeCell ref="B251:B252"/>
    <mergeCell ref="C251:D252"/>
    <mergeCell ref="E251:E252"/>
    <mergeCell ref="F251:F252"/>
    <mergeCell ref="G251:G252"/>
    <mergeCell ref="H251:I252"/>
    <mergeCell ref="J251:J252"/>
    <mergeCell ref="K251:K252"/>
    <mergeCell ref="L251:M252"/>
    <mergeCell ref="N251:N252"/>
    <mergeCell ref="O251:O252"/>
    <mergeCell ref="P251:P252"/>
    <mergeCell ref="Q251:R252"/>
    <mergeCell ref="S251:S252"/>
    <mergeCell ref="T251:T252"/>
    <mergeCell ref="U251:U252"/>
    <mergeCell ref="V251:W252"/>
    <mergeCell ref="X251:X252"/>
    <mergeCell ref="Y251:Y252"/>
    <mergeCell ref="Z251:Z252"/>
    <mergeCell ref="AA251:AB252"/>
    <mergeCell ref="AC251:AC252"/>
    <mergeCell ref="AD251:AD252"/>
    <mergeCell ref="AE251:AE252"/>
    <mergeCell ref="AF251:AG252"/>
    <mergeCell ref="AH251:AH252"/>
    <mergeCell ref="AI251:AI252"/>
    <mergeCell ref="AJ251:AO251"/>
    <mergeCell ref="AP251:AT252"/>
    <mergeCell ref="AJ252:AO252"/>
    <mergeCell ref="B253:B254"/>
    <mergeCell ref="C253:D254"/>
    <mergeCell ref="E253:E254"/>
    <mergeCell ref="F253:F254"/>
    <mergeCell ref="G253:G254"/>
    <mergeCell ref="H253:I254"/>
    <mergeCell ref="J253:J254"/>
    <mergeCell ref="K253:K254"/>
    <mergeCell ref="L253:M254"/>
    <mergeCell ref="N253:N254"/>
    <mergeCell ref="O253:O254"/>
    <mergeCell ref="P253:P254"/>
    <mergeCell ref="Q253:R254"/>
    <mergeCell ref="S253:S254"/>
    <mergeCell ref="T253:T254"/>
    <mergeCell ref="U253:U254"/>
    <mergeCell ref="V253:W254"/>
    <mergeCell ref="X253:X254"/>
    <mergeCell ref="Y253:Y254"/>
    <mergeCell ref="Z253:Z254"/>
    <mergeCell ref="AA253:AB254"/>
    <mergeCell ref="AC253:AC254"/>
    <mergeCell ref="AD253:AD254"/>
    <mergeCell ref="AE253:AE254"/>
    <mergeCell ref="AF253:AG254"/>
    <mergeCell ref="AH253:AH254"/>
    <mergeCell ref="AI253:AI254"/>
    <mergeCell ref="AJ253:AO253"/>
    <mergeCell ref="AJ254:AO254"/>
    <mergeCell ref="B255:B256"/>
    <mergeCell ref="C255:D256"/>
    <mergeCell ref="E255:E256"/>
    <mergeCell ref="F255:F256"/>
    <mergeCell ref="G255:G256"/>
    <mergeCell ref="H255:I256"/>
    <mergeCell ref="J255:J256"/>
    <mergeCell ref="K255:K256"/>
    <mergeCell ref="L255:M256"/>
    <mergeCell ref="N255:N256"/>
    <mergeCell ref="O255:O256"/>
    <mergeCell ref="P255:P256"/>
    <mergeCell ref="Q255:R256"/>
    <mergeCell ref="S255:S256"/>
    <mergeCell ref="T255:T256"/>
    <mergeCell ref="U255:U256"/>
    <mergeCell ref="V255:W256"/>
    <mergeCell ref="X255:X256"/>
    <mergeCell ref="Y255:Y256"/>
    <mergeCell ref="Z255:Z256"/>
    <mergeCell ref="AA255:AB256"/>
    <mergeCell ref="AC255:AC256"/>
    <mergeCell ref="AD255:AD256"/>
    <mergeCell ref="AE255:AE256"/>
    <mergeCell ref="AF255:AG256"/>
    <mergeCell ref="AH255:AH256"/>
    <mergeCell ref="AI255:AI256"/>
    <mergeCell ref="AJ255:AO255"/>
    <mergeCell ref="AJ256:AO256"/>
    <mergeCell ref="Y257:Y258"/>
    <mergeCell ref="Z257:Z258"/>
    <mergeCell ref="AA257:AB258"/>
    <mergeCell ref="AC257:AC258"/>
    <mergeCell ref="AD257:AD258"/>
    <mergeCell ref="AE257:AE258"/>
    <mergeCell ref="AF257:AG258"/>
    <mergeCell ref="AH257:AH258"/>
    <mergeCell ref="AI257:AI258"/>
    <mergeCell ref="AJ257:AO257"/>
    <mergeCell ref="X257:X258"/>
    <mergeCell ref="AP257:AT258"/>
    <mergeCell ref="AJ258:AO258"/>
    <mergeCell ref="AQ260:AR260"/>
    <mergeCell ref="AS260:AT260"/>
    <mergeCell ref="B257:B258"/>
    <mergeCell ref="C257:D258"/>
    <mergeCell ref="E257:E258"/>
    <mergeCell ref="F257:F258"/>
    <mergeCell ref="G257:G258"/>
    <mergeCell ref="H257:I258"/>
    <mergeCell ref="J257:J258"/>
    <mergeCell ref="K257:K258"/>
    <mergeCell ref="L257:M258"/>
    <mergeCell ref="N257:N258"/>
    <mergeCell ref="O257:O258"/>
    <mergeCell ref="P257:P258"/>
    <mergeCell ref="Q257:R258"/>
    <mergeCell ref="S257:S258"/>
    <mergeCell ref="T257:T258"/>
    <mergeCell ref="U257:U258"/>
    <mergeCell ref="V257:W258"/>
    <mergeCell ref="B262:C263"/>
    <mergeCell ref="D262:Z263"/>
    <mergeCell ref="B264:C264"/>
    <mergeCell ref="D264:E264"/>
    <mergeCell ref="G264:H264"/>
    <mergeCell ref="J264:K264"/>
    <mergeCell ref="P264:Q264"/>
    <mergeCell ref="R264:S264"/>
    <mergeCell ref="U264:V264"/>
    <mergeCell ref="B266:B269"/>
    <mergeCell ref="C266:D269"/>
    <mergeCell ref="E266:E269"/>
    <mergeCell ref="F266:G267"/>
    <mergeCell ref="H266:K266"/>
    <mergeCell ref="L266:P266"/>
    <mergeCell ref="Q266:U266"/>
    <mergeCell ref="V266:Z266"/>
    <mergeCell ref="AF266:AI266"/>
    <mergeCell ref="AJ266:AO266"/>
    <mergeCell ref="AP266:AT266"/>
    <mergeCell ref="H267:K267"/>
    <mergeCell ref="L267:P267"/>
    <mergeCell ref="Q267:U267"/>
    <mergeCell ref="V267:Z267"/>
    <mergeCell ref="AA267:AE267"/>
    <mergeCell ref="AF267:AI267"/>
    <mergeCell ref="AJ267:AO269"/>
    <mergeCell ref="AP267:AT269"/>
    <mergeCell ref="F268:F269"/>
    <mergeCell ref="G268:G269"/>
    <mergeCell ref="H268:I269"/>
    <mergeCell ref="J268:K268"/>
    <mergeCell ref="L268:M269"/>
    <mergeCell ref="N268:P268"/>
    <mergeCell ref="Q268:R269"/>
    <mergeCell ref="S268:U268"/>
    <mergeCell ref="V268:W269"/>
    <mergeCell ref="X268:Z268"/>
    <mergeCell ref="AA268:AB269"/>
    <mergeCell ref="AC268:AE268"/>
    <mergeCell ref="AF268:AG269"/>
    <mergeCell ref="AH268:AI268"/>
    <mergeCell ref="C270:D271"/>
    <mergeCell ref="E270:E271"/>
    <mergeCell ref="F270:F271"/>
    <mergeCell ref="G270:G271"/>
    <mergeCell ref="H270:I271"/>
    <mergeCell ref="J270:J271"/>
    <mergeCell ref="K270:K271"/>
    <mergeCell ref="L270:M271"/>
    <mergeCell ref="N270:N271"/>
    <mergeCell ref="O270:O271"/>
    <mergeCell ref="P270:P271"/>
    <mergeCell ref="Q270:R271"/>
    <mergeCell ref="S270:S271"/>
    <mergeCell ref="T270:T271"/>
    <mergeCell ref="U270:U271"/>
    <mergeCell ref="V270:W271"/>
    <mergeCell ref="AA266:AE266"/>
    <mergeCell ref="X270:X271"/>
    <mergeCell ref="Y270:Y271"/>
    <mergeCell ref="Z270:Z271"/>
    <mergeCell ref="AA270:AB271"/>
    <mergeCell ref="AC270:AC271"/>
    <mergeCell ref="AD270:AD271"/>
    <mergeCell ref="AE270:AE271"/>
    <mergeCell ref="AF270:AG271"/>
    <mergeCell ref="AH270:AH271"/>
    <mergeCell ref="AI270:AI271"/>
    <mergeCell ref="AJ270:AO270"/>
    <mergeCell ref="AP270:AT270"/>
    <mergeCell ref="AJ271:AO271"/>
    <mergeCell ref="AP271:AT271"/>
    <mergeCell ref="B272:B273"/>
    <mergeCell ref="C272:D273"/>
    <mergeCell ref="E272:E273"/>
    <mergeCell ref="F272:F273"/>
    <mergeCell ref="G272:G273"/>
    <mergeCell ref="H272:I273"/>
    <mergeCell ref="J272:J273"/>
    <mergeCell ref="K272:K273"/>
    <mergeCell ref="L272:M273"/>
    <mergeCell ref="N272:N273"/>
    <mergeCell ref="O272:O273"/>
    <mergeCell ref="P272:P273"/>
    <mergeCell ref="Q272:R273"/>
    <mergeCell ref="S272:S273"/>
    <mergeCell ref="T272:T273"/>
    <mergeCell ref="U272:U273"/>
    <mergeCell ref="V272:W273"/>
    <mergeCell ref="B270:B271"/>
    <mergeCell ref="X272:X273"/>
    <mergeCell ref="Y272:Y273"/>
    <mergeCell ref="Z272:Z273"/>
    <mergeCell ref="AA272:AB273"/>
    <mergeCell ref="AC272:AC273"/>
    <mergeCell ref="AD272:AD273"/>
    <mergeCell ref="AE272:AE273"/>
    <mergeCell ref="AF272:AG273"/>
    <mergeCell ref="AH272:AH273"/>
    <mergeCell ref="AI272:AI273"/>
    <mergeCell ref="AJ272:AO272"/>
    <mergeCell ref="AP272:AT273"/>
    <mergeCell ref="AJ273:AO273"/>
    <mergeCell ref="B274:B275"/>
    <mergeCell ref="C274:D275"/>
    <mergeCell ref="E274:E275"/>
    <mergeCell ref="F274:F275"/>
    <mergeCell ref="G274:G275"/>
    <mergeCell ref="H274:I275"/>
    <mergeCell ref="J274:J275"/>
    <mergeCell ref="K274:K275"/>
    <mergeCell ref="L274:M275"/>
    <mergeCell ref="N274:N275"/>
    <mergeCell ref="O274:O275"/>
    <mergeCell ref="P274:P275"/>
    <mergeCell ref="Q274:R275"/>
    <mergeCell ref="S274:S275"/>
    <mergeCell ref="T274:T275"/>
    <mergeCell ref="U274:U275"/>
    <mergeCell ref="V274:W275"/>
    <mergeCell ref="X274:X275"/>
    <mergeCell ref="Y274:Y275"/>
    <mergeCell ref="Z274:Z275"/>
    <mergeCell ref="AA274:AB275"/>
    <mergeCell ref="AC274:AC275"/>
    <mergeCell ref="AD274:AD275"/>
    <mergeCell ref="AE274:AE275"/>
    <mergeCell ref="AF274:AG275"/>
    <mergeCell ref="AH274:AH275"/>
    <mergeCell ref="AI274:AI275"/>
    <mergeCell ref="AJ274:AO274"/>
    <mergeCell ref="AP274:AT275"/>
    <mergeCell ref="AJ275:AO275"/>
    <mergeCell ref="B276:B277"/>
    <mergeCell ref="C276:D277"/>
    <mergeCell ref="E276:E277"/>
    <mergeCell ref="F276:F277"/>
    <mergeCell ref="G276:G277"/>
    <mergeCell ref="H276:I277"/>
    <mergeCell ref="J276:J277"/>
    <mergeCell ref="K276:K277"/>
    <mergeCell ref="L276:M277"/>
    <mergeCell ref="N276:N277"/>
    <mergeCell ref="O276:O277"/>
    <mergeCell ref="P276:P277"/>
    <mergeCell ref="Q276:R277"/>
    <mergeCell ref="S276:S277"/>
    <mergeCell ref="T276:T277"/>
    <mergeCell ref="U276:U277"/>
    <mergeCell ref="V276:W277"/>
    <mergeCell ref="X276:X277"/>
    <mergeCell ref="Y276:Y277"/>
    <mergeCell ref="Z276:Z277"/>
    <mergeCell ref="AA276:AB277"/>
    <mergeCell ref="AC276:AC277"/>
    <mergeCell ref="AD276:AD277"/>
    <mergeCell ref="AE276:AE277"/>
    <mergeCell ref="AF276:AG277"/>
    <mergeCell ref="AH276:AH277"/>
    <mergeCell ref="AI276:AI277"/>
    <mergeCell ref="AJ276:AO276"/>
    <mergeCell ref="AP276:AT277"/>
    <mergeCell ref="AJ277:AO277"/>
    <mergeCell ref="B278:B279"/>
    <mergeCell ref="C278:D279"/>
    <mergeCell ref="E278:E279"/>
    <mergeCell ref="F278:F279"/>
    <mergeCell ref="G278:G279"/>
    <mergeCell ref="H278:I279"/>
    <mergeCell ref="J278:J279"/>
    <mergeCell ref="K278:K279"/>
    <mergeCell ref="L278:M279"/>
    <mergeCell ref="N278:N279"/>
    <mergeCell ref="O278:O279"/>
    <mergeCell ref="P278:P279"/>
    <mergeCell ref="Q278:R279"/>
    <mergeCell ref="S278:S279"/>
    <mergeCell ref="T278:T279"/>
    <mergeCell ref="U278:U279"/>
    <mergeCell ref="V278:W279"/>
    <mergeCell ref="X278:X279"/>
    <mergeCell ref="Y278:Y279"/>
    <mergeCell ref="Z278:Z279"/>
    <mergeCell ref="AA278:AB279"/>
    <mergeCell ref="AC278:AC279"/>
    <mergeCell ref="AD278:AD279"/>
    <mergeCell ref="AE278:AE279"/>
    <mergeCell ref="AF278:AG279"/>
    <mergeCell ref="AH278:AH279"/>
    <mergeCell ref="AI278:AI279"/>
    <mergeCell ref="AJ278:AO278"/>
    <mergeCell ref="AP278:AT279"/>
    <mergeCell ref="AJ279:AO279"/>
    <mergeCell ref="B280:B281"/>
    <mergeCell ref="C280:D281"/>
    <mergeCell ref="E280:E281"/>
    <mergeCell ref="F280:F281"/>
    <mergeCell ref="G280:G281"/>
    <mergeCell ref="H280:I281"/>
    <mergeCell ref="J280:J281"/>
    <mergeCell ref="K280:K281"/>
    <mergeCell ref="L280:M281"/>
    <mergeCell ref="N280:N281"/>
    <mergeCell ref="O280:O281"/>
    <mergeCell ref="P280:P281"/>
    <mergeCell ref="Q280:R281"/>
    <mergeCell ref="S280:S281"/>
    <mergeCell ref="T280:T281"/>
    <mergeCell ref="U280:U281"/>
    <mergeCell ref="V280:W281"/>
    <mergeCell ref="X280:X281"/>
    <mergeCell ref="Y280:Y281"/>
    <mergeCell ref="Z280:Z281"/>
    <mergeCell ref="AA280:AB281"/>
    <mergeCell ref="AC280:AC281"/>
    <mergeCell ref="AD280:AD281"/>
    <mergeCell ref="AE280:AE281"/>
    <mergeCell ref="AF280:AG281"/>
    <mergeCell ref="AH280:AH281"/>
    <mergeCell ref="AI280:AI281"/>
    <mergeCell ref="AJ280:AO280"/>
    <mergeCell ref="AP280:AT281"/>
    <mergeCell ref="AJ281:AO281"/>
    <mergeCell ref="B282:B283"/>
    <mergeCell ref="C282:D283"/>
    <mergeCell ref="E282:E283"/>
    <mergeCell ref="F282:F283"/>
    <mergeCell ref="G282:G283"/>
    <mergeCell ref="H282:I283"/>
    <mergeCell ref="J282:J283"/>
    <mergeCell ref="K282:K283"/>
    <mergeCell ref="L282:M283"/>
    <mergeCell ref="N282:N283"/>
    <mergeCell ref="O282:O283"/>
    <mergeCell ref="P282:P283"/>
    <mergeCell ref="Q282:R283"/>
    <mergeCell ref="S282:S283"/>
    <mergeCell ref="T282:T283"/>
    <mergeCell ref="U282:U283"/>
    <mergeCell ref="V282:W283"/>
    <mergeCell ref="X282:X283"/>
    <mergeCell ref="Y282:Y283"/>
    <mergeCell ref="Z282:Z283"/>
    <mergeCell ref="AA282:AB283"/>
    <mergeCell ref="AC282:AC283"/>
    <mergeCell ref="AD282:AD283"/>
    <mergeCell ref="AE282:AE283"/>
    <mergeCell ref="AF282:AG283"/>
    <mergeCell ref="AH282:AH283"/>
    <mergeCell ref="AI282:AI283"/>
    <mergeCell ref="AJ282:AO282"/>
    <mergeCell ref="AP282:AT283"/>
    <mergeCell ref="AJ283:AO283"/>
    <mergeCell ref="B284:B285"/>
    <mergeCell ref="C284:D285"/>
    <mergeCell ref="E284:E285"/>
    <mergeCell ref="F284:F285"/>
    <mergeCell ref="G284:G285"/>
    <mergeCell ref="H284:I285"/>
    <mergeCell ref="J284:J285"/>
    <mergeCell ref="K284:K285"/>
    <mergeCell ref="L284:M285"/>
    <mergeCell ref="N284:N285"/>
    <mergeCell ref="O284:O285"/>
    <mergeCell ref="P284:P285"/>
    <mergeCell ref="Q284:R285"/>
    <mergeCell ref="S284:S285"/>
    <mergeCell ref="T284:T285"/>
    <mergeCell ref="U284:U285"/>
    <mergeCell ref="V284:W285"/>
    <mergeCell ref="X284:X285"/>
    <mergeCell ref="Y284:Y285"/>
    <mergeCell ref="Z284:Z285"/>
    <mergeCell ref="AA284:AB285"/>
    <mergeCell ref="AC284:AC285"/>
    <mergeCell ref="AD284:AD285"/>
    <mergeCell ref="AE284:AE285"/>
    <mergeCell ref="AF284:AG285"/>
    <mergeCell ref="AH284:AH285"/>
    <mergeCell ref="AI284:AI285"/>
    <mergeCell ref="AJ284:AO284"/>
    <mergeCell ref="AP284:AT285"/>
    <mergeCell ref="AJ285:AO285"/>
    <mergeCell ref="B286:B287"/>
    <mergeCell ref="C286:D287"/>
    <mergeCell ref="E286:E287"/>
    <mergeCell ref="F286:F287"/>
    <mergeCell ref="G286:G287"/>
    <mergeCell ref="H286:I287"/>
    <mergeCell ref="J286:J287"/>
    <mergeCell ref="K286:K287"/>
    <mergeCell ref="L286:M287"/>
    <mergeCell ref="N286:N287"/>
    <mergeCell ref="O286:O287"/>
    <mergeCell ref="P286:P287"/>
    <mergeCell ref="Q286:R287"/>
    <mergeCell ref="S286:S287"/>
    <mergeCell ref="T286:T287"/>
    <mergeCell ref="U286:U287"/>
    <mergeCell ref="V286:W287"/>
    <mergeCell ref="X286:X287"/>
    <mergeCell ref="Y286:Y287"/>
    <mergeCell ref="Z286:Z287"/>
    <mergeCell ref="AA286:AB287"/>
    <mergeCell ref="AC286:AC287"/>
    <mergeCell ref="AD286:AD287"/>
    <mergeCell ref="AE286:AE287"/>
    <mergeCell ref="AF286:AG287"/>
    <mergeCell ref="AH286:AH287"/>
    <mergeCell ref="AI286:AI287"/>
    <mergeCell ref="AJ286:AO286"/>
    <mergeCell ref="AP286:AT287"/>
    <mergeCell ref="AJ287:AO287"/>
    <mergeCell ref="B288:B289"/>
    <mergeCell ref="C288:D289"/>
    <mergeCell ref="E288:E289"/>
    <mergeCell ref="F288:F289"/>
    <mergeCell ref="G288:G289"/>
    <mergeCell ref="H288:I289"/>
    <mergeCell ref="J288:J289"/>
    <mergeCell ref="K288:K289"/>
    <mergeCell ref="L288:M289"/>
    <mergeCell ref="N288:N289"/>
    <mergeCell ref="O288:O289"/>
    <mergeCell ref="P288:P289"/>
    <mergeCell ref="Q288:R289"/>
    <mergeCell ref="S288:S289"/>
    <mergeCell ref="T288:T289"/>
    <mergeCell ref="U288:U289"/>
    <mergeCell ref="V288:W289"/>
    <mergeCell ref="X288:X289"/>
    <mergeCell ref="Y288:Y289"/>
    <mergeCell ref="Z288:Z289"/>
    <mergeCell ref="AA288:AB289"/>
    <mergeCell ref="AC288:AC289"/>
    <mergeCell ref="AD288:AD289"/>
    <mergeCell ref="AE288:AE289"/>
    <mergeCell ref="AF288:AG289"/>
    <mergeCell ref="AH288:AH289"/>
    <mergeCell ref="AI288:AI289"/>
    <mergeCell ref="AJ288:AO288"/>
    <mergeCell ref="AP288:AT289"/>
    <mergeCell ref="AJ289:AO289"/>
    <mergeCell ref="B290:B291"/>
    <mergeCell ref="C290:D291"/>
    <mergeCell ref="E290:E291"/>
    <mergeCell ref="F290:F291"/>
    <mergeCell ref="G290:G291"/>
    <mergeCell ref="H290:I291"/>
    <mergeCell ref="J290:J291"/>
    <mergeCell ref="K290:K291"/>
    <mergeCell ref="L290:M291"/>
    <mergeCell ref="N290:N291"/>
    <mergeCell ref="O290:O291"/>
    <mergeCell ref="P290:P291"/>
    <mergeCell ref="Q290:R291"/>
    <mergeCell ref="S290:S291"/>
    <mergeCell ref="T290:T291"/>
    <mergeCell ref="U290:U291"/>
    <mergeCell ref="V290:W291"/>
    <mergeCell ref="X290:X291"/>
    <mergeCell ref="Y290:Y291"/>
    <mergeCell ref="Z290:Z291"/>
    <mergeCell ref="AA290:AB291"/>
    <mergeCell ref="AC290:AC291"/>
    <mergeCell ref="AD290:AD291"/>
    <mergeCell ref="AE290:AE291"/>
    <mergeCell ref="AF290:AG291"/>
    <mergeCell ref="AH290:AH291"/>
    <mergeCell ref="AI290:AI291"/>
    <mergeCell ref="AJ290:AO290"/>
    <mergeCell ref="AP290:AT291"/>
    <mergeCell ref="AJ291:AO291"/>
    <mergeCell ref="B292:B293"/>
    <mergeCell ref="C292:D293"/>
    <mergeCell ref="E292:E293"/>
    <mergeCell ref="F292:F293"/>
    <mergeCell ref="G292:G293"/>
    <mergeCell ref="H292:I293"/>
    <mergeCell ref="J292:J293"/>
    <mergeCell ref="K292:K293"/>
    <mergeCell ref="L292:M293"/>
    <mergeCell ref="N292:N293"/>
    <mergeCell ref="O292:O293"/>
    <mergeCell ref="P292:P293"/>
    <mergeCell ref="Q292:R293"/>
    <mergeCell ref="S292:S293"/>
    <mergeCell ref="T292:T293"/>
    <mergeCell ref="U292:U293"/>
    <mergeCell ref="V292:W293"/>
    <mergeCell ref="X292:X293"/>
    <mergeCell ref="Y292:Y293"/>
    <mergeCell ref="Z292:Z293"/>
    <mergeCell ref="AA292:AB293"/>
    <mergeCell ref="AC292:AC293"/>
    <mergeCell ref="AD292:AD293"/>
    <mergeCell ref="AE292:AE293"/>
    <mergeCell ref="AF292:AG293"/>
    <mergeCell ref="AH292:AH293"/>
    <mergeCell ref="AI292:AI293"/>
    <mergeCell ref="AJ292:AO292"/>
    <mergeCell ref="AP292:AT293"/>
    <mergeCell ref="AJ293:AO293"/>
    <mergeCell ref="B294:B295"/>
    <mergeCell ref="C294:D295"/>
    <mergeCell ref="E294:E295"/>
    <mergeCell ref="F294:F295"/>
    <mergeCell ref="G294:G295"/>
    <mergeCell ref="H294:I295"/>
    <mergeCell ref="J294:J295"/>
    <mergeCell ref="K294:K295"/>
    <mergeCell ref="L294:M295"/>
    <mergeCell ref="N294:N295"/>
    <mergeCell ref="O294:O295"/>
    <mergeCell ref="P294:P295"/>
    <mergeCell ref="Q294:R295"/>
    <mergeCell ref="S294:S295"/>
    <mergeCell ref="T294:T295"/>
    <mergeCell ref="U294:U295"/>
    <mergeCell ref="V294:W295"/>
    <mergeCell ref="X294:X295"/>
    <mergeCell ref="Y294:Y295"/>
    <mergeCell ref="Z294:Z295"/>
    <mergeCell ref="AA294:AB295"/>
    <mergeCell ref="AC294:AC295"/>
    <mergeCell ref="AD294:AD295"/>
    <mergeCell ref="AE294:AE295"/>
    <mergeCell ref="AF294:AG295"/>
    <mergeCell ref="AH294:AH295"/>
    <mergeCell ref="AI294:AI295"/>
    <mergeCell ref="AJ294:AO294"/>
    <mergeCell ref="AP294:AT295"/>
    <mergeCell ref="AJ295:AO295"/>
    <mergeCell ref="B296:B297"/>
    <mergeCell ref="C296:D297"/>
    <mergeCell ref="E296:E297"/>
    <mergeCell ref="F296:F297"/>
    <mergeCell ref="G296:G297"/>
    <mergeCell ref="H296:I297"/>
    <mergeCell ref="J296:J297"/>
    <mergeCell ref="K296:K297"/>
    <mergeCell ref="L296:M297"/>
    <mergeCell ref="N296:N297"/>
    <mergeCell ref="O296:O297"/>
    <mergeCell ref="P296:P297"/>
    <mergeCell ref="Q296:R297"/>
    <mergeCell ref="S296:S297"/>
    <mergeCell ref="T296:T297"/>
    <mergeCell ref="U296:U297"/>
    <mergeCell ref="V296:W297"/>
    <mergeCell ref="X296:X297"/>
    <mergeCell ref="Y296:Y297"/>
    <mergeCell ref="Z296:Z297"/>
    <mergeCell ref="AA296:AB297"/>
    <mergeCell ref="AC296:AC297"/>
    <mergeCell ref="AD296:AD297"/>
    <mergeCell ref="AE296:AE297"/>
    <mergeCell ref="AF296:AG297"/>
    <mergeCell ref="AH296:AH297"/>
    <mergeCell ref="AI296:AI297"/>
    <mergeCell ref="AJ296:AO296"/>
    <mergeCell ref="AJ297:AO297"/>
    <mergeCell ref="B298:B299"/>
    <mergeCell ref="C298:D299"/>
    <mergeCell ref="E298:E299"/>
    <mergeCell ref="F298:F299"/>
    <mergeCell ref="G298:G299"/>
    <mergeCell ref="H298:I299"/>
    <mergeCell ref="J298:J299"/>
    <mergeCell ref="K298:K299"/>
    <mergeCell ref="L298:M299"/>
    <mergeCell ref="N298:N299"/>
    <mergeCell ref="O298:O299"/>
    <mergeCell ref="P298:P299"/>
    <mergeCell ref="Q298:R299"/>
    <mergeCell ref="S298:S299"/>
    <mergeCell ref="T298:T299"/>
    <mergeCell ref="U298:U299"/>
    <mergeCell ref="V298:W299"/>
    <mergeCell ref="X298:X299"/>
    <mergeCell ref="Y298:Y299"/>
    <mergeCell ref="Z298:Z299"/>
    <mergeCell ref="AA298:AB299"/>
    <mergeCell ref="AC298:AC299"/>
    <mergeCell ref="AD298:AD299"/>
    <mergeCell ref="AE298:AE299"/>
    <mergeCell ref="AF298:AG299"/>
    <mergeCell ref="AH298:AH299"/>
    <mergeCell ref="AI298:AI299"/>
    <mergeCell ref="AJ298:AO298"/>
    <mergeCell ref="AJ299:AO299"/>
    <mergeCell ref="Y300:Y301"/>
    <mergeCell ref="Z300:Z301"/>
    <mergeCell ref="AA300:AB301"/>
    <mergeCell ref="AC300:AC301"/>
    <mergeCell ref="AD300:AD301"/>
    <mergeCell ref="AE300:AE301"/>
    <mergeCell ref="AF300:AG301"/>
    <mergeCell ref="AH300:AH301"/>
    <mergeCell ref="AI300:AI301"/>
    <mergeCell ref="AJ300:AO300"/>
    <mergeCell ref="X300:X301"/>
    <mergeCell ref="AP300:AT301"/>
    <mergeCell ref="AJ301:AO301"/>
    <mergeCell ref="AQ303:AR303"/>
    <mergeCell ref="AS303:AT303"/>
    <mergeCell ref="B300:B301"/>
    <mergeCell ref="C300:D301"/>
    <mergeCell ref="E300:E301"/>
    <mergeCell ref="F300:F301"/>
    <mergeCell ref="G300:G301"/>
    <mergeCell ref="H300:I301"/>
    <mergeCell ref="J300:J301"/>
    <mergeCell ref="K300:K301"/>
    <mergeCell ref="L300:M301"/>
    <mergeCell ref="N300:N301"/>
    <mergeCell ref="O300:O301"/>
    <mergeCell ref="P300:P301"/>
    <mergeCell ref="Q300:R301"/>
    <mergeCell ref="S300:S301"/>
    <mergeCell ref="T300:T301"/>
    <mergeCell ref="U300:U301"/>
    <mergeCell ref="V300:W301"/>
    <mergeCell ref="B305:C306"/>
    <mergeCell ref="D305:Z306"/>
    <mergeCell ref="B307:C307"/>
    <mergeCell ref="D307:E307"/>
    <mergeCell ref="G307:H307"/>
    <mergeCell ref="J307:K307"/>
    <mergeCell ref="P307:Q307"/>
    <mergeCell ref="R307:S307"/>
    <mergeCell ref="U307:V307"/>
    <mergeCell ref="B309:B312"/>
    <mergeCell ref="C309:D312"/>
    <mergeCell ref="E309:E312"/>
    <mergeCell ref="F309:G310"/>
    <mergeCell ref="H309:K309"/>
    <mergeCell ref="L309:P309"/>
    <mergeCell ref="Q309:U309"/>
    <mergeCell ref="V309:Z309"/>
    <mergeCell ref="AF309:AI309"/>
    <mergeCell ref="AJ309:AO309"/>
    <mergeCell ref="AP309:AT309"/>
    <mergeCell ref="H310:K310"/>
    <mergeCell ref="L310:P310"/>
    <mergeCell ref="Q310:U310"/>
    <mergeCell ref="V310:Z310"/>
    <mergeCell ref="AA310:AE310"/>
    <mergeCell ref="AF310:AI310"/>
    <mergeCell ref="AJ310:AO312"/>
    <mergeCell ref="AP310:AT312"/>
    <mergeCell ref="F311:F312"/>
    <mergeCell ref="G311:G312"/>
    <mergeCell ref="H311:I312"/>
    <mergeCell ref="J311:K311"/>
    <mergeCell ref="L311:M312"/>
    <mergeCell ref="N311:P311"/>
    <mergeCell ref="Q311:R312"/>
    <mergeCell ref="S311:U311"/>
    <mergeCell ref="V311:W312"/>
    <mergeCell ref="X311:Z311"/>
    <mergeCell ref="AA311:AB312"/>
    <mergeCell ref="AC311:AE311"/>
    <mergeCell ref="AF311:AG312"/>
    <mergeCell ref="AH311:AI311"/>
    <mergeCell ref="C313:D314"/>
    <mergeCell ref="E313:E314"/>
    <mergeCell ref="F313:F314"/>
    <mergeCell ref="G313:G314"/>
    <mergeCell ref="H313:I314"/>
    <mergeCell ref="J313:J314"/>
    <mergeCell ref="K313:K314"/>
    <mergeCell ref="L313:M314"/>
    <mergeCell ref="N313:N314"/>
    <mergeCell ref="O313:O314"/>
    <mergeCell ref="P313:P314"/>
    <mergeCell ref="Q313:R314"/>
    <mergeCell ref="S313:S314"/>
    <mergeCell ref="T313:T314"/>
    <mergeCell ref="U313:U314"/>
    <mergeCell ref="V313:W314"/>
    <mergeCell ref="AA309:AE309"/>
    <mergeCell ref="X313:X314"/>
    <mergeCell ref="Y313:Y314"/>
    <mergeCell ref="Z313:Z314"/>
    <mergeCell ref="AA313:AB314"/>
    <mergeCell ref="AC313:AC314"/>
    <mergeCell ref="AD313:AD314"/>
    <mergeCell ref="AE313:AE314"/>
    <mergeCell ref="AF313:AG314"/>
    <mergeCell ref="AH313:AH314"/>
    <mergeCell ref="AI313:AI314"/>
    <mergeCell ref="AJ313:AO313"/>
    <mergeCell ref="AP313:AT313"/>
    <mergeCell ref="AJ314:AO314"/>
    <mergeCell ref="AP314:AT314"/>
    <mergeCell ref="B315:B316"/>
    <mergeCell ref="C315:D316"/>
    <mergeCell ref="E315:E316"/>
    <mergeCell ref="F315:F316"/>
    <mergeCell ref="G315:G316"/>
    <mergeCell ref="H315:I316"/>
    <mergeCell ref="J315:J316"/>
    <mergeCell ref="K315:K316"/>
    <mergeCell ref="L315:M316"/>
    <mergeCell ref="N315:N316"/>
    <mergeCell ref="O315:O316"/>
    <mergeCell ref="P315:P316"/>
    <mergeCell ref="Q315:R316"/>
    <mergeCell ref="S315:S316"/>
    <mergeCell ref="T315:T316"/>
    <mergeCell ref="U315:U316"/>
    <mergeCell ref="V315:W316"/>
    <mergeCell ref="B313:B314"/>
    <mergeCell ref="X315:X316"/>
    <mergeCell ref="Y315:Y316"/>
    <mergeCell ref="Z315:Z316"/>
    <mergeCell ref="AA315:AB316"/>
    <mergeCell ref="AC315:AC316"/>
    <mergeCell ref="AD315:AD316"/>
    <mergeCell ref="AE315:AE316"/>
    <mergeCell ref="AF315:AG316"/>
    <mergeCell ref="AH315:AH316"/>
    <mergeCell ref="AI315:AI316"/>
    <mergeCell ref="AJ315:AO315"/>
    <mergeCell ref="AP315:AT316"/>
    <mergeCell ref="AJ316:AO316"/>
    <mergeCell ref="B317:B318"/>
    <mergeCell ref="C317:D318"/>
    <mergeCell ref="E317:E318"/>
    <mergeCell ref="F317:F318"/>
    <mergeCell ref="G317:G318"/>
    <mergeCell ref="H317:I318"/>
    <mergeCell ref="J317:J318"/>
    <mergeCell ref="K317:K318"/>
    <mergeCell ref="L317:M318"/>
    <mergeCell ref="N317:N318"/>
    <mergeCell ref="O317:O318"/>
    <mergeCell ref="P317:P318"/>
    <mergeCell ref="Q317:R318"/>
    <mergeCell ref="S317:S318"/>
    <mergeCell ref="T317:T318"/>
    <mergeCell ref="U317:U318"/>
    <mergeCell ref="V317:W318"/>
    <mergeCell ref="X317:X318"/>
    <mergeCell ref="Y317:Y318"/>
    <mergeCell ref="Z317:Z318"/>
    <mergeCell ref="AA317:AB318"/>
    <mergeCell ref="AC317:AC318"/>
    <mergeCell ref="AD317:AD318"/>
    <mergeCell ref="AE317:AE318"/>
    <mergeCell ref="AF317:AG318"/>
    <mergeCell ref="AH317:AH318"/>
    <mergeCell ref="AI317:AI318"/>
    <mergeCell ref="AJ317:AO317"/>
    <mergeCell ref="AP317:AT318"/>
    <mergeCell ref="AJ318:AO318"/>
    <mergeCell ref="B319:B320"/>
    <mergeCell ref="C319:D320"/>
    <mergeCell ref="E319:E320"/>
    <mergeCell ref="F319:F320"/>
    <mergeCell ref="G319:G320"/>
    <mergeCell ref="H319:I320"/>
    <mergeCell ref="J319:J320"/>
    <mergeCell ref="K319:K320"/>
    <mergeCell ref="L319:M320"/>
    <mergeCell ref="N319:N320"/>
    <mergeCell ref="O319:O320"/>
    <mergeCell ref="P319:P320"/>
    <mergeCell ref="Q319:R320"/>
    <mergeCell ref="S319:S320"/>
    <mergeCell ref="T319:T320"/>
    <mergeCell ref="U319:U320"/>
    <mergeCell ref="V319:W320"/>
    <mergeCell ref="X319:X320"/>
    <mergeCell ref="Y319:Y320"/>
    <mergeCell ref="Z319:Z320"/>
    <mergeCell ref="AA319:AB320"/>
    <mergeCell ref="AC319:AC320"/>
    <mergeCell ref="AD319:AD320"/>
    <mergeCell ref="AE319:AE320"/>
    <mergeCell ref="AF319:AG320"/>
    <mergeCell ref="AH319:AH320"/>
    <mergeCell ref="AI319:AI320"/>
    <mergeCell ref="AJ319:AO319"/>
    <mergeCell ref="AP319:AT320"/>
    <mergeCell ref="AJ320:AO320"/>
    <mergeCell ref="B321:B322"/>
    <mergeCell ref="C321:D322"/>
    <mergeCell ref="E321:E322"/>
    <mergeCell ref="F321:F322"/>
    <mergeCell ref="G321:G322"/>
    <mergeCell ref="H321:I322"/>
    <mergeCell ref="J321:J322"/>
    <mergeCell ref="K321:K322"/>
    <mergeCell ref="L321:M322"/>
    <mergeCell ref="N321:N322"/>
    <mergeCell ref="O321:O322"/>
    <mergeCell ref="P321:P322"/>
    <mergeCell ref="Q321:R322"/>
    <mergeCell ref="S321:S322"/>
    <mergeCell ref="T321:T322"/>
    <mergeCell ref="U321:U322"/>
    <mergeCell ref="V321:W322"/>
    <mergeCell ref="X321:X322"/>
    <mergeCell ref="Y321:Y322"/>
    <mergeCell ref="Z321:Z322"/>
    <mergeCell ref="AA321:AB322"/>
    <mergeCell ref="AC321:AC322"/>
    <mergeCell ref="AD321:AD322"/>
    <mergeCell ref="AE321:AE322"/>
    <mergeCell ref="AF321:AG322"/>
    <mergeCell ref="AH321:AH322"/>
    <mergeCell ref="AI321:AI322"/>
    <mergeCell ref="AJ321:AO321"/>
    <mergeCell ref="AP321:AT322"/>
    <mergeCell ref="AJ322:AO322"/>
    <mergeCell ref="B323:B324"/>
    <mergeCell ref="C323:D324"/>
    <mergeCell ref="E323:E324"/>
    <mergeCell ref="F323:F324"/>
    <mergeCell ref="G323:G324"/>
    <mergeCell ref="H323:I324"/>
    <mergeCell ref="J323:J324"/>
    <mergeCell ref="K323:K324"/>
    <mergeCell ref="L323:M324"/>
    <mergeCell ref="N323:N324"/>
    <mergeCell ref="O323:O324"/>
    <mergeCell ref="P323:P324"/>
    <mergeCell ref="Q323:R324"/>
    <mergeCell ref="S323:S324"/>
    <mergeCell ref="T323:T324"/>
    <mergeCell ref="U323:U324"/>
    <mergeCell ref="V323:W324"/>
    <mergeCell ref="X323:X324"/>
    <mergeCell ref="Y323:Y324"/>
    <mergeCell ref="Z323:Z324"/>
    <mergeCell ref="AA323:AB324"/>
    <mergeCell ref="AC323:AC324"/>
    <mergeCell ref="AD323:AD324"/>
    <mergeCell ref="AE323:AE324"/>
    <mergeCell ref="AF323:AG324"/>
    <mergeCell ref="AH323:AH324"/>
    <mergeCell ref="AI323:AI324"/>
    <mergeCell ref="AJ323:AO323"/>
    <mergeCell ref="AP323:AT324"/>
    <mergeCell ref="AJ324:AO324"/>
    <mergeCell ref="B325:B326"/>
    <mergeCell ref="C325:D326"/>
    <mergeCell ref="E325:E326"/>
    <mergeCell ref="F325:F326"/>
    <mergeCell ref="G325:G326"/>
    <mergeCell ref="H325:I326"/>
    <mergeCell ref="J325:J326"/>
    <mergeCell ref="K325:K326"/>
    <mergeCell ref="L325:M326"/>
    <mergeCell ref="N325:N326"/>
    <mergeCell ref="O325:O326"/>
    <mergeCell ref="P325:P326"/>
    <mergeCell ref="Q325:R326"/>
    <mergeCell ref="S325:S326"/>
    <mergeCell ref="T325:T326"/>
    <mergeCell ref="U325:U326"/>
    <mergeCell ref="V325:W326"/>
    <mergeCell ref="X325:X326"/>
    <mergeCell ref="Y325:Y326"/>
    <mergeCell ref="Z325:Z326"/>
    <mergeCell ref="AA325:AB326"/>
    <mergeCell ref="AC325:AC326"/>
    <mergeCell ref="AD325:AD326"/>
    <mergeCell ref="AE325:AE326"/>
    <mergeCell ref="AF325:AG326"/>
    <mergeCell ref="AH325:AH326"/>
    <mergeCell ref="AI325:AI326"/>
    <mergeCell ref="AJ325:AO325"/>
    <mergeCell ref="AP325:AT326"/>
    <mergeCell ref="AJ326:AO326"/>
    <mergeCell ref="B327:B328"/>
    <mergeCell ref="C327:D328"/>
    <mergeCell ref="E327:E328"/>
    <mergeCell ref="F327:F328"/>
    <mergeCell ref="G327:G328"/>
    <mergeCell ref="H327:I328"/>
    <mergeCell ref="J327:J328"/>
    <mergeCell ref="K327:K328"/>
    <mergeCell ref="L327:M328"/>
    <mergeCell ref="N327:N328"/>
    <mergeCell ref="O327:O328"/>
    <mergeCell ref="P327:P328"/>
    <mergeCell ref="Q327:R328"/>
    <mergeCell ref="S327:S328"/>
    <mergeCell ref="T327:T328"/>
    <mergeCell ref="U327:U328"/>
    <mergeCell ref="V327:W328"/>
    <mergeCell ref="X327:X328"/>
    <mergeCell ref="Y327:Y328"/>
    <mergeCell ref="Z327:Z328"/>
    <mergeCell ref="AA327:AB328"/>
    <mergeCell ref="AC327:AC328"/>
    <mergeCell ref="AD327:AD328"/>
    <mergeCell ref="AE327:AE328"/>
    <mergeCell ref="AF327:AG328"/>
    <mergeCell ref="AH327:AH328"/>
    <mergeCell ref="AI327:AI328"/>
    <mergeCell ref="AJ327:AO327"/>
    <mergeCell ref="AP327:AT328"/>
    <mergeCell ref="AJ328:AO328"/>
    <mergeCell ref="B329:B330"/>
    <mergeCell ref="C329:D330"/>
    <mergeCell ref="E329:E330"/>
    <mergeCell ref="F329:F330"/>
    <mergeCell ref="G329:G330"/>
    <mergeCell ref="H329:I330"/>
    <mergeCell ref="J329:J330"/>
    <mergeCell ref="K329:K330"/>
    <mergeCell ref="L329:M330"/>
    <mergeCell ref="N329:N330"/>
    <mergeCell ref="O329:O330"/>
    <mergeCell ref="P329:P330"/>
    <mergeCell ref="Q329:R330"/>
    <mergeCell ref="S329:S330"/>
    <mergeCell ref="T329:T330"/>
    <mergeCell ref="U329:U330"/>
    <mergeCell ref="V329:W330"/>
    <mergeCell ref="X329:X330"/>
    <mergeCell ref="Y329:Y330"/>
    <mergeCell ref="Z329:Z330"/>
    <mergeCell ref="AA329:AB330"/>
    <mergeCell ref="AC329:AC330"/>
    <mergeCell ref="AD329:AD330"/>
    <mergeCell ref="AE329:AE330"/>
    <mergeCell ref="AF329:AG330"/>
    <mergeCell ref="AH329:AH330"/>
    <mergeCell ref="AI329:AI330"/>
    <mergeCell ref="AJ329:AO329"/>
    <mergeCell ref="AP329:AT330"/>
    <mergeCell ref="AJ330:AO330"/>
    <mergeCell ref="B331:B332"/>
    <mergeCell ref="C331:D332"/>
    <mergeCell ref="E331:E332"/>
    <mergeCell ref="F331:F332"/>
    <mergeCell ref="G331:G332"/>
    <mergeCell ref="H331:I332"/>
    <mergeCell ref="J331:J332"/>
    <mergeCell ref="K331:K332"/>
    <mergeCell ref="L331:M332"/>
    <mergeCell ref="N331:N332"/>
    <mergeCell ref="O331:O332"/>
    <mergeCell ref="P331:P332"/>
    <mergeCell ref="Q331:R332"/>
    <mergeCell ref="S331:S332"/>
    <mergeCell ref="T331:T332"/>
    <mergeCell ref="U331:U332"/>
    <mergeCell ref="V331:W332"/>
    <mergeCell ref="X331:X332"/>
    <mergeCell ref="Y331:Y332"/>
    <mergeCell ref="Z331:Z332"/>
    <mergeCell ref="AA331:AB332"/>
    <mergeCell ref="AC331:AC332"/>
    <mergeCell ref="AD331:AD332"/>
    <mergeCell ref="AE331:AE332"/>
    <mergeCell ref="AF331:AG332"/>
    <mergeCell ref="AH331:AH332"/>
    <mergeCell ref="AI331:AI332"/>
    <mergeCell ref="AJ331:AO331"/>
    <mergeCell ref="AP331:AT332"/>
    <mergeCell ref="AJ332:AO332"/>
    <mergeCell ref="B333:B334"/>
    <mergeCell ref="C333:D334"/>
    <mergeCell ref="E333:E334"/>
    <mergeCell ref="F333:F334"/>
    <mergeCell ref="G333:G334"/>
    <mergeCell ref="H333:I334"/>
    <mergeCell ref="J333:J334"/>
    <mergeCell ref="K333:K334"/>
    <mergeCell ref="L333:M334"/>
    <mergeCell ref="N333:N334"/>
    <mergeCell ref="O333:O334"/>
    <mergeCell ref="P333:P334"/>
    <mergeCell ref="Q333:R334"/>
    <mergeCell ref="S333:S334"/>
    <mergeCell ref="T333:T334"/>
    <mergeCell ref="U333:U334"/>
    <mergeCell ref="V333:W334"/>
    <mergeCell ref="X333:X334"/>
    <mergeCell ref="Y333:Y334"/>
    <mergeCell ref="Z333:Z334"/>
    <mergeCell ref="AA333:AB334"/>
    <mergeCell ref="AC333:AC334"/>
    <mergeCell ref="AD333:AD334"/>
    <mergeCell ref="AE333:AE334"/>
    <mergeCell ref="AF333:AG334"/>
    <mergeCell ref="AH333:AH334"/>
    <mergeCell ref="AI333:AI334"/>
    <mergeCell ref="AJ333:AO333"/>
    <mergeCell ref="AP333:AT334"/>
    <mergeCell ref="AJ334:AO334"/>
    <mergeCell ref="B335:B336"/>
    <mergeCell ref="C335:D336"/>
    <mergeCell ref="E335:E336"/>
    <mergeCell ref="F335:F336"/>
    <mergeCell ref="G335:G336"/>
    <mergeCell ref="H335:I336"/>
    <mergeCell ref="J335:J336"/>
    <mergeCell ref="K335:K336"/>
    <mergeCell ref="L335:M336"/>
    <mergeCell ref="N335:N336"/>
    <mergeCell ref="O335:O336"/>
    <mergeCell ref="P335:P336"/>
    <mergeCell ref="Q335:R336"/>
    <mergeCell ref="S335:S336"/>
    <mergeCell ref="T335:T336"/>
    <mergeCell ref="U335:U336"/>
    <mergeCell ref="V335:W336"/>
    <mergeCell ref="X335:X336"/>
    <mergeCell ref="Y335:Y336"/>
    <mergeCell ref="Z335:Z336"/>
    <mergeCell ref="AA335:AB336"/>
    <mergeCell ref="AC335:AC336"/>
    <mergeCell ref="AD335:AD336"/>
    <mergeCell ref="AE335:AE336"/>
    <mergeCell ref="AF335:AG336"/>
    <mergeCell ref="AH335:AH336"/>
    <mergeCell ref="AI335:AI336"/>
    <mergeCell ref="AJ335:AO335"/>
    <mergeCell ref="AP335:AT336"/>
    <mergeCell ref="AJ336:AO336"/>
    <mergeCell ref="B337:B338"/>
    <mergeCell ref="C337:D338"/>
    <mergeCell ref="E337:E338"/>
    <mergeCell ref="F337:F338"/>
    <mergeCell ref="G337:G338"/>
    <mergeCell ref="H337:I338"/>
    <mergeCell ref="J337:J338"/>
    <mergeCell ref="K337:K338"/>
    <mergeCell ref="L337:M338"/>
    <mergeCell ref="N337:N338"/>
    <mergeCell ref="O337:O338"/>
    <mergeCell ref="P337:P338"/>
    <mergeCell ref="Q337:R338"/>
    <mergeCell ref="S337:S338"/>
    <mergeCell ref="T337:T338"/>
    <mergeCell ref="U337:U338"/>
    <mergeCell ref="V337:W338"/>
    <mergeCell ref="X337:X338"/>
    <mergeCell ref="Y337:Y338"/>
    <mergeCell ref="Z337:Z338"/>
    <mergeCell ref="AA337:AB338"/>
    <mergeCell ref="AC337:AC338"/>
    <mergeCell ref="AD337:AD338"/>
    <mergeCell ref="AE337:AE338"/>
    <mergeCell ref="AF337:AG338"/>
    <mergeCell ref="AH337:AH338"/>
    <mergeCell ref="AI337:AI338"/>
    <mergeCell ref="AJ337:AO337"/>
    <mergeCell ref="AP337:AT338"/>
    <mergeCell ref="AJ338:AO338"/>
    <mergeCell ref="B339:B340"/>
    <mergeCell ref="C339:D340"/>
    <mergeCell ref="E339:E340"/>
    <mergeCell ref="F339:F340"/>
    <mergeCell ref="G339:G340"/>
    <mergeCell ref="H339:I340"/>
    <mergeCell ref="J339:J340"/>
    <mergeCell ref="K339:K340"/>
    <mergeCell ref="L339:M340"/>
    <mergeCell ref="N339:N340"/>
    <mergeCell ref="O339:O340"/>
    <mergeCell ref="P339:P340"/>
    <mergeCell ref="Q339:R340"/>
    <mergeCell ref="S339:S340"/>
    <mergeCell ref="T339:T340"/>
    <mergeCell ref="U339:U340"/>
    <mergeCell ref="V339:W340"/>
    <mergeCell ref="X339:X340"/>
    <mergeCell ref="Y339:Y340"/>
    <mergeCell ref="Z339:Z340"/>
    <mergeCell ref="AA339:AB340"/>
    <mergeCell ref="AC339:AC340"/>
    <mergeCell ref="AD339:AD340"/>
    <mergeCell ref="AE339:AE340"/>
    <mergeCell ref="AF339:AG340"/>
    <mergeCell ref="AH339:AH340"/>
    <mergeCell ref="AI339:AI340"/>
    <mergeCell ref="AJ339:AO339"/>
    <mergeCell ref="AJ340:AO340"/>
    <mergeCell ref="B341:B342"/>
    <mergeCell ref="C341:D342"/>
    <mergeCell ref="E341:E342"/>
    <mergeCell ref="F341:F342"/>
    <mergeCell ref="G341:G342"/>
    <mergeCell ref="H341:I342"/>
    <mergeCell ref="J341:J342"/>
    <mergeCell ref="K341:K342"/>
    <mergeCell ref="L341:M342"/>
    <mergeCell ref="N341:N342"/>
    <mergeCell ref="O341:O342"/>
    <mergeCell ref="P341:P342"/>
    <mergeCell ref="Q341:R342"/>
    <mergeCell ref="S341:S342"/>
    <mergeCell ref="T341:T342"/>
    <mergeCell ref="U341:U342"/>
    <mergeCell ref="V341:W342"/>
    <mergeCell ref="X341:X342"/>
    <mergeCell ref="Y341:Y342"/>
    <mergeCell ref="Z341:Z342"/>
    <mergeCell ref="AA341:AB342"/>
    <mergeCell ref="AC341:AC342"/>
    <mergeCell ref="AD341:AD342"/>
    <mergeCell ref="AE341:AE342"/>
    <mergeCell ref="AF341:AG342"/>
    <mergeCell ref="AH341:AH342"/>
    <mergeCell ref="AI341:AI342"/>
    <mergeCell ref="AJ341:AO341"/>
    <mergeCell ref="AJ342:AO342"/>
    <mergeCell ref="Y343:Y344"/>
    <mergeCell ref="Z343:Z344"/>
    <mergeCell ref="AA343:AB344"/>
    <mergeCell ref="AC343:AC344"/>
    <mergeCell ref="AD343:AD344"/>
    <mergeCell ref="AE343:AE344"/>
    <mergeCell ref="AF343:AG344"/>
    <mergeCell ref="AH343:AH344"/>
    <mergeCell ref="AI343:AI344"/>
    <mergeCell ref="AJ343:AO343"/>
    <mergeCell ref="X343:X344"/>
    <mergeCell ref="AP343:AT344"/>
    <mergeCell ref="AJ344:AO344"/>
    <mergeCell ref="AQ346:AR346"/>
    <mergeCell ref="AS346:AT346"/>
    <mergeCell ref="B343:B344"/>
    <mergeCell ref="C343:D344"/>
    <mergeCell ref="E343:E344"/>
    <mergeCell ref="F343:F344"/>
    <mergeCell ref="G343:G344"/>
    <mergeCell ref="H343:I344"/>
    <mergeCell ref="J343:J344"/>
    <mergeCell ref="K343:K344"/>
    <mergeCell ref="L343:M344"/>
    <mergeCell ref="N343:N344"/>
    <mergeCell ref="O343:O344"/>
    <mergeCell ref="P343:P344"/>
    <mergeCell ref="Q343:R344"/>
    <mergeCell ref="S343:S344"/>
    <mergeCell ref="T343:T344"/>
    <mergeCell ref="U343:U344"/>
    <mergeCell ref="V343:W344"/>
    <mergeCell ref="B348:C349"/>
    <mergeCell ref="D348:Z349"/>
    <mergeCell ref="B350:C350"/>
    <mergeCell ref="D350:E350"/>
    <mergeCell ref="G350:H350"/>
    <mergeCell ref="J350:K350"/>
    <mergeCell ref="P350:Q350"/>
    <mergeCell ref="R350:S350"/>
    <mergeCell ref="U350:V350"/>
    <mergeCell ref="B352:B355"/>
    <mergeCell ref="C352:D355"/>
    <mergeCell ref="E352:E355"/>
    <mergeCell ref="F352:G353"/>
    <mergeCell ref="H352:K352"/>
    <mergeCell ref="L352:P352"/>
    <mergeCell ref="Q352:U352"/>
    <mergeCell ref="V352:Z352"/>
    <mergeCell ref="AF352:AI352"/>
    <mergeCell ref="AJ352:AO352"/>
    <mergeCell ref="AP352:AT352"/>
    <mergeCell ref="H353:K353"/>
    <mergeCell ref="L353:P353"/>
    <mergeCell ref="Q353:U353"/>
    <mergeCell ref="V353:Z353"/>
    <mergeCell ref="AA353:AE353"/>
    <mergeCell ref="AF353:AI353"/>
    <mergeCell ref="AJ353:AO355"/>
    <mergeCell ref="AP353:AT355"/>
    <mergeCell ref="F354:F355"/>
    <mergeCell ref="G354:G355"/>
    <mergeCell ref="H354:I355"/>
    <mergeCell ref="J354:K354"/>
    <mergeCell ref="L354:M355"/>
    <mergeCell ref="N354:P354"/>
    <mergeCell ref="Q354:R355"/>
    <mergeCell ref="S354:U354"/>
    <mergeCell ref="V354:W355"/>
    <mergeCell ref="X354:Z354"/>
    <mergeCell ref="AA354:AB355"/>
    <mergeCell ref="AC354:AE354"/>
    <mergeCell ref="AF354:AG355"/>
    <mergeCell ref="AH354:AI354"/>
    <mergeCell ref="C356:D357"/>
    <mergeCell ref="E356:E357"/>
    <mergeCell ref="F356:F357"/>
    <mergeCell ref="G356:G357"/>
    <mergeCell ref="H356:I357"/>
    <mergeCell ref="J356:J357"/>
    <mergeCell ref="K356:K357"/>
    <mergeCell ref="L356:M357"/>
    <mergeCell ref="N356:N357"/>
    <mergeCell ref="O356:O357"/>
    <mergeCell ref="P356:P357"/>
    <mergeCell ref="Q356:R357"/>
    <mergeCell ref="S356:S357"/>
    <mergeCell ref="T356:T357"/>
    <mergeCell ref="U356:U357"/>
    <mergeCell ref="V356:W357"/>
    <mergeCell ref="AA352:AE352"/>
    <mergeCell ref="X356:X357"/>
    <mergeCell ref="Y356:Y357"/>
    <mergeCell ref="Z356:Z357"/>
    <mergeCell ref="AA356:AB357"/>
    <mergeCell ref="AC356:AC357"/>
    <mergeCell ref="AD356:AD357"/>
    <mergeCell ref="AE356:AE357"/>
    <mergeCell ref="AF356:AG357"/>
    <mergeCell ref="AH356:AH357"/>
    <mergeCell ref="AI356:AI357"/>
    <mergeCell ref="AJ356:AO356"/>
    <mergeCell ref="AP356:AT356"/>
    <mergeCell ref="AJ357:AO357"/>
    <mergeCell ref="AP357:AT357"/>
    <mergeCell ref="B358:B359"/>
    <mergeCell ref="C358:D359"/>
    <mergeCell ref="E358:E359"/>
    <mergeCell ref="F358:F359"/>
    <mergeCell ref="G358:G359"/>
    <mergeCell ref="H358:I359"/>
    <mergeCell ref="J358:J359"/>
    <mergeCell ref="K358:K359"/>
    <mergeCell ref="L358:M359"/>
    <mergeCell ref="N358:N359"/>
    <mergeCell ref="O358:O359"/>
    <mergeCell ref="P358:P359"/>
    <mergeCell ref="Q358:R359"/>
    <mergeCell ref="S358:S359"/>
    <mergeCell ref="T358:T359"/>
    <mergeCell ref="U358:U359"/>
    <mergeCell ref="V358:W359"/>
    <mergeCell ref="B356:B357"/>
    <mergeCell ref="X358:X359"/>
    <mergeCell ref="Y358:Y359"/>
    <mergeCell ref="Z358:Z359"/>
    <mergeCell ref="AA358:AB359"/>
    <mergeCell ref="AC358:AC359"/>
    <mergeCell ref="AD358:AD359"/>
    <mergeCell ref="AE358:AE359"/>
    <mergeCell ref="AF358:AG359"/>
    <mergeCell ref="AH358:AH359"/>
    <mergeCell ref="AI358:AI359"/>
    <mergeCell ref="AJ358:AO358"/>
    <mergeCell ref="AP358:AT359"/>
    <mergeCell ref="AJ359:AO359"/>
    <mergeCell ref="B360:B361"/>
    <mergeCell ref="C360:D361"/>
    <mergeCell ref="E360:E361"/>
    <mergeCell ref="F360:F361"/>
    <mergeCell ref="G360:G361"/>
    <mergeCell ref="H360:I361"/>
    <mergeCell ref="J360:J361"/>
    <mergeCell ref="K360:K361"/>
    <mergeCell ref="L360:M361"/>
    <mergeCell ref="N360:N361"/>
    <mergeCell ref="O360:O361"/>
    <mergeCell ref="P360:P361"/>
    <mergeCell ref="Q360:R361"/>
    <mergeCell ref="S360:S361"/>
    <mergeCell ref="T360:T361"/>
    <mergeCell ref="U360:U361"/>
    <mergeCell ref="V360:W361"/>
    <mergeCell ref="X360:X361"/>
    <mergeCell ref="Y360:Y361"/>
    <mergeCell ref="Z360:Z361"/>
    <mergeCell ref="AA360:AB361"/>
    <mergeCell ref="AC360:AC361"/>
    <mergeCell ref="AD360:AD361"/>
    <mergeCell ref="AE360:AE361"/>
    <mergeCell ref="AF360:AG361"/>
    <mergeCell ref="AH360:AH361"/>
    <mergeCell ref="AI360:AI361"/>
    <mergeCell ref="AJ360:AO360"/>
    <mergeCell ref="AP360:AT361"/>
    <mergeCell ref="AJ361:AO361"/>
    <mergeCell ref="B362:B363"/>
    <mergeCell ref="C362:D363"/>
    <mergeCell ref="E362:E363"/>
    <mergeCell ref="F362:F363"/>
    <mergeCell ref="G362:G363"/>
    <mergeCell ref="H362:I363"/>
    <mergeCell ref="J362:J363"/>
    <mergeCell ref="K362:K363"/>
    <mergeCell ref="L362:M363"/>
    <mergeCell ref="N362:N363"/>
    <mergeCell ref="O362:O363"/>
    <mergeCell ref="P362:P363"/>
    <mergeCell ref="Q362:R363"/>
    <mergeCell ref="S362:S363"/>
    <mergeCell ref="T362:T363"/>
    <mergeCell ref="U362:U363"/>
    <mergeCell ref="V362:W363"/>
    <mergeCell ref="X362:X363"/>
    <mergeCell ref="Y362:Y363"/>
    <mergeCell ref="Z362:Z363"/>
    <mergeCell ref="AA362:AB363"/>
    <mergeCell ref="AC362:AC363"/>
    <mergeCell ref="AD362:AD363"/>
    <mergeCell ref="AE362:AE363"/>
    <mergeCell ref="AF362:AG363"/>
    <mergeCell ref="AH362:AH363"/>
    <mergeCell ref="AI362:AI363"/>
    <mergeCell ref="AJ362:AO362"/>
    <mergeCell ref="AP362:AT363"/>
    <mergeCell ref="AJ363:AO363"/>
    <mergeCell ref="B364:B365"/>
    <mergeCell ref="C364:D365"/>
    <mergeCell ref="E364:E365"/>
    <mergeCell ref="F364:F365"/>
    <mergeCell ref="G364:G365"/>
    <mergeCell ref="H364:I365"/>
    <mergeCell ref="J364:J365"/>
    <mergeCell ref="K364:K365"/>
    <mergeCell ref="L364:M365"/>
    <mergeCell ref="N364:N365"/>
    <mergeCell ref="O364:O365"/>
    <mergeCell ref="P364:P365"/>
    <mergeCell ref="Q364:R365"/>
    <mergeCell ref="S364:S365"/>
    <mergeCell ref="T364:T365"/>
    <mergeCell ref="U364:U365"/>
    <mergeCell ref="V364:W365"/>
    <mergeCell ref="X364:X365"/>
    <mergeCell ref="Y364:Y365"/>
    <mergeCell ref="Z364:Z365"/>
    <mergeCell ref="AA364:AB365"/>
    <mergeCell ref="AC364:AC365"/>
    <mergeCell ref="AD364:AD365"/>
    <mergeCell ref="AE364:AE365"/>
    <mergeCell ref="AF364:AG365"/>
    <mergeCell ref="AH364:AH365"/>
    <mergeCell ref="AI364:AI365"/>
    <mergeCell ref="AJ364:AO364"/>
    <mergeCell ref="AP364:AT365"/>
    <mergeCell ref="AJ365:AO365"/>
    <mergeCell ref="B366:B367"/>
    <mergeCell ref="C366:D367"/>
    <mergeCell ref="E366:E367"/>
    <mergeCell ref="F366:F367"/>
    <mergeCell ref="G366:G367"/>
    <mergeCell ref="H366:I367"/>
    <mergeCell ref="J366:J367"/>
    <mergeCell ref="K366:K367"/>
    <mergeCell ref="L366:M367"/>
    <mergeCell ref="N366:N367"/>
    <mergeCell ref="O366:O367"/>
    <mergeCell ref="P366:P367"/>
    <mergeCell ref="Q366:R367"/>
    <mergeCell ref="S366:S367"/>
    <mergeCell ref="T366:T367"/>
    <mergeCell ref="U366:U367"/>
    <mergeCell ref="V366:W367"/>
    <mergeCell ref="X366:X367"/>
    <mergeCell ref="Y366:Y367"/>
    <mergeCell ref="Z366:Z367"/>
    <mergeCell ref="AA366:AB367"/>
    <mergeCell ref="AC366:AC367"/>
    <mergeCell ref="AD366:AD367"/>
    <mergeCell ref="AE366:AE367"/>
    <mergeCell ref="AF366:AG367"/>
    <mergeCell ref="AH366:AH367"/>
    <mergeCell ref="AI366:AI367"/>
    <mergeCell ref="AJ366:AO366"/>
    <mergeCell ref="AP366:AT367"/>
    <mergeCell ref="AJ367:AO367"/>
    <mergeCell ref="B368:B369"/>
    <mergeCell ref="C368:D369"/>
    <mergeCell ref="E368:E369"/>
    <mergeCell ref="F368:F369"/>
    <mergeCell ref="G368:G369"/>
    <mergeCell ref="H368:I369"/>
    <mergeCell ref="J368:J369"/>
    <mergeCell ref="K368:K369"/>
    <mergeCell ref="L368:M369"/>
    <mergeCell ref="N368:N369"/>
    <mergeCell ref="O368:O369"/>
    <mergeCell ref="P368:P369"/>
    <mergeCell ref="Q368:R369"/>
    <mergeCell ref="S368:S369"/>
    <mergeCell ref="T368:T369"/>
    <mergeCell ref="U368:U369"/>
    <mergeCell ref="V368:W369"/>
    <mergeCell ref="X368:X369"/>
    <mergeCell ref="Y368:Y369"/>
    <mergeCell ref="Z368:Z369"/>
    <mergeCell ref="AA368:AB369"/>
    <mergeCell ref="AC368:AC369"/>
    <mergeCell ref="AD368:AD369"/>
    <mergeCell ref="AE368:AE369"/>
    <mergeCell ref="AF368:AG369"/>
    <mergeCell ref="AH368:AH369"/>
    <mergeCell ref="AI368:AI369"/>
    <mergeCell ref="AJ368:AO368"/>
    <mergeCell ref="AP368:AT369"/>
    <mergeCell ref="AJ369:AO369"/>
    <mergeCell ref="B370:B371"/>
    <mergeCell ref="C370:D371"/>
    <mergeCell ref="E370:E371"/>
    <mergeCell ref="F370:F371"/>
    <mergeCell ref="G370:G371"/>
    <mergeCell ref="H370:I371"/>
    <mergeCell ref="J370:J371"/>
    <mergeCell ref="K370:K371"/>
    <mergeCell ref="L370:M371"/>
    <mergeCell ref="N370:N371"/>
    <mergeCell ref="O370:O371"/>
    <mergeCell ref="P370:P371"/>
    <mergeCell ref="Q370:R371"/>
    <mergeCell ref="S370:S371"/>
    <mergeCell ref="T370:T371"/>
    <mergeCell ref="U370:U371"/>
    <mergeCell ref="V370:W371"/>
    <mergeCell ref="X370:X371"/>
    <mergeCell ref="Y370:Y371"/>
    <mergeCell ref="Z370:Z371"/>
    <mergeCell ref="AA370:AB371"/>
    <mergeCell ref="AC370:AC371"/>
    <mergeCell ref="AD370:AD371"/>
    <mergeCell ref="AE370:AE371"/>
    <mergeCell ref="AF370:AG371"/>
    <mergeCell ref="AH370:AH371"/>
    <mergeCell ref="AI370:AI371"/>
    <mergeCell ref="AJ370:AO370"/>
    <mergeCell ref="AP370:AT371"/>
    <mergeCell ref="AJ371:AO371"/>
    <mergeCell ref="B372:B373"/>
    <mergeCell ref="C372:D373"/>
    <mergeCell ref="E372:E373"/>
    <mergeCell ref="F372:F373"/>
    <mergeCell ref="G372:G373"/>
    <mergeCell ref="H372:I373"/>
    <mergeCell ref="J372:J373"/>
    <mergeCell ref="K372:K373"/>
    <mergeCell ref="L372:M373"/>
    <mergeCell ref="N372:N373"/>
    <mergeCell ref="O372:O373"/>
    <mergeCell ref="P372:P373"/>
    <mergeCell ref="Q372:R373"/>
    <mergeCell ref="S372:S373"/>
    <mergeCell ref="T372:T373"/>
    <mergeCell ref="U372:U373"/>
    <mergeCell ref="V372:W373"/>
    <mergeCell ref="X372:X373"/>
    <mergeCell ref="Y372:Y373"/>
    <mergeCell ref="Z372:Z373"/>
    <mergeCell ref="AA372:AB373"/>
    <mergeCell ref="AC372:AC373"/>
    <mergeCell ref="AD372:AD373"/>
    <mergeCell ref="AE372:AE373"/>
    <mergeCell ref="AF372:AG373"/>
    <mergeCell ref="AH372:AH373"/>
    <mergeCell ref="AI372:AI373"/>
    <mergeCell ref="AJ372:AO372"/>
    <mergeCell ref="AP372:AT373"/>
    <mergeCell ref="AJ373:AO373"/>
    <mergeCell ref="B374:B375"/>
    <mergeCell ref="C374:D375"/>
    <mergeCell ref="E374:E375"/>
    <mergeCell ref="F374:F375"/>
    <mergeCell ref="G374:G375"/>
    <mergeCell ref="H374:I375"/>
    <mergeCell ref="J374:J375"/>
    <mergeCell ref="K374:K375"/>
    <mergeCell ref="L374:M375"/>
    <mergeCell ref="N374:N375"/>
    <mergeCell ref="O374:O375"/>
    <mergeCell ref="P374:P375"/>
    <mergeCell ref="Q374:R375"/>
    <mergeCell ref="S374:S375"/>
    <mergeCell ref="T374:T375"/>
    <mergeCell ref="U374:U375"/>
    <mergeCell ref="V374:W375"/>
    <mergeCell ref="X374:X375"/>
    <mergeCell ref="Y374:Y375"/>
    <mergeCell ref="Z374:Z375"/>
    <mergeCell ref="AA374:AB375"/>
    <mergeCell ref="AC374:AC375"/>
    <mergeCell ref="AD374:AD375"/>
    <mergeCell ref="AE374:AE375"/>
    <mergeCell ref="AF374:AG375"/>
    <mergeCell ref="AH374:AH375"/>
    <mergeCell ref="AI374:AI375"/>
    <mergeCell ref="AJ374:AO374"/>
    <mergeCell ref="AP374:AT375"/>
    <mergeCell ref="AJ375:AO375"/>
    <mergeCell ref="B376:B377"/>
    <mergeCell ref="C376:D377"/>
    <mergeCell ref="E376:E377"/>
    <mergeCell ref="F376:F377"/>
    <mergeCell ref="G376:G377"/>
    <mergeCell ref="H376:I377"/>
    <mergeCell ref="J376:J377"/>
    <mergeCell ref="K376:K377"/>
    <mergeCell ref="L376:M377"/>
    <mergeCell ref="N376:N377"/>
    <mergeCell ref="O376:O377"/>
    <mergeCell ref="P376:P377"/>
    <mergeCell ref="Q376:R377"/>
    <mergeCell ref="S376:S377"/>
    <mergeCell ref="T376:T377"/>
    <mergeCell ref="U376:U377"/>
    <mergeCell ref="V376:W377"/>
    <mergeCell ref="X376:X377"/>
    <mergeCell ref="Y376:Y377"/>
    <mergeCell ref="Z376:Z377"/>
    <mergeCell ref="AA376:AB377"/>
    <mergeCell ref="AC376:AC377"/>
    <mergeCell ref="AD376:AD377"/>
    <mergeCell ref="AE376:AE377"/>
    <mergeCell ref="AF376:AG377"/>
    <mergeCell ref="AH376:AH377"/>
    <mergeCell ref="AI376:AI377"/>
    <mergeCell ref="AJ376:AO376"/>
    <mergeCell ref="AP376:AT377"/>
    <mergeCell ref="AJ377:AO377"/>
    <mergeCell ref="B378:B379"/>
    <mergeCell ref="C378:D379"/>
    <mergeCell ref="E378:E379"/>
    <mergeCell ref="F378:F379"/>
    <mergeCell ref="G378:G379"/>
    <mergeCell ref="H378:I379"/>
    <mergeCell ref="J378:J379"/>
    <mergeCell ref="K378:K379"/>
    <mergeCell ref="L378:M379"/>
    <mergeCell ref="N378:N379"/>
    <mergeCell ref="O378:O379"/>
    <mergeCell ref="P378:P379"/>
    <mergeCell ref="Q378:R379"/>
    <mergeCell ref="S378:S379"/>
    <mergeCell ref="T378:T379"/>
    <mergeCell ref="U378:U379"/>
    <mergeCell ref="V378:W379"/>
    <mergeCell ref="X378:X379"/>
    <mergeCell ref="Y378:Y379"/>
    <mergeCell ref="Z378:Z379"/>
    <mergeCell ref="AA378:AB379"/>
    <mergeCell ref="AC378:AC379"/>
    <mergeCell ref="AD378:AD379"/>
    <mergeCell ref="AE378:AE379"/>
    <mergeCell ref="AF378:AG379"/>
    <mergeCell ref="AH378:AH379"/>
    <mergeCell ref="AI378:AI379"/>
    <mergeCell ref="AJ378:AO378"/>
    <mergeCell ref="AP378:AT379"/>
    <mergeCell ref="AJ379:AO379"/>
    <mergeCell ref="B380:B381"/>
    <mergeCell ref="C380:D381"/>
    <mergeCell ref="E380:E381"/>
    <mergeCell ref="F380:F381"/>
    <mergeCell ref="G380:G381"/>
    <mergeCell ref="H380:I381"/>
    <mergeCell ref="J380:J381"/>
    <mergeCell ref="K380:K381"/>
    <mergeCell ref="L380:M381"/>
    <mergeCell ref="N380:N381"/>
    <mergeCell ref="O380:O381"/>
    <mergeCell ref="P380:P381"/>
    <mergeCell ref="Q380:R381"/>
    <mergeCell ref="S380:S381"/>
    <mergeCell ref="T380:T381"/>
    <mergeCell ref="U380:U381"/>
    <mergeCell ref="V380:W381"/>
    <mergeCell ref="X380:X381"/>
    <mergeCell ref="Y380:Y381"/>
    <mergeCell ref="Z380:Z381"/>
    <mergeCell ref="AA380:AB381"/>
    <mergeCell ref="AC380:AC381"/>
    <mergeCell ref="AD380:AD381"/>
    <mergeCell ref="AE380:AE381"/>
    <mergeCell ref="AF380:AG381"/>
    <mergeCell ref="AH380:AH381"/>
    <mergeCell ref="AI380:AI381"/>
    <mergeCell ref="AJ380:AO380"/>
    <mergeCell ref="AP380:AT381"/>
    <mergeCell ref="AJ381:AO381"/>
    <mergeCell ref="B382:B383"/>
    <mergeCell ref="C382:D383"/>
    <mergeCell ref="E382:E383"/>
    <mergeCell ref="F382:F383"/>
    <mergeCell ref="G382:G383"/>
    <mergeCell ref="H382:I383"/>
    <mergeCell ref="J382:J383"/>
    <mergeCell ref="K382:K383"/>
    <mergeCell ref="L382:M383"/>
    <mergeCell ref="N382:N383"/>
    <mergeCell ref="O382:O383"/>
    <mergeCell ref="P382:P383"/>
    <mergeCell ref="Q382:R383"/>
    <mergeCell ref="S382:S383"/>
    <mergeCell ref="T382:T383"/>
    <mergeCell ref="U382:U383"/>
    <mergeCell ref="V382:W383"/>
    <mergeCell ref="X382:X383"/>
    <mergeCell ref="Y382:Y383"/>
    <mergeCell ref="Z382:Z383"/>
    <mergeCell ref="AA382:AB383"/>
    <mergeCell ref="AC382:AC383"/>
    <mergeCell ref="AD382:AD383"/>
    <mergeCell ref="AE382:AE383"/>
    <mergeCell ref="AF382:AG383"/>
    <mergeCell ref="AH382:AH383"/>
    <mergeCell ref="AI382:AI383"/>
    <mergeCell ref="AJ382:AO382"/>
    <mergeCell ref="AP382:AT383"/>
    <mergeCell ref="AJ383:AO383"/>
    <mergeCell ref="B384:B385"/>
    <mergeCell ref="C384:D385"/>
    <mergeCell ref="E384:E385"/>
    <mergeCell ref="F384:F385"/>
    <mergeCell ref="G384:G385"/>
    <mergeCell ref="H384:I385"/>
    <mergeCell ref="J384:J385"/>
    <mergeCell ref="K384:K385"/>
    <mergeCell ref="L384:M385"/>
    <mergeCell ref="N384:N385"/>
    <mergeCell ref="O384:O385"/>
    <mergeCell ref="P384:P385"/>
    <mergeCell ref="Q384:R385"/>
    <mergeCell ref="S384:S385"/>
    <mergeCell ref="T384:T385"/>
    <mergeCell ref="U384:U385"/>
    <mergeCell ref="V384:W385"/>
    <mergeCell ref="X384:X385"/>
    <mergeCell ref="Y384:Y385"/>
    <mergeCell ref="Z384:Z385"/>
    <mergeCell ref="AA384:AB385"/>
    <mergeCell ref="AC384:AC385"/>
    <mergeCell ref="AD384:AD385"/>
    <mergeCell ref="AE384:AE385"/>
    <mergeCell ref="AF384:AG385"/>
    <mergeCell ref="AH384:AH385"/>
    <mergeCell ref="AI384:AI385"/>
    <mergeCell ref="AJ384:AO384"/>
    <mergeCell ref="AP384:AT385"/>
    <mergeCell ref="AJ385:AO385"/>
    <mergeCell ref="B386:B387"/>
    <mergeCell ref="C386:D387"/>
    <mergeCell ref="E386:E387"/>
    <mergeCell ref="F386:F387"/>
    <mergeCell ref="G386:G387"/>
    <mergeCell ref="H386:I387"/>
    <mergeCell ref="J386:J387"/>
    <mergeCell ref="K386:K387"/>
    <mergeCell ref="L386:M387"/>
    <mergeCell ref="N386:N387"/>
    <mergeCell ref="O386:O387"/>
    <mergeCell ref="P386:P387"/>
    <mergeCell ref="Q386:R387"/>
    <mergeCell ref="S386:S387"/>
    <mergeCell ref="T386:T387"/>
    <mergeCell ref="U386:U387"/>
    <mergeCell ref="V386:W387"/>
    <mergeCell ref="X386:X387"/>
    <mergeCell ref="Y386:Y387"/>
    <mergeCell ref="AH397:AI397"/>
    <mergeCell ref="Z386:Z387"/>
    <mergeCell ref="AA386:AB387"/>
    <mergeCell ref="AC386:AC387"/>
    <mergeCell ref="AD386:AD387"/>
    <mergeCell ref="AE386:AE387"/>
    <mergeCell ref="AF386:AG387"/>
    <mergeCell ref="AH386:AH387"/>
    <mergeCell ref="AI386:AI387"/>
    <mergeCell ref="AJ386:AO386"/>
    <mergeCell ref="AP386:AT387"/>
    <mergeCell ref="AJ387:AO387"/>
    <mergeCell ref="AQ389:AR389"/>
    <mergeCell ref="AS389:AT389"/>
    <mergeCell ref="B391:C392"/>
    <mergeCell ref="D391:Z392"/>
    <mergeCell ref="B393:C393"/>
    <mergeCell ref="D393:E393"/>
    <mergeCell ref="G393:H393"/>
    <mergeCell ref="J393:K393"/>
    <mergeCell ref="P393:Q393"/>
    <mergeCell ref="R393:S393"/>
    <mergeCell ref="U393:V393"/>
    <mergeCell ref="U399:U400"/>
    <mergeCell ref="V399:W400"/>
    <mergeCell ref="F395:G396"/>
    <mergeCell ref="H395:K395"/>
    <mergeCell ref="L395:P395"/>
    <mergeCell ref="Q395:U395"/>
    <mergeCell ref="V395:Z395"/>
    <mergeCell ref="AA395:AE395"/>
    <mergeCell ref="AF395:AI395"/>
    <mergeCell ref="AJ395:AO395"/>
    <mergeCell ref="AP395:AT395"/>
    <mergeCell ref="H396:K396"/>
    <mergeCell ref="L396:P396"/>
    <mergeCell ref="Q396:U396"/>
    <mergeCell ref="V396:Z396"/>
    <mergeCell ref="AA396:AE396"/>
    <mergeCell ref="AF396:AI396"/>
    <mergeCell ref="AJ396:AO398"/>
    <mergeCell ref="AP396:AT398"/>
    <mergeCell ref="F397:F398"/>
    <mergeCell ref="G397:G398"/>
    <mergeCell ref="H397:I398"/>
    <mergeCell ref="J397:K397"/>
    <mergeCell ref="L397:M398"/>
    <mergeCell ref="N397:P397"/>
    <mergeCell ref="Q397:R398"/>
    <mergeCell ref="S397:U397"/>
    <mergeCell ref="V397:W398"/>
    <mergeCell ref="X397:Z397"/>
    <mergeCell ref="AA397:AB398"/>
    <mergeCell ref="AC397:AE397"/>
    <mergeCell ref="AF397:AG398"/>
    <mergeCell ref="X399:X400"/>
    <mergeCell ref="Y399:Y400"/>
    <mergeCell ref="Z399:Z400"/>
    <mergeCell ref="AA399:AB400"/>
    <mergeCell ref="AC399:AC400"/>
    <mergeCell ref="AD399:AD400"/>
    <mergeCell ref="AE399:AE400"/>
    <mergeCell ref="AF399:AG400"/>
    <mergeCell ref="AH399:AH400"/>
    <mergeCell ref="AI399:AI400"/>
    <mergeCell ref="B395:B398"/>
    <mergeCell ref="C395:D398"/>
    <mergeCell ref="E395:E398"/>
    <mergeCell ref="AJ399:AO399"/>
    <mergeCell ref="AP399:AT399"/>
    <mergeCell ref="AJ400:AO400"/>
    <mergeCell ref="AP400:AT400"/>
    <mergeCell ref="B399:B400"/>
    <mergeCell ref="C399:D400"/>
    <mergeCell ref="E399:E400"/>
    <mergeCell ref="F399:F400"/>
    <mergeCell ref="G399:G400"/>
    <mergeCell ref="H399:I400"/>
    <mergeCell ref="J399:J400"/>
    <mergeCell ref="K399:K400"/>
    <mergeCell ref="L399:M400"/>
    <mergeCell ref="N399:N400"/>
    <mergeCell ref="O399:O400"/>
    <mergeCell ref="P399:P400"/>
    <mergeCell ref="Q399:R400"/>
    <mergeCell ref="S399:S400"/>
    <mergeCell ref="T399:T400"/>
    <mergeCell ref="B401:B402"/>
    <mergeCell ref="C401:D402"/>
    <mergeCell ref="E401:E402"/>
    <mergeCell ref="F401:F402"/>
    <mergeCell ref="G401:G402"/>
    <mergeCell ref="H401:I402"/>
    <mergeCell ref="J401:J402"/>
    <mergeCell ref="K401:K402"/>
    <mergeCell ref="L401:M402"/>
    <mergeCell ref="N401:N402"/>
    <mergeCell ref="O401:O402"/>
    <mergeCell ref="P401:P402"/>
    <mergeCell ref="Q401:R402"/>
    <mergeCell ref="S401:S402"/>
    <mergeCell ref="T401:T402"/>
    <mergeCell ref="U401:U402"/>
    <mergeCell ref="V401:W402"/>
    <mergeCell ref="X401:X402"/>
    <mergeCell ref="Y401:Y402"/>
    <mergeCell ref="Z401:Z402"/>
    <mergeCell ref="AA401:AB402"/>
    <mergeCell ref="AC401:AC402"/>
    <mergeCell ref="AD401:AD402"/>
    <mergeCell ref="AE401:AE402"/>
    <mergeCell ref="AF401:AG402"/>
    <mergeCell ref="AH401:AH402"/>
    <mergeCell ref="AI401:AI402"/>
    <mergeCell ref="AJ401:AO401"/>
    <mergeCell ref="AP401:AT402"/>
    <mergeCell ref="AJ402:AO402"/>
    <mergeCell ref="B403:B404"/>
    <mergeCell ref="C403:D404"/>
    <mergeCell ref="E403:E404"/>
    <mergeCell ref="F403:F404"/>
    <mergeCell ref="G403:G404"/>
    <mergeCell ref="H403:I404"/>
    <mergeCell ref="J403:J404"/>
    <mergeCell ref="K403:K404"/>
    <mergeCell ref="L403:M404"/>
    <mergeCell ref="N403:N404"/>
    <mergeCell ref="O403:O404"/>
    <mergeCell ref="P403:P404"/>
    <mergeCell ref="Q403:R404"/>
    <mergeCell ref="S403:S404"/>
    <mergeCell ref="T403:T404"/>
    <mergeCell ref="U403:U404"/>
    <mergeCell ref="V403:W404"/>
    <mergeCell ref="X403:X404"/>
    <mergeCell ref="Y403:Y404"/>
    <mergeCell ref="Z403:Z404"/>
    <mergeCell ref="AA403:AB404"/>
    <mergeCell ref="AC403:AC404"/>
    <mergeCell ref="AD403:AD404"/>
    <mergeCell ref="AE403:AE404"/>
    <mergeCell ref="AF403:AG404"/>
    <mergeCell ref="AH403:AH404"/>
    <mergeCell ref="AI403:AI404"/>
    <mergeCell ref="AJ403:AO403"/>
    <mergeCell ref="AP403:AT404"/>
    <mergeCell ref="AJ404:AO404"/>
    <mergeCell ref="B405:B406"/>
    <mergeCell ref="C405:D406"/>
    <mergeCell ref="E405:E406"/>
    <mergeCell ref="F405:F406"/>
    <mergeCell ref="G405:G406"/>
    <mergeCell ref="H405:I406"/>
    <mergeCell ref="J405:J406"/>
    <mergeCell ref="K405:K406"/>
    <mergeCell ref="L405:M406"/>
    <mergeCell ref="N405:N406"/>
    <mergeCell ref="O405:O406"/>
    <mergeCell ref="P405:P406"/>
    <mergeCell ref="Q405:R406"/>
    <mergeCell ref="S405:S406"/>
    <mergeCell ref="T405:T406"/>
    <mergeCell ref="U405:U406"/>
    <mergeCell ref="V405:W406"/>
    <mergeCell ref="X405:X406"/>
    <mergeCell ref="Y405:Y406"/>
    <mergeCell ref="Z405:Z406"/>
    <mergeCell ref="AA405:AB406"/>
    <mergeCell ref="AC405:AC406"/>
    <mergeCell ref="AD405:AD406"/>
    <mergeCell ref="AE405:AE406"/>
    <mergeCell ref="AF405:AG406"/>
    <mergeCell ref="AH405:AH406"/>
    <mergeCell ref="AI405:AI406"/>
    <mergeCell ref="AJ405:AO405"/>
    <mergeCell ref="AP405:AT406"/>
    <mergeCell ref="AJ406:AO406"/>
    <mergeCell ref="B407:B408"/>
    <mergeCell ref="C407:D408"/>
    <mergeCell ref="E407:E408"/>
    <mergeCell ref="F407:F408"/>
    <mergeCell ref="G407:G408"/>
    <mergeCell ref="H407:I408"/>
    <mergeCell ref="J407:J408"/>
    <mergeCell ref="K407:K408"/>
    <mergeCell ref="L407:M408"/>
    <mergeCell ref="N407:N408"/>
    <mergeCell ref="O407:O408"/>
    <mergeCell ref="P407:P408"/>
    <mergeCell ref="Q407:R408"/>
    <mergeCell ref="S407:S408"/>
    <mergeCell ref="T407:T408"/>
    <mergeCell ref="U407:U408"/>
    <mergeCell ref="V407:W408"/>
    <mergeCell ref="X407:X408"/>
    <mergeCell ref="Y407:Y408"/>
    <mergeCell ref="Z407:Z408"/>
    <mergeCell ref="AA407:AB408"/>
    <mergeCell ref="AC407:AC408"/>
    <mergeCell ref="AD407:AD408"/>
    <mergeCell ref="AE407:AE408"/>
    <mergeCell ref="AF407:AG408"/>
    <mergeCell ref="AH407:AH408"/>
    <mergeCell ref="AI407:AI408"/>
    <mergeCell ref="AJ407:AO407"/>
    <mergeCell ref="AP407:AT408"/>
    <mergeCell ref="AJ408:AO408"/>
    <mergeCell ref="B409:B410"/>
    <mergeCell ref="C409:D410"/>
    <mergeCell ref="E409:E410"/>
    <mergeCell ref="F409:F410"/>
    <mergeCell ref="G409:G410"/>
    <mergeCell ref="H409:I410"/>
    <mergeCell ref="J409:J410"/>
    <mergeCell ref="K409:K410"/>
    <mergeCell ref="L409:M410"/>
    <mergeCell ref="N409:N410"/>
    <mergeCell ref="O409:O410"/>
    <mergeCell ref="P409:P410"/>
    <mergeCell ref="Q409:R410"/>
    <mergeCell ref="S409:S410"/>
    <mergeCell ref="T409:T410"/>
    <mergeCell ref="U409:U410"/>
    <mergeCell ref="V409:W410"/>
    <mergeCell ref="X409:X410"/>
    <mergeCell ref="Y409:Y410"/>
    <mergeCell ref="Z409:Z410"/>
    <mergeCell ref="AA409:AB410"/>
    <mergeCell ref="AC409:AC410"/>
    <mergeCell ref="AD409:AD410"/>
    <mergeCell ref="AE409:AE410"/>
    <mergeCell ref="AF409:AG410"/>
    <mergeCell ref="AH409:AH410"/>
    <mergeCell ref="AI409:AI410"/>
    <mergeCell ref="AJ409:AO409"/>
    <mergeCell ref="AP409:AT410"/>
    <mergeCell ref="AJ410:AO410"/>
    <mergeCell ref="B411:B412"/>
    <mergeCell ref="C411:D412"/>
    <mergeCell ref="E411:E412"/>
    <mergeCell ref="F411:F412"/>
    <mergeCell ref="G411:G412"/>
    <mergeCell ref="H411:I412"/>
    <mergeCell ref="J411:J412"/>
    <mergeCell ref="K411:K412"/>
    <mergeCell ref="L411:M412"/>
    <mergeCell ref="N411:N412"/>
    <mergeCell ref="O411:O412"/>
    <mergeCell ref="P411:P412"/>
    <mergeCell ref="Q411:R412"/>
    <mergeCell ref="S411:S412"/>
    <mergeCell ref="T411:T412"/>
    <mergeCell ref="U411:U412"/>
    <mergeCell ref="V411:W412"/>
    <mergeCell ref="X411:X412"/>
    <mergeCell ref="Y411:Y412"/>
    <mergeCell ref="Z411:Z412"/>
    <mergeCell ref="AA411:AB412"/>
    <mergeCell ref="AC411:AC412"/>
    <mergeCell ref="AD411:AD412"/>
    <mergeCell ref="AE411:AE412"/>
    <mergeCell ref="AF411:AG412"/>
    <mergeCell ref="AH411:AH412"/>
    <mergeCell ref="AI411:AI412"/>
    <mergeCell ref="AJ411:AO411"/>
    <mergeCell ref="AP411:AT412"/>
    <mergeCell ref="AJ412:AO412"/>
    <mergeCell ref="B413:B414"/>
    <mergeCell ref="C413:D414"/>
    <mergeCell ref="E413:E414"/>
    <mergeCell ref="F413:F414"/>
    <mergeCell ref="G413:G414"/>
    <mergeCell ref="H413:I414"/>
    <mergeCell ref="J413:J414"/>
    <mergeCell ref="K413:K414"/>
    <mergeCell ref="L413:M414"/>
    <mergeCell ref="N413:N414"/>
    <mergeCell ref="O413:O414"/>
    <mergeCell ref="P413:P414"/>
    <mergeCell ref="Q413:R414"/>
    <mergeCell ref="S413:S414"/>
    <mergeCell ref="T413:T414"/>
    <mergeCell ref="U413:U414"/>
    <mergeCell ref="V413:W414"/>
    <mergeCell ref="X413:X414"/>
    <mergeCell ref="Y413:Y414"/>
    <mergeCell ref="Z413:Z414"/>
    <mergeCell ref="AA413:AB414"/>
    <mergeCell ref="AC413:AC414"/>
    <mergeCell ref="AD413:AD414"/>
    <mergeCell ref="AE413:AE414"/>
    <mergeCell ref="AF413:AG414"/>
    <mergeCell ref="AH413:AH414"/>
    <mergeCell ref="AI413:AI414"/>
    <mergeCell ref="AJ413:AO413"/>
    <mergeCell ref="AP413:AT414"/>
    <mergeCell ref="AJ414:AO414"/>
    <mergeCell ref="B415:B416"/>
    <mergeCell ref="C415:D416"/>
    <mergeCell ref="E415:E416"/>
    <mergeCell ref="F415:F416"/>
    <mergeCell ref="G415:G416"/>
    <mergeCell ref="H415:I416"/>
    <mergeCell ref="J415:J416"/>
    <mergeCell ref="K415:K416"/>
    <mergeCell ref="L415:M416"/>
    <mergeCell ref="N415:N416"/>
    <mergeCell ref="O415:O416"/>
    <mergeCell ref="P415:P416"/>
    <mergeCell ref="Q415:R416"/>
    <mergeCell ref="S415:S416"/>
    <mergeCell ref="T415:T416"/>
    <mergeCell ref="U415:U416"/>
    <mergeCell ref="V415:W416"/>
    <mergeCell ref="X415:X416"/>
    <mergeCell ref="Y415:Y416"/>
    <mergeCell ref="Z415:Z416"/>
    <mergeCell ref="AA415:AB416"/>
    <mergeCell ref="AC415:AC416"/>
    <mergeCell ref="AD415:AD416"/>
    <mergeCell ref="AE415:AE416"/>
    <mergeCell ref="AF415:AG416"/>
    <mergeCell ref="AH415:AH416"/>
    <mergeCell ref="AI415:AI416"/>
    <mergeCell ref="AJ415:AO415"/>
    <mergeCell ref="AP415:AT416"/>
    <mergeCell ref="AJ416:AO416"/>
    <mergeCell ref="B417:B418"/>
    <mergeCell ref="C417:D418"/>
    <mergeCell ref="E417:E418"/>
    <mergeCell ref="F417:F418"/>
    <mergeCell ref="G417:G418"/>
    <mergeCell ref="H417:I418"/>
    <mergeCell ref="J417:J418"/>
    <mergeCell ref="K417:K418"/>
    <mergeCell ref="L417:M418"/>
    <mergeCell ref="N417:N418"/>
    <mergeCell ref="O417:O418"/>
    <mergeCell ref="P417:P418"/>
    <mergeCell ref="Q417:R418"/>
    <mergeCell ref="S417:S418"/>
    <mergeCell ref="T417:T418"/>
    <mergeCell ref="U417:U418"/>
    <mergeCell ref="V417:W418"/>
    <mergeCell ref="X417:X418"/>
    <mergeCell ref="Y417:Y418"/>
    <mergeCell ref="Z417:Z418"/>
    <mergeCell ref="AA417:AB418"/>
    <mergeCell ref="AC417:AC418"/>
    <mergeCell ref="AD417:AD418"/>
    <mergeCell ref="AE417:AE418"/>
    <mergeCell ref="AF417:AG418"/>
    <mergeCell ref="AH417:AH418"/>
    <mergeCell ref="AI417:AI418"/>
    <mergeCell ref="AJ417:AO417"/>
    <mergeCell ref="AP417:AT418"/>
    <mergeCell ref="AJ418:AO418"/>
    <mergeCell ref="B419:B420"/>
    <mergeCell ref="C419:D420"/>
    <mergeCell ref="E419:E420"/>
    <mergeCell ref="F419:F420"/>
    <mergeCell ref="G419:G420"/>
    <mergeCell ref="H419:I420"/>
    <mergeCell ref="J419:J420"/>
    <mergeCell ref="K419:K420"/>
    <mergeCell ref="L419:M420"/>
    <mergeCell ref="N419:N420"/>
    <mergeCell ref="O419:O420"/>
    <mergeCell ref="P419:P420"/>
    <mergeCell ref="Q419:R420"/>
    <mergeCell ref="S419:S420"/>
    <mergeCell ref="T419:T420"/>
    <mergeCell ref="U419:U420"/>
    <mergeCell ref="V419:W420"/>
    <mergeCell ref="X419:X420"/>
    <mergeCell ref="Y419:Y420"/>
    <mergeCell ref="Z419:Z420"/>
    <mergeCell ref="AA419:AB420"/>
    <mergeCell ref="AC419:AC420"/>
    <mergeCell ref="AD419:AD420"/>
    <mergeCell ref="AE419:AE420"/>
    <mergeCell ref="AF419:AG420"/>
    <mergeCell ref="AH419:AH420"/>
    <mergeCell ref="AI419:AI420"/>
    <mergeCell ref="AJ419:AO419"/>
    <mergeCell ref="AP419:AT420"/>
    <mergeCell ref="AJ420:AO420"/>
    <mergeCell ref="B421:B422"/>
    <mergeCell ref="C421:D422"/>
    <mergeCell ref="E421:E422"/>
    <mergeCell ref="F421:F422"/>
    <mergeCell ref="G421:G422"/>
    <mergeCell ref="H421:I422"/>
    <mergeCell ref="J421:J422"/>
    <mergeCell ref="K421:K422"/>
    <mergeCell ref="L421:M422"/>
    <mergeCell ref="N421:N422"/>
    <mergeCell ref="O421:O422"/>
    <mergeCell ref="P421:P422"/>
    <mergeCell ref="Q421:R422"/>
    <mergeCell ref="S421:S422"/>
    <mergeCell ref="T421:T422"/>
    <mergeCell ref="U421:U422"/>
    <mergeCell ref="V421:W422"/>
    <mergeCell ref="X421:X422"/>
    <mergeCell ref="Y421:Y422"/>
    <mergeCell ref="Z421:Z422"/>
    <mergeCell ref="AA421:AB422"/>
    <mergeCell ref="AC421:AC422"/>
    <mergeCell ref="AD421:AD422"/>
    <mergeCell ref="AE421:AE422"/>
    <mergeCell ref="AF421:AG422"/>
    <mergeCell ref="AH421:AH422"/>
    <mergeCell ref="AI421:AI422"/>
    <mergeCell ref="AJ421:AO421"/>
    <mergeCell ref="AP421:AT422"/>
    <mergeCell ref="AJ422:AO422"/>
    <mergeCell ref="B423:B424"/>
    <mergeCell ref="C423:D424"/>
    <mergeCell ref="E423:E424"/>
    <mergeCell ref="F423:F424"/>
    <mergeCell ref="G423:G424"/>
    <mergeCell ref="H423:I424"/>
    <mergeCell ref="J423:J424"/>
    <mergeCell ref="K423:K424"/>
    <mergeCell ref="L423:M424"/>
    <mergeCell ref="N423:N424"/>
    <mergeCell ref="O423:O424"/>
    <mergeCell ref="P423:P424"/>
    <mergeCell ref="Q423:R424"/>
    <mergeCell ref="S423:S424"/>
    <mergeCell ref="T423:T424"/>
    <mergeCell ref="U423:U424"/>
    <mergeCell ref="V423:W424"/>
    <mergeCell ref="X423:X424"/>
    <mergeCell ref="Y423:Y424"/>
    <mergeCell ref="Z423:Z424"/>
    <mergeCell ref="AA423:AB424"/>
    <mergeCell ref="AC423:AC424"/>
    <mergeCell ref="AD423:AD424"/>
    <mergeCell ref="AE423:AE424"/>
    <mergeCell ref="AF423:AG424"/>
    <mergeCell ref="AH423:AH424"/>
    <mergeCell ref="AI423:AI424"/>
    <mergeCell ref="AJ423:AO423"/>
    <mergeCell ref="AP423:AT424"/>
    <mergeCell ref="AJ424:AO424"/>
    <mergeCell ref="B425:B426"/>
    <mergeCell ref="C425:D426"/>
    <mergeCell ref="E425:E426"/>
    <mergeCell ref="F425:F426"/>
    <mergeCell ref="G425:G426"/>
    <mergeCell ref="H425:I426"/>
    <mergeCell ref="J425:J426"/>
    <mergeCell ref="K425:K426"/>
    <mergeCell ref="L425:M426"/>
    <mergeCell ref="N425:N426"/>
    <mergeCell ref="O425:O426"/>
    <mergeCell ref="P425:P426"/>
    <mergeCell ref="Q425:R426"/>
    <mergeCell ref="S425:S426"/>
    <mergeCell ref="T425:T426"/>
    <mergeCell ref="U425:U426"/>
    <mergeCell ref="V425:W426"/>
    <mergeCell ref="X425:X426"/>
    <mergeCell ref="Y425:Y426"/>
    <mergeCell ref="Z425:Z426"/>
    <mergeCell ref="AA425:AB426"/>
    <mergeCell ref="AC425:AC426"/>
    <mergeCell ref="AD425:AD426"/>
    <mergeCell ref="AE425:AE426"/>
    <mergeCell ref="AF425:AG426"/>
    <mergeCell ref="AH425:AH426"/>
    <mergeCell ref="AI425:AI426"/>
    <mergeCell ref="AJ425:AO425"/>
    <mergeCell ref="AP425:AT426"/>
    <mergeCell ref="AJ426:AO426"/>
    <mergeCell ref="B427:B428"/>
    <mergeCell ref="C427:D428"/>
    <mergeCell ref="E427:E428"/>
    <mergeCell ref="F427:F428"/>
    <mergeCell ref="G427:G428"/>
    <mergeCell ref="H427:I428"/>
    <mergeCell ref="J427:J428"/>
    <mergeCell ref="K427:K428"/>
    <mergeCell ref="L427:M428"/>
    <mergeCell ref="N427:N428"/>
    <mergeCell ref="O427:O428"/>
    <mergeCell ref="P427:P428"/>
    <mergeCell ref="Q427:R428"/>
    <mergeCell ref="S427:S428"/>
    <mergeCell ref="T427:T428"/>
    <mergeCell ref="U427:U428"/>
    <mergeCell ref="V427:W428"/>
    <mergeCell ref="X427:X428"/>
    <mergeCell ref="Y427:Y428"/>
    <mergeCell ref="Z427:Z428"/>
    <mergeCell ref="AA427:AB428"/>
    <mergeCell ref="AC427:AC428"/>
    <mergeCell ref="AD427:AD428"/>
    <mergeCell ref="AE427:AE428"/>
    <mergeCell ref="AF427:AG428"/>
    <mergeCell ref="AH427:AH428"/>
    <mergeCell ref="AI427:AI428"/>
    <mergeCell ref="AJ427:AO427"/>
    <mergeCell ref="AP427:AT428"/>
    <mergeCell ref="AJ428:AO428"/>
    <mergeCell ref="B429:B430"/>
    <mergeCell ref="C429:D430"/>
    <mergeCell ref="E429:E430"/>
    <mergeCell ref="F429:F430"/>
    <mergeCell ref="G429:G430"/>
    <mergeCell ref="H429:I430"/>
    <mergeCell ref="J429:J430"/>
    <mergeCell ref="K429:K430"/>
    <mergeCell ref="L429:M430"/>
    <mergeCell ref="N429:N430"/>
    <mergeCell ref="O429:O430"/>
    <mergeCell ref="P429:P430"/>
    <mergeCell ref="Q429:R430"/>
    <mergeCell ref="S429:S430"/>
    <mergeCell ref="T429:T430"/>
    <mergeCell ref="U429:U430"/>
    <mergeCell ref="V429:W430"/>
    <mergeCell ref="X429:X430"/>
    <mergeCell ref="Y429:Y430"/>
    <mergeCell ref="Z429:Z430"/>
    <mergeCell ref="AA429:AB430"/>
    <mergeCell ref="AC429:AC430"/>
    <mergeCell ref="AD429:AD430"/>
    <mergeCell ref="AE429:AE430"/>
    <mergeCell ref="AF429:AG430"/>
    <mergeCell ref="AH429:AH430"/>
    <mergeCell ref="AI429:AI430"/>
    <mergeCell ref="AJ429:AO429"/>
    <mergeCell ref="AP429:AT430"/>
    <mergeCell ref="AJ430:AO430"/>
    <mergeCell ref="AQ432:AR432"/>
    <mergeCell ref="AS432:AT432"/>
    <mergeCell ref="B434:C435"/>
    <mergeCell ref="D434:Z435"/>
    <mergeCell ref="B436:C436"/>
    <mergeCell ref="D436:E436"/>
    <mergeCell ref="G436:H436"/>
    <mergeCell ref="J436:K436"/>
    <mergeCell ref="P436:Q436"/>
    <mergeCell ref="R436:S436"/>
    <mergeCell ref="U436:V436"/>
    <mergeCell ref="F438:G439"/>
    <mergeCell ref="H438:K438"/>
    <mergeCell ref="L438:P438"/>
    <mergeCell ref="Q438:U438"/>
    <mergeCell ref="V438:Z438"/>
    <mergeCell ref="AA438:AE438"/>
    <mergeCell ref="AF438:AI438"/>
    <mergeCell ref="AJ438:AO438"/>
    <mergeCell ref="AP438:AT438"/>
    <mergeCell ref="H439:K439"/>
    <mergeCell ref="L439:P439"/>
    <mergeCell ref="Q439:U439"/>
    <mergeCell ref="V439:Z439"/>
    <mergeCell ref="AA439:AE439"/>
    <mergeCell ref="AF439:AI439"/>
    <mergeCell ref="AJ439:AO441"/>
    <mergeCell ref="AP439:AT441"/>
    <mergeCell ref="F440:F441"/>
    <mergeCell ref="G440:G441"/>
    <mergeCell ref="H440:I441"/>
    <mergeCell ref="J440:K440"/>
    <mergeCell ref="L440:M441"/>
    <mergeCell ref="N440:P440"/>
    <mergeCell ref="Q440:R441"/>
    <mergeCell ref="S440:U440"/>
    <mergeCell ref="V440:W441"/>
    <mergeCell ref="X440:Z440"/>
    <mergeCell ref="AA440:AB441"/>
    <mergeCell ref="AC440:AE440"/>
    <mergeCell ref="AF440:AG441"/>
    <mergeCell ref="AH440:AI440"/>
    <mergeCell ref="B442:B443"/>
    <mergeCell ref="C442:D443"/>
    <mergeCell ref="E442:E443"/>
    <mergeCell ref="F442:F443"/>
    <mergeCell ref="G442:G443"/>
    <mergeCell ref="H442:I443"/>
    <mergeCell ref="J442:J443"/>
    <mergeCell ref="K442:K443"/>
    <mergeCell ref="L442:M443"/>
    <mergeCell ref="N442:N443"/>
    <mergeCell ref="O442:O443"/>
    <mergeCell ref="P442:P443"/>
    <mergeCell ref="Q442:R443"/>
    <mergeCell ref="S442:S443"/>
    <mergeCell ref="T442:T443"/>
    <mergeCell ref="U442:U443"/>
    <mergeCell ref="V442:W443"/>
    <mergeCell ref="X442:X443"/>
    <mergeCell ref="Y442:Y443"/>
    <mergeCell ref="Z442:Z443"/>
    <mergeCell ref="AA442:AB443"/>
    <mergeCell ref="AC442:AC443"/>
    <mergeCell ref="AD442:AD443"/>
    <mergeCell ref="AE442:AE443"/>
    <mergeCell ref="AF442:AG443"/>
    <mergeCell ref="AH442:AH443"/>
    <mergeCell ref="AI442:AI443"/>
    <mergeCell ref="B438:B441"/>
    <mergeCell ref="C438:D441"/>
    <mergeCell ref="E438:E441"/>
    <mergeCell ref="AJ442:AO442"/>
    <mergeCell ref="AP442:AT442"/>
    <mergeCell ref="AJ443:AO443"/>
    <mergeCell ref="AP443:AT443"/>
    <mergeCell ref="B444:B445"/>
    <mergeCell ref="C444:D445"/>
    <mergeCell ref="E444:E445"/>
    <mergeCell ref="F444:F445"/>
    <mergeCell ref="G444:G445"/>
    <mergeCell ref="H444:I445"/>
    <mergeCell ref="J444:J445"/>
    <mergeCell ref="K444:K445"/>
    <mergeCell ref="L444:M445"/>
    <mergeCell ref="N444:N445"/>
    <mergeCell ref="O444:O445"/>
    <mergeCell ref="P444:P445"/>
    <mergeCell ref="Q444:R445"/>
    <mergeCell ref="S444:S445"/>
    <mergeCell ref="T444:T445"/>
    <mergeCell ref="U444:U445"/>
    <mergeCell ref="V444:W445"/>
    <mergeCell ref="X444:X445"/>
    <mergeCell ref="Y444:Y445"/>
    <mergeCell ref="Z444:Z445"/>
    <mergeCell ref="AA444:AB445"/>
    <mergeCell ref="AC444:AC445"/>
    <mergeCell ref="AD444:AD445"/>
    <mergeCell ref="AE444:AE445"/>
    <mergeCell ref="AF444:AG445"/>
    <mergeCell ref="AH444:AH445"/>
    <mergeCell ref="AI444:AI445"/>
    <mergeCell ref="AJ444:AO444"/>
    <mergeCell ref="AP444:AT445"/>
    <mergeCell ref="AJ445:AO445"/>
    <mergeCell ref="B446:B447"/>
    <mergeCell ref="C446:D447"/>
    <mergeCell ref="E446:E447"/>
    <mergeCell ref="F446:F447"/>
    <mergeCell ref="G446:G447"/>
    <mergeCell ref="H446:I447"/>
    <mergeCell ref="J446:J447"/>
    <mergeCell ref="K446:K447"/>
    <mergeCell ref="L446:M447"/>
    <mergeCell ref="N446:N447"/>
    <mergeCell ref="O446:O447"/>
    <mergeCell ref="P446:P447"/>
    <mergeCell ref="Q446:R447"/>
    <mergeCell ref="S446:S447"/>
    <mergeCell ref="T446:T447"/>
    <mergeCell ref="U446:U447"/>
    <mergeCell ref="V446:W447"/>
    <mergeCell ref="X446:X447"/>
    <mergeCell ref="Y446:Y447"/>
    <mergeCell ref="Z446:Z447"/>
    <mergeCell ref="AA446:AB447"/>
    <mergeCell ref="AC446:AC447"/>
    <mergeCell ref="AD446:AD447"/>
    <mergeCell ref="AE446:AE447"/>
    <mergeCell ref="AF446:AG447"/>
    <mergeCell ref="AH446:AH447"/>
    <mergeCell ref="AI446:AI447"/>
    <mergeCell ref="AJ446:AO446"/>
    <mergeCell ref="AP446:AT447"/>
    <mergeCell ref="AJ447:AO447"/>
    <mergeCell ref="B448:B449"/>
    <mergeCell ref="C448:D449"/>
    <mergeCell ref="E448:E449"/>
    <mergeCell ref="F448:F449"/>
    <mergeCell ref="G448:G449"/>
    <mergeCell ref="H448:I449"/>
    <mergeCell ref="J448:J449"/>
    <mergeCell ref="K448:K449"/>
    <mergeCell ref="L448:M449"/>
    <mergeCell ref="N448:N449"/>
    <mergeCell ref="O448:O449"/>
    <mergeCell ref="P448:P449"/>
    <mergeCell ref="Q448:R449"/>
    <mergeCell ref="S448:S449"/>
    <mergeCell ref="T448:T449"/>
    <mergeCell ref="U448:U449"/>
    <mergeCell ref="V448:W449"/>
    <mergeCell ref="X448:X449"/>
    <mergeCell ref="Y448:Y449"/>
    <mergeCell ref="Z448:Z449"/>
    <mergeCell ref="AA448:AB449"/>
    <mergeCell ref="AC448:AC449"/>
    <mergeCell ref="AD448:AD449"/>
    <mergeCell ref="AE448:AE449"/>
    <mergeCell ref="AF448:AG449"/>
    <mergeCell ref="AH448:AH449"/>
    <mergeCell ref="AI448:AI449"/>
    <mergeCell ref="AJ448:AO448"/>
    <mergeCell ref="AP448:AT449"/>
    <mergeCell ref="AJ449:AO449"/>
    <mergeCell ref="B450:B451"/>
    <mergeCell ref="C450:D451"/>
    <mergeCell ref="E450:E451"/>
    <mergeCell ref="F450:F451"/>
    <mergeCell ref="G450:G451"/>
    <mergeCell ref="H450:I451"/>
    <mergeCell ref="J450:J451"/>
    <mergeCell ref="K450:K451"/>
    <mergeCell ref="L450:M451"/>
    <mergeCell ref="N450:N451"/>
    <mergeCell ref="O450:O451"/>
    <mergeCell ref="P450:P451"/>
    <mergeCell ref="Q450:R451"/>
    <mergeCell ref="S450:S451"/>
    <mergeCell ref="T450:T451"/>
    <mergeCell ref="U450:U451"/>
    <mergeCell ref="V450:W451"/>
    <mergeCell ref="X450:X451"/>
    <mergeCell ref="Y450:Y451"/>
    <mergeCell ref="Z450:Z451"/>
    <mergeCell ref="AA450:AB451"/>
    <mergeCell ref="AC450:AC451"/>
    <mergeCell ref="AD450:AD451"/>
    <mergeCell ref="AE450:AE451"/>
    <mergeCell ref="AF450:AG451"/>
    <mergeCell ref="AH450:AH451"/>
    <mergeCell ref="AI450:AI451"/>
    <mergeCell ref="AJ450:AO450"/>
    <mergeCell ref="AP450:AT451"/>
    <mergeCell ref="AJ451:AO451"/>
    <mergeCell ref="B452:B453"/>
    <mergeCell ref="C452:D453"/>
    <mergeCell ref="E452:E453"/>
    <mergeCell ref="F452:F453"/>
    <mergeCell ref="G452:G453"/>
    <mergeCell ref="H452:I453"/>
    <mergeCell ref="J452:J453"/>
    <mergeCell ref="K452:K453"/>
    <mergeCell ref="L452:M453"/>
    <mergeCell ref="N452:N453"/>
    <mergeCell ref="O452:O453"/>
    <mergeCell ref="P452:P453"/>
    <mergeCell ref="Q452:R453"/>
    <mergeCell ref="S452:S453"/>
    <mergeCell ref="T452:T453"/>
    <mergeCell ref="U452:U453"/>
    <mergeCell ref="V452:W453"/>
    <mergeCell ref="X452:X453"/>
    <mergeCell ref="Y452:Y453"/>
    <mergeCell ref="Z452:Z453"/>
    <mergeCell ref="AA452:AB453"/>
    <mergeCell ref="AC452:AC453"/>
    <mergeCell ref="AD452:AD453"/>
    <mergeCell ref="AE452:AE453"/>
    <mergeCell ref="AF452:AG453"/>
    <mergeCell ref="AH452:AH453"/>
    <mergeCell ref="AI452:AI453"/>
    <mergeCell ref="AJ452:AO452"/>
    <mergeCell ref="AP452:AT453"/>
    <mergeCell ref="AJ453:AO453"/>
    <mergeCell ref="B454:B455"/>
    <mergeCell ref="C454:D455"/>
    <mergeCell ref="E454:E455"/>
    <mergeCell ref="F454:F455"/>
    <mergeCell ref="G454:G455"/>
    <mergeCell ref="H454:I455"/>
    <mergeCell ref="J454:J455"/>
    <mergeCell ref="K454:K455"/>
    <mergeCell ref="L454:M455"/>
    <mergeCell ref="N454:N455"/>
    <mergeCell ref="O454:O455"/>
    <mergeCell ref="P454:P455"/>
    <mergeCell ref="Q454:R455"/>
    <mergeCell ref="S454:S455"/>
    <mergeCell ref="T454:T455"/>
    <mergeCell ref="U454:U455"/>
    <mergeCell ref="V454:W455"/>
    <mergeCell ref="X454:X455"/>
    <mergeCell ref="Y454:Y455"/>
    <mergeCell ref="Z454:Z455"/>
    <mergeCell ref="AA454:AB455"/>
    <mergeCell ref="AC454:AC455"/>
    <mergeCell ref="AD454:AD455"/>
    <mergeCell ref="AE454:AE455"/>
    <mergeCell ref="AF454:AG455"/>
    <mergeCell ref="AH454:AH455"/>
    <mergeCell ref="AI454:AI455"/>
    <mergeCell ref="AJ454:AO454"/>
    <mergeCell ref="AP454:AT455"/>
    <mergeCell ref="AJ455:AO455"/>
    <mergeCell ref="B456:B457"/>
    <mergeCell ref="C456:D457"/>
    <mergeCell ref="E456:E457"/>
    <mergeCell ref="F456:F457"/>
    <mergeCell ref="G456:G457"/>
    <mergeCell ref="H456:I457"/>
    <mergeCell ref="J456:J457"/>
    <mergeCell ref="K456:K457"/>
    <mergeCell ref="L456:M457"/>
    <mergeCell ref="N456:N457"/>
    <mergeCell ref="O456:O457"/>
    <mergeCell ref="P456:P457"/>
    <mergeCell ref="Q456:R457"/>
    <mergeCell ref="S456:S457"/>
    <mergeCell ref="T456:T457"/>
    <mergeCell ref="U456:U457"/>
    <mergeCell ref="V456:W457"/>
    <mergeCell ref="X456:X457"/>
    <mergeCell ref="Y456:Y457"/>
    <mergeCell ref="Z456:Z457"/>
    <mergeCell ref="AA456:AB457"/>
    <mergeCell ref="AC456:AC457"/>
    <mergeCell ref="AD456:AD457"/>
    <mergeCell ref="AE456:AE457"/>
    <mergeCell ref="AF456:AG457"/>
    <mergeCell ref="AH456:AH457"/>
    <mergeCell ref="AI456:AI457"/>
    <mergeCell ref="AJ456:AO456"/>
    <mergeCell ref="AP456:AT457"/>
    <mergeCell ref="AJ457:AO457"/>
    <mergeCell ref="B458:B459"/>
    <mergeCell ref="C458:D459"/>
    <mergeCell ref="E458:E459"/>
    <mergeCell ref="F458:F459"/>
    <mergeCell ref="G458:G459"/>
    <mergeCell ref="H458:I459"/>
    <mergeCell ref="J458:J459"/>
    <mergeCell ref="K458:K459"/>
    <mergeCell ref="L458:M459"/>
    <mergeCell ref="N458:N459"/>
    <mergeCell ref="O458:O459"/>
    <mergeCell ref="P458:P459"/>
    <mergeCell ref="Q458:R459"/>
    <mergeCell ref="S458:S459"/>
    <mergeCell ref="T458:T459"/>
    <mergeCell ref="U458:U459"/>
    <mergeCell ref="V458:W459"/>
    <mergeCell ref="X458:X459"/>
    <mergeCell ref="Y458:Y459"/>
    <mergeCell ref="Z458:Z459"/>
    <mergeCell ref="AA458:AB459"/>
    <mergeCell ref="AC458:AC459"/>
    <mergeCell ref="AD458:AD459"/>
    <mergeCell ref="AE458:AE459"/>
    <mergeCell ref="AF458:AG459"/>
    <mergeCell ref="AH458:AH459"/>
    <mergeCell ref="AI458:AI459"/>
    <mergeCell ref="AJ458:AO458"/>
    <mergeCell ref="AP458:AT459"/>
    <mergeCell ref="AJ459:AO459"/>
    <mergeCell ref="B460:B461"/>
    <mergeCell ref="C460:D461"/>
    <mergeCell ref="E460:E461"/>
    <mergeCell ref="F460:F461"/>
    <mergeCell ref="G460:G461"/>
    <mergeCell ref="H460:I461"/>
    <mergeCell ref="J460:J461"/>
    <mergeCell ref="K460:K461"/>
    <mergeCell ref="L460:M461"/>
    <mergeCell ref="N460:N461"/>
    <mergeCell ref="O460:O461"/>
    <mergeCell ref="P460:P461"/>
    <mergeCell ref="Q460:R461"/>
    <mergeCell ref="S460:S461"/>
    <mergeCell ref="T460:T461"/>
    <mergeCell ref="U460:U461"/>
    <mergeCell ref="V460:W461"/>
    <mergeCell ref="X460:X461"/>
    <mergeCell ref="Y460:Y461"/>
    <mergeCell ref="Z460:Z461"/>
    <mergeCell ref="AA460:AB461"/>
    <mergeCell ref="AC460:AC461"/>
    <mergeCell ref="AD460:AD461"/>
    <mergeCell ref="AE460:AE461"/>
    <mergeCell ref="AF460:AG461"/>
    <mergeCell ref="AH460:AH461"/>
    <mergeCell ref="AI460:AI461"/>
    <mergeCell ref="AJ460:AO460"/>
    <mergeCell ref="AP460:AT461"/>
    <mergeCell ref="AJ461:AO461"/>
    <mergeCell ref="B462:B463"/>
    <mergeCell ref="C462:D463"/>
    <mergeCell ref="E462:E463"/>
    <mergeCell ref="F462:F463"/>
    <mergeCell ref="G462:G463"/>
    <mergeCell ref="H462:I463"/>
    <mergeCell ref="J462:J463"/>
    <mergeCell ref="K462:K463"/>
    <mergeCell ref="L462:M463"/>
    <mergeCell ref="N462:N463"/>
    <mergeCell ref="O462:O463"/>
    <mergeCell ref="P462:P463"/>
    <mergeCell ref="Q462:R463"/>
    <mergeCell ref="S462:S463"/>
    <mergeCell ref="T462:T463"/>
    <mergeCell ref="U462:U463"/>
    <mergeCell ref="V462:W463"/>
    <mergeCell ref="X462:X463"/>
    <mergeCell ref="Y462:Y463"/>
    <mergeCell ref="Z462:Z463"/>
    <mergeCell ref="AA462:AB463"/>
    <mergeCell ref="AC462:AC463"/>
    <mergeCell ref="AD462:AD463"/>
    <mergeCell ref="AE462:AE463"/>
    <mergeCell ref="AF462:AG463"/>
    <mergeCell ref="AH462:AH463"/>
    <mergeCell ref="AI462:AI463"/>
    <mergeCell ref="AJ462:AO462"/>
    <mergeCell ref="AP462:AT463"/>
    <mergeCell ref="AJ463:AO463"/>
    <mergeCell ref="B464:B465"/>
    <mergeCell ref="C464:D465"/>
    <mergeCell ref="E464:E465"/>
    <mergeCell ref="F464:F465"/>
    <mergeCell ref="G464:G465"/>
    <mergeCell ref="H464:I465"/>
    <mergeCell ref="J464:J465"/>
    <mergeCell ref="K464:K465"/>
    <mergeCell ref="L464:M465"/>
    <mergeCell ref="N464:N465"/>
    <mergeCell ref="O464:O465"/>
    <mergeCell ref="P464:P465"/>
    <mergeCell ref="Q464:R465"/>
    <mergeCell ref="S464:S465"/>
    <mergeCell ref="T464:T465"/>
    <mergeCell ref="U464:U465"/>
    <mergeCell ref="V464:W465"/>
    <mergeCell ref="X464:X465"/>
    <mergeCell ref="Y464:Y465"/>
    <mergeCell ref="Z464:Z465"/>
    <mergeCell ref="AA464:AB465"/>
    <mergeCell ref="AC464:AC465"/>
    <mergeCell ref="AD464:AD465"/>
    <mergeCell ref="AE464:AE465"/>
    <mergeCell ref="AF464:AG465"/>
    <mergeCell ref="AH464:AH465"/>
    <mergeCell ref="AI464:AI465"/>
    <mergeCell ref="AJ464:AO464"/>
    <mergeCell ref="AP464:AT465"/>
    <mergeCell ref="AJ465:AO465"/>
    <mergeCell ref="B466:B467"/>
    <mergeCell ref="C466:D467"/>
    <mergeCell ref="E466:E467"/>
    <mergeCell ref="F466:F467"/>
    <mergeCell ref="G466:G467"/>
    <mergeCell ref="H466:I467"/>
    <mergeCell ref="J466:J467"/>
    <mergeCell ref="K466:K467"/>
    <mergeCell ref="L466:M467"/>
    <mergeCell ref="N466:N467"/>
    <mergeCell ref="O466:O467"/>
    <mergeCell ref="P466:P467"/>
    <mergeCell ref="Q466:R467"/>
    <mergeCell ref="S466:S467"/>
    <mergeCell ref="T466:T467"/>
    <mergeCell ref="U466:U467"/>
    <mergeCell ref="V466:W467"/>
    <mergeCell ref="X466:X467"/>
    <mergeCell ref="Y466:Y467"/>
    <mergeCell ref="Z466:Z467"/>
    <mergeCell ref="AA466:AB467"/>
    <mergeCell ref="AC466:AC467"/>
    <mergeCell ref="AD466:AD467"/>
    <mergeCell ref="AE466:AE467"/>
    <mergeCell ref="AF466:AG467"/>
    <mergeCell ref="AH466:AH467"/>
    <mergeCell ref="AI466:AI467"/>
    <mergeCell ref="AJ466:AO466"/>
    <mergeCell ref="AP466:AT467"/>
    <mergeCell ref="AJ467:AO467"/>
    <mergeCell ref="B468:B469"/>
    <mergeCell ref="C468:D469"/>
    <mergeCell ref="E468:E469"/>
    <mergeCell ref="F468:F469"/>
    <mergeCell ref="G468:G469"/>
    <mergeCell ref="H468:I469"/>
    <mergeCell ref="J468:J469"/>
    <mergeCell ref="K468:K469"/>
    <mergeCell ref="L468:M469"/>
    <mergeCell ref="N468:N469"/>
    <mergeCell ref="O468:O469"/>
    <mergeCell ref="P468:P469"/>
    <mergeCell ref="Q468:R469"/>
    <mergeCell ref="S468:S469"/>
    <mergeCell ref="T468:T469"/>
    <mergeCell ref="U468:U469"/>
    <mergeCell ref="V468:W469"/>
    <mergeCell ref="X468:X469"/>
    <mergeCell ref="Y468:Y469"/>
    <mergeCell ref="Z468:Z469"/>
    <mergeCell ref="AA468:AB469"/>
    <mergeCell ref="AC468:AC469"/>
    <mergeCell ref="AD468:AD469"/>
    <mergeCell ref="AE468:AE469"/>
    <mergeCell ref="AF468:AG469"/>
    <mergeCell ref="AH468:AH469"/>
    <mergeCell ref="AI468:AI469"/>
    <mergeCell ref="AJ468:AO468"/>
    <mergeCell ref="AP468:AT469"/>
    <mergeCell ref="AJ469:AO469"/>
    <mergeCell ref="B470:B471"/>
    <mergeCell ref="C470:D471"/>
    <mergeCell ref="E470:E471"/>
    <mergeCell ref="F470:F471"/>
    <mergeCell ref="G470:G471"/>
    <mergeCell ref="H470:I471"/>
    <mergeCell ref="J470:J471"/>
    <mergeCell ref="K470:K471"/>
    <mergeCell ref="L470:M471"/>
    <mergeCell ref="N470:N471"/>
    <mergeCell ref="O470:O471"/>
    <mergeCell ref="P470:P471"/>
    <mergeCell ref="Q470:R471"/>
    <mergeCell ref="S470:S471"/>
    <mergeCell ref="T470:T471"/>
    <mergeCell ref="U470:U471"/>
    <mergeCell ref="V470:W471"/>
    <mergeCell ref="X470:X471"/>
    <mergeCell ref="Y470:Y471"/>
    <mergeCell ref="Z470:Z471"/>
    <mergeCell ref="AA470:AB471"/>
    <mergeCell ref="AC470:AC471"/>
    <mergeCell ref="AD470:AD471"/>
    <mergeCell ref="AE470:AE471"/>
    <mergeCell ref="AF470:AG471"/>
    <mergeCell ref="AH470:AH471"/>
    <mergeCell ref="AI470:AI471"/>
    <mergeCell ref="AJ470:AO470"/>
    <mergeCell ref="AP470:AT471"/>
    <mergeCell ref="AJ471:AO471"/>
    <mergeCell ref="B472:B473"/>
    <mergeCell ref="C472:D473"/>
    <mergeCell ref="E472:E473"/>
    <mergeCell ref="F472:F473"/>
    <mergeCell ref="G472:G473"/>
    <mergeCell ref="H472:I473"/>
    <mergeCell ref="J472:J473"/>
    <mergeCell ref="K472:K473"/>
    <mergeCell ref="L472:M473"/>
    <mergeCell ref="N472:N473"/>
    <mergeCell ref="O472:O473"/>
    <mergeCell ref="P472:P473"/>
    <mergeCell ref="Q472:R473"/>
    <mergeCell ref="S472:S473"/>
    <mergeCell ref="T472:T473"/>
    <mergeCell ref="U472:U473"/>
    <mergeCell ref="V472:W473"/>
    <mergeCell ref="X472:X473"/>
    <mergeCell ref="Y472:Y473"/>
    <mergeCell ref="Z472:Z473"/>
    <mergeCell ref="AA472:AB473"/>
    <mergeCell ref="AC472:AC473"/>
    <mergeCell ref="AD472:AD473"/>
    <mergeCell ref="AE472:AE473"/>
    <mergeCell ref="AF472:AG473"/>
    <mergeCell ref="AH472:AH473"/>
    <mergeCell ref="AI472:AI473"/>
    <mergeCell ref="AJ472:AO472"/>
    <mergeCell ref="AP472:AT473"/>
    <mergeCell ref="AJ473:AO473"/>
    <mergeCell ref="AQ475:AR475"/>
    <mergeCell ref="AS475:AT475"/>
    <mergeCell ref="B477:C478"/>
    <mergeCell ref="D477:Z478"/>
    <mergeCell ref="B479:C479"/>
    <mergeCell ref="D479:E479"/>
    <mergeCell ref="G479:H479"/>
    <mergeCell ref="J479:K479"/>
    <mergeCell ref="P479:Q479"/>
    <mergeCell ref="R479:S479"/>
    <mergeCell ref="U479:V479"/>
    <mergeCell ref="F481:G482"/>
    <mergeCell ref="H481:K481"/>
    <mergeCell ref="L481:P481"/>
    <mergeCell ref="Q481:U481"/>
    <mergeCell ref="V481:Z481"/>
    <mergeCell ref="AA481:AE481"/>
    <mergeCell ref="AF481:AI481"/>
    <mergeCell ref="AJ481:AO481"/>
    <mergeCell ref="AP481:AT481"/>
    <mergeCell ref="H482:K482"/>
    <mergeCell ref="L482:P482"/>
    <mergeCell ref="Q482:U482"/>
    <mergeCell ref="V482:Z482"/>
    <mergeCell ref="AA482:AE482"/>
    <mergeCell ref="AF482:AI482"/>
    <mergeCell ref="AJ482:AO484"/>
    <mergeCell ref="AP482:AT484"/>
    <mergeCell ref="F483:F484"/>
    <mergeCell ref="G483:G484"/>
    <mergeCell ref="H483:I484"/>
    <mergeCell ref="J483:K483"/>
    <mergeCell ref="L483:M484"/>
    <mergeCell ref="N483:P483"/>
    <mergeCell ref="Q483:R484"/>
    <mergeCell ref="S483:U483"/>
    <mergeCell ref="V483:W484"/>
    <mergeCell ref="X483:Z483"/>
    <mergeCell ref="AA483:AB484"/>
    <mergeCell ref="AC483:AE483"/>
    <mergeCell ref="AF483:AG484"/>
    <mergeCell ref="AH483:AI483"/>
    <mergeCell ref="B485:B486"/>
    <mergeCell ref="C485:D486"/>
    <mergeCell ref="E485:E486"/>
    <mergeCell ref="F485:F486"/>
    <mergeCell ref="G485:G486"/>
    <mergeCell ref="H485:I486"/>
    <mergeCell ref="J485:J486"/>
    <mergeCell ref="K485:K486"/>
    <mergeCell ref="L485:M486"/>
    <mergeCell ref="N485:N486"/>
    <mergeCell ref="O485:O486"/>
    <mergeCell ref="P485:P486"/>
    <mergeCell ref="Q485:R486"/>
    <mergeCell ref="S485:S486"/>
    <mergeCell ref="T485:T486"/>
    <mergeCell ref="U485:U486"/>
    <mergeCell ref="V485:W486"/>
    <mergeCell ref="X485:X486"/>
    <mergeCell ref="Y485:Y486"/>
    <mergeCell ref="Z485:Z486"/>
    <mergeCell ref="AA485:AB486"/>
    <mergeCell ref="AC485:AC486"/>
    <mergeCell ref="AD485:AD486"/>
    <mergeCell ref="AE485:AE486"/>
    <mergeCell ref="AF485:AG486"/>
    <mergeCell ref="AH485:AH486"/>
    <mergeCell ref="AI485:AI486"/>
    <mergeCell ref="B481:B484"/>
    <mergeCell ref="C481:D484"/>
    <mergeCell ref="E481:E484"/>
    <mergeCell ref="AJ485:AO485"/>
    <mergeCell ref="AP485:AT485"/>
    <mergeCell ref="AJ486:AO486"/>
    <mergeCell ref="AP486:AT486"/>
    <mergeCell ref="B487:B488"/>
    <mergeCell ref="C487:D488"/>
    <mergeCell ref="E487:E488"/>
    <mergeCell ref="F487:F488"/>
    <mergeCell ref="G487:G488"/>
    <mergeCell ref="H487:I488"/>
    <mergeCell ref="J487:J488"/>
    <mergeCell ref="K487:K488"/>
    <mergeCell ref="L487:M488"/>
    <mergeCell ref="N487:N488"/>
    <mergeCell ref="O487:O488"/>
    <mergeCell ref="P487:P488"/>
    <mergeCell ref="Q487:R488"/>
    <mergeCell ref="S487:S488"/>
    <mergeCell ref="T487:T488"/>
    <mergeCell ref="U487:U488"/>
    <mergeCell ref="V487:W488"/>
    <mergeCell ref="X487:X488"/>
    <mergeCell ref="Y487:Y488"/>
    <mergeCell ref="Z487:Z488"/>
    <mergeCell ref="AA487:AB488"/>
    <mergeCell ref="AC487:AC488"/>
    <mergeCell ref="AD487:AD488"/>
    <mergeCell ref="AE487:AE488"/>
    <mergeCell ref="AF487:AG488"/>
    <mergeCell ref="AH487:AH488"/>
    <mergeCell ref="AI487:AI488"/>
    <mergeCell ref="AJ487:AO487"/>
    <mergeCell ref="AP487:AT488"/>
    <mergeCell ref="AJ488:AO488"/>
    <mergeCell ref="B489:B490"/>
    <mergeCell ref="C489:D490"/>
    <mergeCell ref="E489:E490"/>
    <mergeCell ref="F489:F490"/>
    <mergeCell ref="G489:G490"/>
    <mergeCell ref="H489:I490"/>
    <mergeCell ref="J489:J490"/>
    <mergeCell ref="K489:K490"/>
    <mergeCell ref="L489:M490"/>
    <mergeCell ref="N489:N490"/>
    <mergeCell ref="O489:O490"/>
    <mergeCell ref="P489:P490"/>
    <mergeCell ref="Q489:R490"/>
    <mergeCell ref="S489:S490"/>
    <mergeCell ref="T489:T490"/>
    <mergeCell ref="U489:U490"/>
    <mergeCell ref="V489:W490"/>
    <mergeCell ref="X489:X490"/>
    <mergeCell ref="Y489:Y490"/>
    <mergeCell ref="Z489:Z490"/>
    <mergeCell ref="AA489:AB490"/>
    <mergeCell ref="AC489:AC490"/>
    <mergeCell ref="AD489:AD490"/>
    <mergeCell ref="AE489:AE490"/>
    <mergeCell ref="AF489:AG490"/>
    <mergeCell ref="AH489:AH490"/>
    <mergeCell ref="AI489:AI490"/>
    <mergeCell ref="AJ489:AO489"/>
    <mergeCell ref="AP489:AT490"/>
    <mergeCell ref="AJ490:AO490"/>
    <mergeCell ref="B491:B492"/>
    <mergeCell ref="C491:D492"/>
    <mergeCell ref="E491:E492"/>
    <mergeCell ref="F491:F492"/>
    <mergeCell ref="G491:G492"/>
    <mergeCell ref="H491:I492"/>
    <mergeCell ref="J491:J492"/>
    <mergeCell ref="K491:K492"/>
    <mergeCell ref="L491:M492"/>
    <mergeCell ref="N491:N492"/>
    <mergeCell ref="O491:O492"/>
    <mergeCell ref="P491:P492"/>
    <mergeCell ref="Q491:R492"/>
    <mergeCell ref="S491:S492"/>
    <mergeCell ref="T491:T492"/>
    <mergeCell ref="U491:U492"/>
    <mergeCell ref="V491:W492"/>
    <mergeCell ref="X491:X492"/>
    <mergeCell ref="Y491:Y492"/>
    <mergeCell ref="Z491:Z492"/>
    <mergeCell ref="AA491:AB492"/>
    <mergeCell ref="AC491:AC492"/>
    <mergeCell ref="AD491:AD492"/>
    <mergeCell ref="AE491:AE492"/>
    <mergeCell ref="AF491:AG492"/>
    <mergeCell ref="AH491:AH492"/>
    <mergeCell ref="AI491:AI492"/>
    <mergeCell ref="AJ491:AO491"/>
    <mergeCell ref="AP491:AT492"/>
    <mergeCell ref="AJ492:AO492"/>
    <mergeCell ref="B493:B494"/>
    <mergeCell ref="C493:D494"/>
    <mergeCell ref="E493:E494"/>
    <mergeCell ref="F493:F494"/>
    <mergeCell ref="G493:G494"/>
    <mergeCell ref="H493:I494"/>
    <mergeCell ref="J493:J494"/>
    <mergeCell ref="K493:K494"/>
    <mergeCell ref="L493:M494"/>
    <mergeCell ref="N493:N494"/>
    <mergeCell ref="O493:O494"/>
    <mergeCell ref="P493:P494"/>
    <mergeCell ref="Q493:R494"/>
    <mergeCell ref="S493:S494"/>
    <mergeCell ref="T493:T494"/>
    <mergeCell ref="U493:U494"/>
    <mergeCell ref="V493:W494"/>
    <mergeCell ref="X493:X494"/>
    <mergeCell ref="Y493:Y494"/>
    <mergeCell ref="Z493:Z494"/>
    <mergeCell ref="AA493:AB494"/>
    <mergeCell ref="AC493:AC494"/>
    <mergeCell ref="AD493:AD494"/>
    <mergeCell ref="AE493:AE494"/>
    <mergeCell ref="AF493:AG494"/>
    <mergeCell ref="AH493:AH494"/>
    <mergeCell ref="AI493:AI494"/>
    <mergeCell ref="AJ493:AO493"/>
    <mergeCell ref="AP493:AT494"/>
    <mergeCell ref="AJ494:AO494"/>
    <mergeCell ref="B495:B496"/>
    <mergeCell ref="C495:D496"/>
    <mergeCell ref="E495:E496"/>
    <mergeCell ref="F495:F496"/>
    <mergeCell ref="G495:G496"/>
    <mergeCell ref="H495:I496"/>
    <mergeCell ref="J495:J496"/>
    <mergeCell ref="K495:K496"/>
    <mergeCell ref="L495:M496"/>
    <mergeCell ref="N495:N496"/>
    <mergeCell ref="O495:O496"/>
    <mergeCell ref="P495:P496"/>
    <mergeCell ref="Q495:R496"/>
    <mergeCell ref="S495:S496"/>
    <mergeCell ref="T495:T496"/>
    <mergeCell ref="U495:U496"/>
    <mergeCell ref="V495:W496"/>
    <mergeCell ref="X495:X496"/>
    <mergeCell ref="Y495:Y496"/>
    <mergeCell ref="Z495:Z496"/>
    <mergeCell ref="AA495:AB496"/>
    <mergeCell ref="AC495:AC496"/>
    <mergeCell ref="AD495:AD496"/>
    <mergeCell ref="AE495:AE496"/>
    <mergeCell ref="AF495:AG496"/>
    <mergeCell ref="AH495:AH496"/>
    <mergeCell ref="AI495:AI496"/>
    <mergeCell ref="AJ495:AO495"/>
    <mergeCell ref="AP495:AT496"/>
    <mergeCell ref="AJ496:AO496"/>
    <mergeCell ref="B497:B498"/>
    <mergeCell ref="C497:D498"/>
    <mergeCell ref="E497:E498"/>
    <mergeCell ref="F497:F498"/>
    <mergeCell ref="G497:G498"/>
    <mergeCell ref="H497:I498"/>
    <mergeCell ref="J497:J498"/>
    <mergeCell ref="K497:K498"/>
    <mergeCell ref="L497:M498"/>
    <mergeCell ref="N497:N498"/>
    <mergeCell ref="O497:O498"/>
    <mergeCell ref="P497:P498"/>
    <mergeCell ref="Q497:R498"/>
    <mergeCell ref="S497:S498"/>
    <mergeCell ref="T497:T498"/>
    <mergeCell ref="U497:U498"/>
    <mergeCell ref="V497:W498"/>
    <mergeCell ref="X497:X498"/>
    <mergeCell ref="Y497:Y498"/>
    <mergeCell ref="Z497:Z498"/>
    <mergeCell ref="AA497:AB498"/>
    <mergeCell ref="AC497:AC498"/>
    <mergeCell ref="AD497:AD498"/>
    <mergeCell ref="AE497:AE498"/>
    <mergeCell ref="AF497:AG498"/>
    <mergeCell ref="AH497:AH498"/>
    <mergeCell ref="AI497:AI498"/>
    <mergeCell ref="AJ497:AO497"/>
    <mergeCell ref="AP497:AT498"/>
    <mergeCell ref="AJ498:AO498"/>
    <mergeCell ref="B499:B500"/>
    <mergeCell ref="C499:D500"/>
    <mergeCell ref="E499:E500"/>
    <mergeCell ref="F499:F500"/>
    <mergeCell ref="G499:G500"/>
    <mergeCell ref="H499:I500"/>
    <mergeCell ref="J499:J500"/>
    <mergeCell ref="K499:K500"/>
    <mergeCell ref="L499:M500"/>
    <mergeCell ref="N499:N500"/>
    <mergeCell ref="O499:O500"/>
    <mergeCell ref="P499:P500"/>
    <mergeCell ref="Q499:R500"/>
    <mergeCell ref="S499:S500"/>
    <mergeCell ref="T499:T500"/>
    <mergeCell ref="U499:U500"/>
    <mergeCell ref="V499:W500"/>
    <mergeCell ref="X499:X500"/>
    <mergeCell ref="Y499:Y500"/>
    <mergeCell ref="Z499:Z500"/>
    <mergeCell ref="AA499:AB500"/>
    <mergeCell ref="AC499:AC500"/>
    <mergeCell ref="AD499:AD500"/>
    <mergeCell ref="AE499:AE500"/>
    <mergeCell ref="AF499:AG500"/>
    <mergeCell ref="AH499:AH500"/>
    <mergeCell ref="AI499:AI500"/>
    <mergeCell ref="AJ499:AO499"/>
    <mergeCell ref="AP499:AT500"/>
    <mergeCell ref="AJ500:AO500"/>
    <mergeCell ref="B501:B502"/>
    <mergeCell ref="C501:D502"/>
    <mergeCell ref="E501:E502"/>
    <mergeCell ref="F501:F502"/>
    <mergeCell ref="G501:G502"/>
    <mergeCell ref="H501:I502"/>
    <mergeCell ref="J501:J502"/>
    <mergeCell ref="K501:K502"/>
    <mergeCell ref="L501:M502"/>
    <mergeCell ref="N501:N502"/>
    <mergeCell ref="O501:O502"/>
    <mergeCell ref="P501:P502"/>
    <mergeCell ref="Q501:R502"/>
    <mergeCell ref="S501:S502"/>
    <mergeCell ref="T501:T502"/>
    <mergeCell ref="U501:U502"/>
    <mergeCell ref="V501:W502"/>
    <mergeCell ref="X501:X502"/>
    <mergeCell ref="Y501:Y502"/>
    <mergeCell ref="Z501:Z502"/>
    <mergeCell ref="AA501:AB502"/>
    <mergeCell ref="AC501:AC502"/>
    <mergeCell ref="AD501:AD502"/>
    <mergeCell ref="AE501:AE502"/>
    <mergeCell ref="AF501:AG502"/>
    <mergeCell ref="AH501:AH502"/>
    <mergeCell ref="AI501:AI502"/>
    <mergeCell ref="AJ501:AO501"/>
    <mergeCell ref="AP501:AT502"/>
    <mergeCell ref="AJ502:AO502"/>
    <mergeCell ref="B503:B504"/>
    <mergeCell ref="C503:D504"/>
    <mergeCell ref="E503:E504"/>
    <mergeCell ref="F503:F504"/>
    <mergeCell ref="G503:G504"/>
    <mergeCell ref="H503:I504"/>
    <mergeCell ref="J503:J504"/>
    <mergeCell ref="K503:K504"/>
    <mergeCell ref="L503:M504"/>
    <mergeCell ref="N503:N504"/>
    <mergeCell ref="O503:O504"/>
    <mergeCell ref="P503:P504"/>
    <mergeCell ref="Q503:R504"/>
    <mergeCell ref="S503:S504"/>
    <mergeCell ref="T503:T504"/>
    <mergeCell ref="U503:U504"/>
    <mergeCell ref="V503:W504"/>
    <mergeCell ref="X503:X504"/>
    <mergeCell ref="Y503:Y504"/>
    <mergeCell ref="Z503:Z504"/>
    <mergeCell ref="AA503:AB504"/>
    <mergeCell ref="AC503:AC504"/>
    <mergeCell ref="AD503:AD504"/>
    <mergeCell ref="AE503:AE504"/>
    <mergeCell ref="AF503:AG504"/>
    <mergeCell ref="AH503:AH504"/>
    <mergeCell ref="AI503:AI504"/>
    <mergeCell ref="AJ503:AO503"/>
    <mergeCell ref="AP503:AT504"/>
    <mergeCell ref="AJ504:AO504"/>
    <mergeCell ref="B505:B506"/>
    <mergeCell ref="C505:D506"/>
    <mergeCell ref="E505:E506"/>
    <mergeCell ref="F505:F506"/>
    <mergeCell ref="G505:G506"/>
    <mergeCell ref="H505:I506"/>
    <mergeCell ref="J505:J506"/>
    <mergeCell ref="K505:K506"/>
    <mergeCell ref="L505:M506"/>
    <mergeCell ref="N505:N506"/>
    <mergeCell ref="O505:O506"/>
    <mergeCell ref="P505:P506"/>
    <mergeCell ref="Q505:R506"/>
    <mergeCell ref="S505:S506"/>
    <mergeCell ref="T505:T506"/>
    <mergeCell ref="U505:U506"/>
    <mergeCell ref="V505:W506"/>
    <mergeCell ref="X505:X506"/>
    <mergeCell ref="Y505:Y506"/>
    <mergeCell ref="Z505:Z506"/>
    <mergeCell ref="AA505:AB506"/>
    <mergeCell ref="AC505:AC506"/>
    <mergeCell ref="AD505:AD506"/>
    <mergeCell ref="AE505:AE506"/>
    <mergeCell ref="AF505:AG506"/>
    <mergeCell ref="AH505:AH506"/>
    <mergeCell ref="AI505:AI506"/>
    <mergeCell ref="AJ505:AO505"/>
    <mergeCell ref="AP505:AT506"/>
    <mergeCell ref="AJ506:AO506"/>
    <mergeCell ref="B507:B508"/>
    <mergeCell ref="C507:D508"/>
    <mergeCell ref="E507:E508"/>
    <mergeCell ref="F507:F508"/>
    <mergeCell ref="G507:G508"/>
    <mergeCell ref="H507:I508"/>
    <mergeCell ref="J507:J508"/>
    <mergeCell ref="K507:K508"/>
    <mergeCell ref="L507:M508"/>
    <mergeCell ref="N507:N508"/>
    <mergeCell ref="O507:O508"/>
    <mergeCell ref="P507:P508"/>
    <mergeCell ref="Q507:R508"/>
    <mergeCell ref="S507:S508"/>
    <mergeCell ref="T507:T508"/>
    <mergeCell ref="U507:U508"/>
    <mergeCell ref="V507:W508"/>
    <mergeCell ref="X507:X508"/>
    <mergeCell ref="Y507:Y508"/>
    <mergeCell ref="Z507:Z508"/>
    <mergeCell ref="AA507:AB508"/>
    <mergeCell ref="AC507:AC508"/>
    <mergeCell ref="AD507:AD508"/>
    <mergeCell ref="AE507:AE508"/>
    <mergeCell ref="AF507:AG508"/>
    <mergeCell ref="AH507:AH508"/>
    <mergeCell ref="AI507:AI508"/>
    <mergeCell ref="AJ507:AO507"/>
    <mergeCell ref="AP507:AT508"/>
    <mergeCell ref="AJ508:AO508"/>
    <mergeCell ref="B509:B510"/>
    <mergeCell ref="C509:D510"/>
    <mergeCell ref="E509:E510"/>
    <mergeCell ref="F509:F510"/>
    <mergeCell ref="G509:G510"/>
    <mergeCell ref="H509:I510"/>
    <mergeCell ref="J509:J510"/>
    <mergeCell ref="K509:K510"/>
    <mergeCell ref="L509:M510"/>
    <mergeCell ref="N509:N510"/>
    <mergeCell ref="O509:O510"/>
    <mergeCell ref="P509:P510"/>
    <mergeCell ref="Q509:R510"/>
    <mergeCell ref="S509:S510"/>
    <mergeCell ref="T509:T510"/>
    <mergeCell ref="U509:U510"/>
    <mergeCell ref="V509:W510"/>
    <mergeCell ref="X509:X510"/>
    <mergeCell ref="Y509:Y510"/>
    <mergeCell ref="Z509:Z510"/>
    <mergeCell ref="AA509:AB510"/>
    <mergeCell ref="AC509:AC510"/>
    <mergeCell ref="AD509:AD510"/>
    <mergeCell ref="AE509:AE510"/>
    <mergeCell ref="AF509:AG510"/>
    <mergeCell ref="AH509:AH510"/>
    <mergeCell ref="AI509:AI510"/>
    <mergeCell ref="AJ509:AO509"/>
    <mergeCell ref="AP509:AT510"/>
    <mergeCell ref="AJ510:AO510"/>
    <mergeCell ref="B511:B512"/>
    <mergeCell ref="C511:D512"/>
    <mergeCell ref="E511:E512"/>
    <mergeCell ref="F511:F512"/>
    <mergeCell ref="G511:G512"/>
    <mergeCell ref="H511:I512"/>
    <mergeCell ref="J511:J512"/>
    <mergeCell ref="K511:K512"/>
    <mergeCell ref="L511:M512"/>
    <mergeCell ref="N511:N512"/>
    <mergeCell ref="O511:O512"/>
    <mergeCell ref="P511:P512"/>
    <mergeCell ref="Q511:R512"/>
    <mergeCell ref="S511:S512"/>
    <mergeCell ref="T511:T512"/>
    <mergeCell ref="U511:U512"/>
    <mergeCell ref="V511:W512"/>
    <mergeCell ref="X511:X512"/>
    <mergeCell ref="Y511:Y512"/>
    <mergeCell ref="Z511:Z512"/>
    <mergeCell ref="AA511:AB512"/>
    <mergeCell ref="AC511:AC512"/>
    <mergeCell ref="AD511:AD512"/>
    <mergeCell ref="AE511:AE512"/>
    <mergeCell ref="AF511:AG512"/>
    <mergeCell ref="AH511:AH512"/>
    <mergeCell ref="AI511:AI512"/>
    <mergeCell ref="AJ511:AO511"/>
    <mergeCell ref="AP511:AT512"/>
    <mergeCell ref="AJ512:AO512"/>
    <mergeCell ref="B513:B514"/>
    <mergeCell ref="C513:D514"/>
    <mergeCell ref="E513:E514"/>
    <mergeCell ref="F513:F514"/>
    <mergeCell ref="G513:G514"/>
    <mergeCell ref="H513:I514"/>
    <mergeCell ref="J513:J514"/>
    <mergeCell ref="K513:K514"/>
    <mergeCell ref="L513:M514"/>
    <mergeCell ref="N513:N514"/>
    <mergeCell ref="O513:O514"/>
    <mergeCell ref="P513:P514"/>
    <mergeCell ref="Q513:R514"/>
    <mergeCell ref="S513:S514"/>
    <mergeCell ref="T513:T514"/>
    <mergeCell ref="U513:U514"/>
    <mergeCell ref="V513:W514"/>
    <mergeCell ref="X513:X514"/>
    <mergeCell ref="Y513:Y514"/>
    <mergeCell ref="Z513:Z514"/>
    <mergeCell ref="AA513:AB514"/>
    <mergeCell ref="AC513:AC514"/>
    <mergeCell ref="AD513:AD514"/>
    <mergeCell ref="AE513:AE514"/>
    <mergeCell ref="AF513:AG514"/>
    <mergeCell ref="AH513:AH514"/>
    <mergeCell ref="AI513:AI514"/>
    <mergeCell ref="AJ513:AO513"/>
    <mergeCell ref="AP513:AT514"/>
    <mergeCell ref="AJ514:AO514"/>
    <mergeCell ref="B515:B516"/>
    <mergeCell ref="C515:D516"/>
    <mergeCell ref="E515:E516"/>
    <mergeCell ref="F515:F516"/>
    <mergeCell ref="G515:G516"/>
    <mergeCell ref="H515:I516"/>
    <mergeCell ref="J515:J516"/>
    <mergeCell ref="K515:K516"/>
    <mergeCell ref="L515:M516"/>
    <mergeCell ref="N515:N516"/>
    <mergeCell ref="O515:O516"/>
    <mergeCell ref="P515:P516"/>
    <mergeCell ref="Q515:R516"/>
    <mergeCell ref="S515:S516"/>
    <mergeCell ref="T515:T516"/>
    <mergeCell ref="U515:U516"/>
    <mergeCell ref="V515:W516"/>
    <mergeCell ref="X515:X516"/>
    <mergeCell ref="Y515:Y516"/>
    <mergeCell ref="Z515:Z516"/>
    <mergeCell ref="AA515:AB516"/>
    <mergeCell ref="AC515:AC516"/>
    <mergeCell ref="AD515:AD516"/>
    <mergeCell ref="AE515:AE516"/>
    <mergeCell ref="AF515:AG516"/>
    <mergeCell ref="AH515:AH516"/>
    <mergeCell ref="AI515:AI516"/>
    <mergeCell ref="AJ515:AO515"/>
    <mergeCell ref="AP515:AT516"/>
    <mergeCell ref="AJ516:AO516"/>
    <mergeCell ref="AQ518:AR518"/>
    <mergeCell ref="AS518:AT518"/>
    <mergeCell ref="B520:C521"/>
    <mergeCell ref="D520:Z521"/>
    <mergeCell ref="B522:C522"/>
    <mergeCell ref="D522:E522"/>
    <mergeCell ref="G522:H522"/>
    <mergeCell ref="J522:K522"/>
    <mergeCell ref="P522:Q522"/>
    <mergeCell ref="R522:S522"/>
    <mergeCell ref="U522:V522"/>
    <mergeCell ref="F524:G525"/>
    <mergeCell ref="H524:K524"/>
    <mergeCell ref="L524:P524"/>
    <mergeCell ref="Q524:U524"/>
    <mergeCell ref="V524:Z524"/>
    <mergeCell ref="AA524:AE524"/>
    <mergeCell ref="AF524:AI524"/>
    <mergeCell ref="AJ524:AO524"/>
    <mergeCell ref="AP524:AT524"/>
    <mergeCell ref="H525:K525"/>
    <mergeCell ref="L525:P525"/>
    <mergeCell ref="Q525:U525"/>
    <mergeCell ref="V525:Z525"/>
    <mergeCell ref="AA525:AE525"/>
    <mergeCell ref="AF525:AI525"/>
    <mergeCell ref="AJ525:AO527"/>
    <mergeCell ref="AP525:AT527"/>
    <mergeCell ref="F526:F527"/>
    <mergeCell ref="G526:G527"/>
    <mergeCell ref="H526:I527"/>
    <mergeCell ref="J526:K526"/>
    <mergeCell ref="L526:M527"/>
    <mergeCell ref="N526:P526"/>
    <mergeCell ref="Q526:R527"/>
    <mergeCell ref="S526:U526"/>
    <mergeCell ref="V526:W527"/>
    <mergeCell ref="X526:Z526"/>
    <mergeCell ref="AA526:AB527"/>
    <mergeCell ref="AC526:AE526"/>
    <mergeCell ref="AF526:AG527"/>
    <mergeCell ref="AH526:AI526"/>
    <mergeCell ref="B528:B529"/>
    <mergeCell ref="C528:D529"/>
    <mergeCell ref="E528:E529"/>
    <mergeCell ref="F528:F529"/>
    <mergeCell ref="G528:G529"/>
    <mergeCell ref="H528:I529"/>
    <mergeCell ref="J528:J529"/>
    <mergeCell ref="K528:K529"/>
    <mergeCell ref="L528:M529"/>
    <mergeCell ref="N528:N529"/>
    <mergeCell ref="O528:O529"/>
    <mergeCell ref="P528:P529"/>
    <mergeCell ref="Q528:R529"/>
    <mergeCell ref="S528:S529"/>
    <mergeCell ref="T528:T529"/>
    <mergeCell ref="U528:U529"/>
    <mergeCell ref="V528:W529"/>
    <mergeCell ref="X528:X529"/>
    <mergeCell ref="Y528:Y529"/>
    <mergeCell ref="Z528:Z529"/>
    <mergeCell ref="AA528:AB529"/>
    <mergeCell ref="AC528:AC529"/>
    <mergeCell ref="AD528:AD529"/>
    <mergeCell ref="AE528:AE529"/>
    <mergeCell ref="AF528:AG529"/>
    <mergeCell ref="AH528:AH529"/>
    <mergeCell ref="AI528:AI529"/>
    <mergeCell ref="B524:B527"/>
    <mergeCell ref="C524:D527"/>
    <mergeCell ref="E524:E527"/>
    <mergeCell ref="AJ528:AO528"/>
    <mergeCell ref="AP528:AT528"/>
    <mergeCell ref="AJ529:AO529"/>
    <mergeCell ref="AP529:AT529"/>
    <mergeCell ref="B530:B531"/>
    <mergeCell ref="C530:D531"/>
    <mergeCell ref="E530:E531"/>
    <mergeCell ref="F530:F531"/>
    <mergeCell ref="G530:G531"/>
    <mergeCell ref="H530:I531"/>
    <mergeCell ref="J530:J531"/>
    <mergeCell ref="K530:K531"/>
    <mergeCell ref="L530:M531"/>
    <mergeCell ref="N530:N531"/>
    <mergeCell ref="O530:O531"/>
    <mergeCell ref="P530:P531"/>
    <mergeCell ref="Q530:R531"/>
    <mergeCell ref="S530:S531"/>
    <mergeCell ref="T530:T531"/>
    <mergeCell ref="U530:U531"/>
    <mergeCell ref="V530:W531"/>
    <mergeCell ref="X530:X531"/>
    <mergeCell ref="Y530:Y531"/>
    <mergeCell ref="Z530:Z531"/>
    <mergeCell ref="AA530:AB531"/>
    <mergeCell ref="AC530:AC531"/>
    <mergeCell ref="AD530:AD531"/>
    <mergeCell ref="AE530:AE531"/>
    <mergeCell ref="AF530:AG531"/>
    <mergeCell ref="AH530:AH531"/>
    <mergeCell ref="AI530:AI531"/>
    <mergeCell ref="AJ530:AO530"/>
    <mergeCell ref="AP530:AT531"/>
    <mergeCell ref="AJ531:AO531"/>
    <mergeCell ref="B532:B533"/>
    <mergeCell ref="C532:D533"/>
    <mergeCell ref="E532:E533"/>
    <mergeCell ref="F532:F533"/>
    <mergeCell ref="G532:G533"/>
    <mergeCell ref="H532:I533"/>
    <mergeCell ref="J532:J533"/>
    <mergeCell ref="K532:K533"/>
    <mergeCell ref="L532:M533"/>
    <mergeCell ref="N532:N533"/>
    <mergeCell ref="O532:O533"/>
    <mergeCell ref="P532:P533"/>
    <mergeCell ref="Q532:R533"/>
    <mergeCell ref="S532:S533"/>
    <mergeCell ref="T532:T533"/>
    <mergeCell ref="U532:U533"/>
    <mergeCell ref="V532:W533"/>
    <mergeCell ref="X532:X533"/>
    <mergeCell ref="Y532:Y533"/>
    <mergeCell ref="Z532:Z533"/>
    <mergeCell ref="AA532:AB533"/>
    <mergeCell ref="AC532:AC533"/>
    <mergeCell ref="AD532:AD533"/>
    <mergeCell ref="AE532:AE533"/>
    <mergeCell ref="AF532:AG533"/>
    <mergeCell ref="AH532:AH533"/>
    <mergeCell ref="AI532:AI533"/>
    <mergeCell ref="AJ532:AO532"/>
    <mergeCell ref="AP532:AT533"/>
    <mergeCell ref="AJ533:AO533"/>
    <mergeCell ref="B534:B535"/>
    <mergeCell ref="C534:D535"/>
    <mergeCell ref="E534:E535"/>
    <mergeCell ref="F534:F535"/>
    <mergeCell ref="G534:G535"/>
    <mergeCell ref="H534:I535"/>
    <mergeCell ref="J534:J535"/>
    <mergeCell ref="K534:K535"/>
    <mergeCell ref="L534:M535"/>
    <mergeCell ref="N534:N535"/>
    <mergeCell ref="O534:O535"/>
    <mergeCell ref="P534:P535"/>
    <mergeCell ref="Q534:R535"/>
    <mergeCell ref="S534:S535"/>
    <mergeCell ref="T534:T535"/>
    <mergeCell ref="U534:U535"/>
    <mergeCell ref="V534:W535"/>
    <mergeCell ref="X534:X535"/>
    <mergeCell ref="Y534:Y535"/>
    <mergeCell ref="Z534:Z535"/>
    <mergeCell ref="AA534:AB535"/>
    <mergeCell ref="AC534:AC535"/>
    <mergeCell ref="AD534:AD535"/>
    <mergeCell ref="AE534:AE535"/>
    <mergeCell ref="AF534:AG535"/>
    <mergeCell ref="AH534:AH535"/>
    <mergeCell ref="AI534:AI535"/>
    <mergeCell ref="AJ534:AO534"/>
    <mergeCell ref="AP534:AT535"/>
    <mergeCell ref="AJ535:AO535"/>
    <mergeCell ref="B536:B537"/>
    <mergeCell ref="C536:D537"/>
    <mergeCell ref="E536:E537"/>
    <mergeCell ref="F536:F537"/>
    <mergeCell ref="G536:G537"/>
    <mergeCell ref="H536:I537"/>
    <mergeCell ref="J536:J537"/>
    <mergeCell ref="K536:K537"/>
    <mergeCell ref="L536:M537"/>
    <mergeCell ref="N536:N537"/>
    <mergeCell ref="O536:O537"/>
    <mergeCell ref="P536:P537"/>
    <mergeCell ref="Q536:R537"/>
    <mergeCell ref="S536:S537"/>
    <mergeCell ref="T536:T537"/>
    <mergeCell ref="U536:U537"/>
    <mergeCell ref="V536:W537"/>
    <mergeCell ref="X536:X537"/>
    <mergeCell ref="Y536:Y537"/>
    <mergeCell ref="Z536:Z537"/>
    <mergeCell ref="AA536:AB537"/>
    <mergeCell ref="AC536:AC537"/>
    <mergeCell ref="AD536:AD537"/>
    <mergeCell ref="AE536:AE537"/>
    <mergeCell ref="AF536:AG537"/>
    <mergeCell ref="AH536:AH537"/>
    <mergeCell ref="AI536:AI537"/>
    <mergeCell ref="AJ536:AO536"/>
    <mergeCell ref="AP536:AT537"/>
    <mergeCell ref="AJ537:AO537"/>
    <mergeCell ref="B538:B539"/>
    <mergeCell ref="C538:D539"/>
    <mergeCell ref="E538:E539"/>
    <mergeCell ref="F538:F539"/>
    <mergeCell ref="G538:G539"/>
    <mergeCell ref="H538:I539"/>
    <mergeCell ref="J538:J539"/>
    <mergeCell ref="K538:K539"/>
    <mergeCell ref="L538:M539"/>
    <mergeCell ref="N538:N539"/>
    <mergeCell ref="O538:O539"/>
    <mergeCell ref="P538:P539"/>
    <mergeCell ref="Q538:R539"/>
    <mergeCell ref="S538:S539"/>
    <mergeCell ref="T538:T539"/>
    <mergeCell ref="U538:U539"/>
    <mergeCell ref="V538:W539"/>
    <mergeCell ref="X538:X539"/>
    <mergeCell ref="Y538:Y539"/>
    <mergeCell ref="Z538:Z539"/>
    <mergeCell ref="AA538:AB539"/>
    <mergeCell ref="AC538:AC539"/>
    <mergeCell ref="AD538:AD539"/>
    <mergeCell ref="AE538:AE539"/>
    <mergeCell ref="AF538:AG539"/>
    <mergeCell ref="AH538:AH539"/>
    <mergeCell ref="AI538:AI539"/>
    <mergeCell ref="AJ538:AO538"/>
    <mergeCell ref="AP538:AT539"/>
    <mergeCell ref="AJ539:AO539"/>
    <mergeCell ref="B540:B541"/>
    <mergeCell ref="C540:D541"/>
    <mergeCell ref="E540:E541"/>
    <mergeCell ref="F540:F541"/>
    <mergeCell ref="G540:G541"/>
    <mergeCell ref="H540:I541"/>
    <mergeCell ref="J540:J541"/>
    <mergeCell ref="K540:K541"/>
    <mergeCell ref="L540:M541"/>
    <mergeCell ref="N540:N541"/>
    <mergeCell ref="O540:O541"/>
    <mergeCell ref="P540:P541"/>
    <mergeCell ref="Q540:R541"/>
    <mergeCell ref="S540:S541"/>
    <mergeCell ref="T540:T541"/>
    <mergeCell ref="U540:U541"/>
    <mergeCell ref="V540:W541"/>
    <mergeCell ref="X540:X541"/>
    <mergeCell ref="Y540:Y541"/>
    <mergeCell ref="Z540:Z541"/>
    <mergeCell ref="AA540:AB541"/>
    <mergeCell ref="AC540:AC541"/>
    <mergeCell ref="AD540:AD541"/>
    <mergeCell ref="AE540:AE541"/>
    <mergeCell ref="AF540:AG541"/>
    <mergeCell ref="AH540:AH541"/>
    <mergeCell ref="AI540:AI541"/>
    <mergeCell ref="AJ540:AO540"/>
    <mergeCell ref="AP540:AT541"/>
    <mergeCell ref="AJ541:AO541"/>
    <mergeCell ref="B542:B543"/>
    <mergeCell ref="C542:D543"/>
    <mergeCell ref="E542:E543"/>
    <mergeCell ref="F542:F543"/>
    <mergeCell ref="G542:G543"/>
    <mergeCell ref="H542:I543"/>
    <mergeCell ref="J542:J543"/>
    <mergeCell ref="K542:K543"/>
    <mergeCell ref="L542:M543"/>
    <mergeCell ref="N542:N543"/>
    <mergeCell ref="O542:O543"/>
    <mergeCell ref="P542:P543"/>
    <mergeCell ref="Q542:R543"/>
    <mergeCell ref="S542:S543"/>
    <mergeCell ref="T542:T543"/>
    <mergeCell ref="U542:U543"/>
    <mergeCell ref="V542:W543"/>
    <mergeCell ref="X542:X543"/>
    <mergeCell ref="Y542:Y543"/>
    <mergeCell ref="Z542:Z543"/>
    <mergeCell ref="AA542:AB543"/>
    <mergeCell ref="AC542:AC543"/>
    <mergeCell ref="AD542:AD543"/>
    <mergeCell ref="AE542:AE543"/>
    <mergeCell ref="AF542:AG543"/>
    <mergeCell ref="AH542:AH543"/>
    <mergeCell ref="AI542:AI543"/>
    <mergeCell ref="AJ542:AO542"/>
    <mergeCell ref="AP542:AT543"/>
    <mergeCell ref="AJ543:AO543"/>
    <mergeCell ref="B544:B545"/>
    <mergeCell ref="C544:D545"/>
    <mergeCell ref="E544:E545"/>
    <mergeCell ref="F544:F545"/>
    <mergeCell ref="G544:G545"/>
    <mergeCell ref="H544:I545"/>
    <mergeCell ref="J544:J545"/>
    <mergeCell ref="K544:K545"/>
    <mergeCell ref="L544:M545"/>
    <mergeCell ref="N544:N545"/>
    <mergeCell ref="O544:O545"/>
    <mergeCell ref="P544:P545"/>
    <mergeCell ref="Q544:R545"/>
    <mergeCell ref="S544:S545"/>
    <mergeCell ref="T544:T545"/>
    <mergeCell ref="U544:U545"/>
    <mergeCell ref="V544:W545"/>
    <mergeCell ref="X544:X545"/>
    <mergeCell ref="Y544:Y545"/>
    <mergeCell ref="Z544:Z545"/>
    <mergeCell ref="AA544:AB545"/>
    <mergeCell ref="AC544:AC545"/>
    <mergeCell ref="AD544:AD545"/>
    <mergeCell ref="AE544:AE545"/>
    <mergeCell ref="AF544:AG545"/>
    <mergeCell ref="AH544:AH545"/>
    <mergeCell ref="AI544:AI545"/>
    <mergeCell ref="AJ544:AO544"/>
    <mergeCell ref="AP544:AT545"/>
    <mergeCell ref="AJ545:AO545"/>
    <mergeCell ref="B546:B547"/>
    <mergeCell ref="C546:D547"/>
    <mergeCell ref="E546:E547"/>
    <mergeCell ref="F546:F547"/>
    <mergeCell ref="G546:G547"/>
    <mergeCell ref="H546:I547"/>
    <mergeCell ref="J546:J547"/>
    <mergeCell ref="K546:K547"/>
    <mergeCell ref="L546:M547"/>
    <mergeCell ref="N546:N547"/>
    <mergeCell ref="O546:O547"/>
    <mergeCell ref="P546:P547"/>
    <mergeCell ref="Q546:R547"/>
    <mergeCell ref="S546:S547"/>
    <mergeCell ref="T546:T547"/>
    <mergeCell ref="U546:U547"/>
    <mergeCell ref="V546:W547"/>
    <mergeCell ref="X546:X547"/>
    <mergeCell ref="Y546:Y547"/>
    <mergeCell ref="Z546:Z547"/>
    <mergeCell ref="AA546:AB547"/>
    <mergeCell ref="AC546:AC547"/>
    <mergeCell ref="AD546:AD547"/>
    <mergeCell ref="AE546:AE547"/>
    <mergeCell ref="AF546:AG547"/>
    <mergeCell ref="AH546:AH547"/>
    <mergeCell ref="AI546:AI547"/>
    <mergeCell ref="AJ546:AO546"/>
    <mergeCell ref="AP546:AT547"/>
    <mergeCell ref="AJ547:AO547"/>
    <mergeCell ref="AC548:AC549"/>
    <mergeCell ref="AD548:AD549"/>
    <mergeCell ref="AE548:AE549"/>
    <mergeCell ref="AF548:AG549"/>
    <mergeCell ref="AH548:AH549"/>
    <mergeCell ref="AI548:AI549"/>
    <mergeCell ref="AJ548:AO548"/>
    <mergeCell ref="AP548:AT549"/>
    <mergeCell ref="AJ549:AO549"/>
    <mergeCell ref="B550:B551"/>
    <mergeCell ref="C550:D551"/>
    <mergeCell ref="E550:E551"/>
    <mergeCell ref="F550:F551"/>
    <mergeCell ref="G550:G551"/>
    <mergeCell ref="H550:I551"/>
    <mergeCell ref="J550:J551"/>
    <mergeCell ref="K550:K551"/>
    <mergeCell ref="L550:M551"/>
    <mergeCell ref="N550:N551"/>
    <mergeCell ref="O550:O551"/>
    <mergeCell ref="P550:P551"/>
    <mergeCell ref="Q550:R551"/>
    <mergeCell ref="S550:S551"/>
    <mergeCell ref="T550:T551"/>
    <mergeCell ref="U550:U551"/>
    <mergeCell ref="V550:W551"/>
    <mergeCell ref="X550:X551"/>
    <mergeCell ref="Y550:Y551"/>
    <mergeCell ref="B548:B549"/>
    <mergeCell ref="C548:D549"/>
    <mergeCell ref="E548:E549"/>
    <mergeCell ref="F548:F549"/>
    <mergeCell ref="G552:G553"/>
    <mergeCell ref="H552:I553"/>
    <mergeCell ref="J552:J553"/>
    <mergeCell ref="K552:K553"/>
    <mergeCell ref="L552:M553"/>
    <mergeCell ref="N552:N553"/>
    <mergeCell ref="O552:O553"/>
    <mergeCell ref="P552:P553"/>
    <mergeCell ref="Q552:R553"/>
    <mergeCell ref="S552:S553"/>
    <mergeCell ref="T552:T553"/>
    <mergeCell ref="U552:U553"/>
    <mergeCell ref="V552:W553"/>
    <mergeCell ref="X548:X549"/>
    <mergeCell ref="Y548:Y549"/>
    <mergeCell ref="Z548:Z549"/>
    <mergeCell ref="AA548:AB549"/>
    <mergeCell ref="G548:G549"/>
    <mergeCell ref="H548:I549"/>
    <mergeCell ref="J548:J549"/>
    <mergeCell ref="K548:K549"/>
    <mergeCell ref="L548:M549"/>
    <mergeCell ref="N548:N549"/>
    <mergeCell ref="O548:O549"/>
    <mergeCell ref="P548:P549"/>
    <mergeCell ref="Q548:R549"/>
    <mergeCell ref="S548:S549"/>
    <mergeCell ref="T548:T549"/>
    <mergeCell ref="U548:U549"/>
    <mergeCell ref="V548:W549"/>
    <mergeCell ref="Z550:Z551"/>
    <mergeCell ref="AA550:AB551"/>
    <mergeCell ref="AC550:AC551"/>
    <mergeCell ref="AD550:AD551"/>
    <mergeCell ref="AE550:AE551"/>
    <mergeCell ref="AF550:AG551"/>
    <mergeCell ref="AH550:AH551"/>
    <mergeCell ref="AI550:AI551"/>
    <mergeCell ref="AJ550:AO550"/>
    <mergeCell ref="AP550:AT551"/>
    <mergeCell ref="AJ551:AO551"/>
    <mergeCell ref="X552:X553"/>
    <mergeCell ref="Y552:Y553"/>
    <mergeCell ref="Z552:Z553"/>
    <mergeCell ref="AA552:AB553"/>
    <mergeCell ref="AD554:AD555"/>
    <mergeCell ref="AE554:AE555"/>
    <mergeCell ref="AF554:AG555"/>
    <mergeCell ref="AH554:AH555"/>
    <mergeCell ref="AP556:AT557"/>
    <mergeCell ref="AJ552:AO552"/>
    <mergeCell ref="AP552:AT553"/>
    <mergeCell ref="AJ553:AO553"/>
    <mergeCell ref="B554:B555"/>
    <mergeCell ref="C554:D555"/>
    <mergeCell ref="E554:E555"/>
    <mergeCell ref="F554:F555"/>
    <mergeCell ref="G554:G555"/>
    <mergeCell ref="H554:I555"/>
    <mergeCell ref="J554:J555"/>
    <mergeCell ref="K554:K555"/>
    <mergeCell ref="L554:M555"/>
    <mergeCell ref="N554:N555"/>
    <mergeCell ref="O554:O555"/>
    <mergeCell ref="P554:P555"/>
    <mergeCell ref="Q554:R555"/>
    <mergeCell ref="S554:S555"/>
    <mergeCell ref="T554:T555"/>
    <mergeCell ref="U554:U555"/>
    <mergeCell ref="V554:W555"/>
    <mergeCell ref="X554:X555"/>
    <mergeCell ref="AI554:AI555"/>
    <mergeCell ref="AJ554:AO554"/>
    <mergeCell ref="Y556:Y557"/>
    <mergeCell ref="Z556:Z557"/>
    <mergeCell ref="AF556:AG557"/>
    <mergeCell ref="AH556:AH557"/>
    <mergeCell ref="B552:B553"/>
    <mergeCell ref="C552:D553"/>
    <mergeCell ref="E552:E553"/>
    <mergeCell ref="F552:F553"/>
    <mergeCell ref="X556:X557"/>
    <mergeCell ref="AI556:AI557"/>
    <mergeCell ref="AJ556:AO556"/>
    <mergeCell ref="Y558:Y559"/>
    <mergeCell ref="Z558:Z559"/>
    <mergeCell ref="AA556:AB557"/>
    <mergeCell ref="AC556:AC557"/>
    <mergeCell ref="AD556:AD557"/>
    <mergeCell ref="AE556:AE557"/>
    <mergeCell ref="AA558:AB559"/>
    <mergeCell ref="AC558:AC559"/>
    <mergeCell ref="AD558:AD559"/>
    <mergeCell ref="AE558:AE559"/>
    <mergeCell ref="AF558:AG559"/>
    <mergeCell ref="AH558:AH559"/>
    <mergeCell ref="AC552:AC553"/>
    <mergeCell ref="AD552:AD553"/>
    <mergeCell ref="AE552:AE553"/>
    <mergeCell ref="AF552:AG553"/>
    <mergeCell ref="AH552:AH553"/>
    <mergeCell ref="AI552:AI553"/>
    <mergeCell ref="B556:B557"/>
    <mergeCell ref="C556:D557"/>
    <mergeCell ref="E556:E557"/>
    <mergeCell ref="F556:F557"/>
    <mergeCell ref="G556:G557"/>
    <mergeCell ref="H556:I557"/>
    <mergeCell ref="J556:J557"/>
    <mergeCell ref="K556:K557"/>
    <mergeCell ref="L556:M557"/>
    <mergeCell ref="N556:N557"/>
    <mergeCell ref="O556:O557"/>
    <mergeCell ref="P556:P557"/>
    <mergeCell ref="Q556:R557"/>
    <mergeCell ref="S556:S557"/>
    <mergeCell ref="T556:T557"/>
    <mergeCell ref="U556:U557"/>
    <mergeCell ref="V556:W557"/>
    <mergeCell ref="AF5:AG5"/>
    <mergeCell ref="AB5:AE5"/>
    <mergeCell ref="AB6:AE6"/>
    <mergeCell ref="AP558:AT559"/>
    <mergeCell ref="AJ559:AO559"/>
    <mergeCell ref="AJ557:AO557"/>
    <mergeCell ref="B558:B559"/>
    <mergeCell ref="C558:D559"/>
    <mergeCell ref="E558:E559"/>
    <mergeCell ref="F558:F559"/>
    <mergeCell ref="G558:G559"/>
    <mergeCell ref="H558:I559"/>
    <mergeCell ref="J558:J559"/>
    <mergeCell ref="K558:K559"/>
    <mergeCell ref="L558:M559"/>
    <mergeCell ref="N558:N559"/>
    <mergeCell ref="O558:O559"/>
    <mergeCell ref="P558:P559"/>
    <mergeCell ref="Q558:R559"/>
    <mergeCell ref="S558:S559"/>
    <mergeCell ref="T558:T559"/>
    <mergeCell ref="U558:U559"/>
    <mergeCell ref="Y554:Y555"/>
    <mergeCell ref="Z554:Z555"/>
    <mergeCell ref="AA554:AB555"/>
    <mergeCell ref="AC554:AC555"/>
    <mergeCell ref="V558:W559"/>
    <mergeCell ref="X558:X559"/>
    <mergeCell ref="AI558:AI559"/>
    <mergeCell ref="AJ558:AO558"/>
    <mergeCell ref="AP554:AT555"/>
    <mergeCell ref="AJ555:AO555"/>
  </mergeCells>
  <phoneticPr fontId="60"/>
  <dataValidations count="1">
    <dataValidation type="list" allowBlank="1" showInputMessage="1" showErrorMessage="1" sqref="AU35 AU15 AU37 AU25 AU27 AU23 AU21 AU31 AU19 AU39 AU41 AU29 AU33 AU17 AU13 AU43:AU44 AU78 AU58 AU80 AU68 AU70 AU66 AU64 AU74 AU62 AU82 AU84 AU72 AU76 AU60 AU56 AU86:AU87 AU121 AU101 AU123 AU111 AU113 AU109 AU107 AU117 AU105 AU125 AU127 AU115 AU119 AU103 AU99 AU129:AU130 AU164 AU144 AU166 AU154 AU156 AU152 AU150 AU160 AU148 AU168 AU170 AU158 AU162 AU146 AU142 AU172:AU173 AU207 AU187 AU209 AU197 AU199 AU195 AU193 AU203 AU191 AU211 AU213 AU201 AU205 AU189 AU185 AU215:AU216 AU250 AU230 AU252 AU240 AU242 AU238 AU236 AU246 AU234 AU254 AU256 AU244 AU248 AU232 AU228 AU258:AU259 AU293 AU273 AU295 AU283 AU285 AU281 AU279 AU289 AU277 AU297 AU299 AU287 AU291 AU275 AU271 AU301:AU302 AU336 AU316 AU338 AU326 AU328 AU324 AU322 AU332 AU320 AU340 AU342 AU330 AU334 AU318 AU314 AU344:AU345 AU379 AU359 AU381 AU369 AU371 AU367 AU365 AU375 AU363 AU383 AU385 AU373 AU377 AU361 AU357 AU387:AU388 AU422 AU402 AU424 AU412 AU414 AU410 AU408 AU418 AU406 AU426 AU428 AU416 AU420 AU404 AU400 AU430:AU431 AU465 AU445 AU467 AU455 AU457 AU453 AU451 AU461 AU449 AU469 AU471 AU459 AU463 AU447 AU443 AU473:AU474 AU508 AU488 AU510 AU498 AU500 AU496 AU494 AU504 AU492 AU512 AU514 AU502 AU506 AU490 AU486 AU516:AU517 AU551 AU531 AU553 AU541 AU543 AU539 AU537 AU547 AU535 AU555 AU557 AU545 AU549 AU533 AU529 AU559:AU560" xr:uid="{00000000-0002-0000-0B00-000000000000}">
      <formula1>#REF!</formula1>
    </dataValidation>
  </dataValidations>
  <pageMargins left="0.39370078740157483" right="0.39370078740157483" top="0.39370078740157483" bottom="0" header="0" footer="0"/>
  <pageSetup paperSize="9" scale="86" orientation="landscape" r:id="rId1"/>
  <headerFooter differentFirst="1" scaleWithDoc="0">
    <oddFooter>&amp;R&amp;14⑤</oddFooter>
    <firstFooter>&amp;L&amp;G&amp;R&amp;14⑤</first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FFA7A7"/>
  </sheetPr>
  <dimension ref="A1:BC47"/>
  <sheetViews>
    <sheetView view="pageBreakPreview" zoomScale="90" zoomScaleNormal="100" zoomScaleSheetLayoutView="90" workbookViewId="0">
      <selection activeCell="P4" sqref="P4:AA10"/>
    </sheetView>
  </sheetViews>
  <sheetFormatPr defaultColWidth="2.5" defaultRowHeight="13.5" x14ac:dyDescent="0.15"/>
  <cols>
    <col min="1" max="1" width="1.25" style="22" customWidth="1"/>
    <col min="2" max="13" width="3.625" style="22" customWidth="1"/>
    <col min="14" max="15" width="1.25" style="22" customWidth="1"/>
    <col min="16" max="27" width="3.625" style="22" customWidth="1"/>
    <col min="28" max="28" width="1.25" style="22" customWidth="1"/>
    <col min="29" max="40" width="3.25" style="22" customWidth="1"/>
    <col min="41" max="42" width="2.5" style="22" customWidth="1"/>
    <col min="43" max="55" width="3.25" style="22" customWidth="1"/>
    <col min="56" max="16384" width="2.5" style="22"/>
  </cols>
  <sheetData>
    <row r="1" spans="1:55" ht="37.5" customHeight="1" x14ac:dyDescent="0.15">
      <c r="A1" s="395" t="s">
        <v>360</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row>
    <row r="2" spans="1:55" ht="11.25" customHeight="1" x14ac:dyDescent="0.15">
      <c r="A2" s="1116"/>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row>
    <row r="3" spans="1:55" ht="7.5" customHeight="1" thickBot="1" x14ac:dyDescent="0.2">
      <c r="A3" s="1117"/>
      <c r="B3" s="1118"/>
      <c r="C3" s="1118"/>
      <c r="D3" s="1118"/>
      <c r="E3" s="1118"/>
      <c r="F3" s="1118"/>
      <c r="G3" s="1118"/>
      <c r="H3" s="1118"/>
      <c r="I3" s="1118"/>
      <c r="J3" s="1118"/>
      <c r="K3" s="1118"/>
      <c r="L3" s="1118"/>
      <c r="M3" s="1118"/>
      <c r="N3" s="1119"/>
      <c r="O3" s="1118"/>
      <c r="P3" s="1118"/>
      <c r="Q3" s="1118"/>
      <c r="R3" s="1118"/>
      <c r="S3" s="1118"/>
      <c r="T3" s="1118"/>
      <c r="U3" s="1118"/>
      <c r="V3" s="1118"/>
      <c r="W3" s="1118"/>
      <c r="X3" s="1118"/>
      <c r="Y3" s="1118"/>
      <c r="Z3" s="1118"/>
      <c r="AA3" s="1118"/>
      <c r="AB3" s="1119"/>
    </row>
    <row r="4" spans="1:55" s="390" customFormat="1" ht="19.5" customHeight="1" x14ac:dyDescent="0.15">
      <c r="A4" s="1120"/>
      <c r="B4" s="3280">
        <f>入力ページ!F11</f>
        <v>0</v>
      </c>
      <c r="C4" s="3281"/>
      <c r="D4" s="3281"/>
      <c r="E4" s="3281"/>
      <c r="F4" s="3281"/>
      <c r="G4" s="3281"/>
      <c r="H4" s="3281"/>
      <c r="I4" s="3281"/>
      <c r="J4" s="3281"/>
      <c r="K4" s="3281"/>
      <c r="L4" s="3281"/>
      <c r="M4" s="3282"/>
      <c r="N4" s="1121"/>
      <c r="O4" s="1122"/>
      <c r="P4" s="3280">
        <f>$B$4</f>
        <v>0</v>
      </c>
      <c r="Q4" s="3281"/>
      <c r="R4" s="3281"/>
      <c r="S4" s="3281"/>
      <c r="T4" s="3281"/>
      <c r="U4" s="3281"/>
      <c r="V4" s="3281"/>
      <c r="W4" s="3281"/>
      <c r="X4" s="3281"/>
      <c r="Y4" s="3281"/>
      <c r="Z4" s="3281"/>
      <c r="AA4" s="3282"/>
      <c r="AB4" s="3292"/>
      <c r="AC4" s="394"/>
      <c r="AD4" s="393"/>
      <c r="AE4" s="393"/>
      <c r="AF4" s="393"/>
      <c r="AG4" s="393"/>
      <c r="AH4" s="393"/>
      <c r="AI4" s="393"/>
      <c r="AJ4" s="393"/>
      <c r="AK4" s="393"/>
      <c r="AL4" s="393"/>
      <c r="AM4" s="393"/>
      <c r="AN4" s="393"/>
      <c r="AO4" s="391"/>
      <c r="AP4" s="391"/>
      <c r="AQ4" s="394"/>
      <c r="AR4" s="393"/>
      <c r="AS4" s="393"/>
      <c r="AT4" s="393"/>
      <c r="AU4" s="393"/>
      <c r="AV4" s="393"/>
      <c r="AW4" s="393"/>
      <c r="AX4" s="393"/>
      <c r="AY4" s="393"/>
      <c r="AZ4" s="393"/>
      <c r="BA4" s="393"/>
      <c r="BB4" s="393"/>
      <c r="BC4" s="391"/>
    </row>
    <row r="5" spans="1:55" s="390" customFormat="1" ht="19.5" customHeight="1" x14ac:dyDescent="0.15">
      <c r="A5" s="1120"/>
      <c r="B5" s="3283"/>
      <c r="C5" s="3284"/>
      <c r="D5" s="3284"/>
      <c r="E5" s="3284"/>
      <c r="F5" s="3284"/>
      <c r="G5" s="3284"/>
      <c r="H5" s="3284"/>
      <c r="I5" s="3284"/>
      <c r="J5" s="3284"/>
      <c r="K5" s="3284"/>
      <c r="L5" s="3284"/>
      <c r="M5" s="3285"/>
      <c r="N5" s="1121"/>
      <c r="O5" s="1120"/>
      <c r="P5" s="3283"/>
      <c r="Q5" s="3284"/>
      <c r="R5" s="3284"/>
      <c r="S5" s="3284"/>
      <c r="T5" s="3284"/>
      <c r="U5" s="3284"/>
      <c r="V5" s="3284"/>
      <c r="W5" s="3284"/>
      <c r="X5" s="3284"/>
      <c r="Y5" s="3284"/>
      <c r="Z5" s="3284"/>
      <c r="AA5" s="3285"/>
      <c r="AB5" s="3293"/>
      <c r="AC5" s="393"/>
      <c r="AD5" s="393"/>
      <c r="AE5" s="393"/>
      <c r="AF5" s="393"/>
      <c r="AG5" s="393"/>
      <c r="AH5" s="393"/>
      <c r="AI5" s="393"/>
      <c r="AJ5" s="393"/>
      <c r="AK5" s="393"/>
      <c r="AL5" s="393"/>
      <c r="AM5" s="393"/>
      <c r="AN5" s="393"/>
      <c r="AO5" s="391"/>
      <c r="AP5" s="391"/>
      <c r="AQ5" s="393"/>
      <c r="AR5" s="393"/>
      <c r="AS5" s="393"/>
      <c r="AT5" s="393"/>
      <c r="AU5" s="393"/>
      <c r="AV5" s="393"/>
      <c r="AW5" s="393"/>
      <c r="AX5" s="393"/>
      <c r="AY5" s="393"/>
      <c r="AZ5" s="393"/>
      <c r="BA5" s="393"/>
      <c r="BB5" s="393"/>
      <c r="BC5" s="391"/>
    </row>
    <row r="6" spans="1:55" s="390" customFormat="1" ht="19.5" customHeight="1" x14ac:dyDescent="0.15">
      <c r="A6" s="1120"/>
      <c r="B6" s="3283"/>
      <c r="C6" s="3284"/>
      <c r="D6" s="3284"/>
      <c r="E6" s="3284"/>
      <c r="F6" s="3284"/>
      <c r="G6" s="3284"/>
      <c r="H6" s="3284"/>
      <c r="I6" s="3284"/>
      <c r="J6" s="3284"/>
      <c r="K6" s="3284"/>
      <c r="L6" s="3284"/>
      <c r="M6" s="3285"/>
      <c r="N6" s="1121"/>
      <c r="O6" s="1120"/>
      <c r="P6" s="3283"/>
      <c r="Q6" s="3284"/>
      <c r="R6" s="3284"/>
      <c r="S6" s="3284"/>
      <c r="T6" s="3284"/>
      <c r="U6" s="3284"/>
      <c r="V6" s="3284"/>
      <c r="W6" s="3284"/>
      <c r="X6" s="3284"/>
      <c r="Y6" s="3284"/>
      <c r="Z6" s="3284"/>
      <c r="AA6" s="3285"/>
      <c r="AB6" s="3293"/>
      <c r="AC6" s="393"/>
      <c r="AD6" s="393"/>
      <c r="AE6" s="393"/>
      <c r="AF6" s="393"/>
      <c r="AG6" s="393"/>
      <c r="AH6" s="393"/>
      <c r="AI6" s="393"/>
      <c r="AJ6" s="393"/>
      <c r="AK6" s="393"/>
      <c r="AL6" s="393"/>
      <c r="AM6" s="393"/>
      <c r="AN6" s="393"/>
      <c r="AO6" s="391"/>
      <c r="AP6" s="391"/>
      <c r="AQ6" s="393"/>
      <c r="AR6" s="393"/>
      <c r="AS6" s="393"/>
      <c r="AT6" s="393"/>
      <c r="AU6" s="393"/>
      <c r="AV6" s="393"/>
      <c r="AW6" s="393"/>
      <c r="AX6" s="393"/>
      <c r="AY6" s="393"/>
      <c r="AZ6" s="393"/>
      <c r="BA6" s="393"/>
      <c r="BB6" s="393"/>
      <c r="BC6" s="391"/>
    </row>
    <row r="7" spans="1:55" s="390" customFormat="1" ht="24" customHeight="1" x14ac:dyDescent="0.15">
      <c r="A7" s="1120"/>
      <c r="B7" s="3286"/>
      <c r="C7" s="3287"/>
      <c r="D7" s="3287"/>
      <c r="E7" s="3287"/>
      <c r="F7" s="3287"/>
      <c r="G7" s="3287"/>
      <c r="H7" s="3287"/>
      <c r="I7" s="3287"/>
      <c r="J7" s="3287"/>
      <c r="K7" s="3287"/>
      <c r="L7" s="3287"/>
      <c r="M7" s="3288"/>
      <c r="N7" s="1121"/>
      <c r="O7" s="1120"/>
      <c r="P7" s="3286"/>
      <c r="Q7" s="3287"/>
      <c r="R7" s="3287"/>
      <c r="S7" s="3287"/>
      <c r="T7" s="3287"/>
      <c r="U7" s="3287"/>
      <c r="V7" s="3287"/>
      <c r="W7" s="3287"/>
      <c r="X7" s="3287"/>
      <c r="Y7" s="3287"/>
      <c r="Z7" s="3287"/>
      <c r="AA7" s="3288"/>
      <c r="AB7" s="1123"/>
      <c r="AC7" s="392"/>
      <c r="AD7" s="392"/>
      <c r="AE7" s="392"/>
      <c r="AF7" s="392"/>
      <c r="AG7" s="392"/>
      <c r="AH7" s="392"/>
      <c r="AI7" s="392"/>
      <c r="AJ7" s="392"/>
      <c r="AK7" s="392"/>
      <c r="AL7" s="392"/>
      <c r="AM7" s="392"/>
      <c r="AN7" s="392"/>
      <c r="AO7" s="391"/>
      <c r="AP7" s="391"/>
      <c r="AQ7" s="392"/>
      <c r="AR7" s="392"/>
      <c r="AS7" s="392"/>
      <c r="AT7" s="392"/>
      <c r="AU7" s="392"/>
      <c r="AV7" s="392"/>
      <c r="AW7" s="392"/>
      <c r="AX7" s="392"/>
      <c r="AY7" s="392"/>
      <c r="AZ7" s="392"/>
      <c r="BA7" s="392"/>
      <c r="BB7" s="392"/>
      <c r="BC7" s="391"/>
    </row>
    <row r="8" spans="1:55" s="390" customFormat="1" ht="24" customHeight="1" x14ac:dyDescent="0.15">
      <c r="A8" s="1120"/>
      <c r="B8" s="3286"/>
      <c r="C8" s="3287"/>
      <c r="D8" s="3287"/>
      <c r="E8" s="3287"/>
      <c r="F8" s="3287"/>
      <c r="G8" s="3287"/>
      <c r="H8" s="3287"/>
      <c r="I8" s="3287"/>
      <c r="J8" s="3287"/>
      <c r="K8" s="3287"/>
      <c r="L8" s="3287"/>
      <c r="M8" s="3288"/>
      <c r="N8" s="1121"/>
      <c r="O8" s="1120"/>
      <c r="P8" s="3286"/>
      <c r="Q8" s="3287"/>
      <c r="R8" s="3287"/>
      <c r="S8" s="3287"/>
      <c r="T8" s="3287"/>
      <c r="U8" s="3287"/>
      <c r="V8" s="3287"/>
      <c r="W8" s="3287"/>
      <c r="X8" s="3287"/>
      <c r="Y8" s="3287"/>
      <c r="Z8" s="3287"/>
      <c r="AA8" s="3288"/>
      <c r="AB8" s="1121"/>
      <c r="AC8" s="392"/>
      <c r="AD8" s="392"/>
      <c r="AE8" s="392"/>
      <c r="AF8" s="392"/>
      <c r="AG8" s="392"/>
      <c r="AH8" s="392"/>
      <c r="AI8" s="392"/>
      <c r="AJ8" s="392"/>
      <c r="AK8" s="392"/>
      <c r="AL8" s="392"/>
      <c r="AM8" s="392"/>
      <c r="AN8" s="392"/>
      <c r="AO8" s="391"/>
      <c r="AP8" s="391"/>
      <c r="AQ8" s="392"/>
      <c r="AR8" s="392"/>
      <c r="AS8" s="392"/>
      <c r="AT8" s="392"/>
      <c r="AU8" s="392"/>
      <c r="AV8" s="392"/>
      <c r="AW8" s="392"/>
      <c r="AX8" s="392"/>
      <c r="AY8" s="392"/>
      <c r="AZ8" s="392"/>
      <c r="BA8" s="392"/>
      <c r="BB8" s="392"/>
      <c r="BC8" s="391"/>
    </row>
    <row r="9" spans="1:55" s="390" customFormat="1" ht="24" customHeight="1" x14ac:dyDescent="0.15">
      <c r="A9" s="1120"/>
      <c r="B9" s="3286"/>
      <c r="C9" s="3287"/>
      <c r="D9" s="3287"/>
      <c r="E9" s="3287"/>
      <c r="F9" s="3287"/>
      <c r="G9" s="3287"/>
      <c r="H9" s="3287"/>
      <c r="I9" s="3287"/>
      <c r="J9" s="3287"/>
      <c r="K9" s="3287"/>
      <c r="L9" s="3287"/>
      <c r="M9" s="3288"/>
      <c r="N9" s="1121"/>
      <c r="O9" s="1120"/>
      <c r="P9" s="3286"/>
      <c r="Q9" s="3287"/>
      <c r="R9" s="3287"/>
      <c r="S9" s="3287"/>
      <c r="T9" s="3287"/>
      <c r="U9" s="3287"/>
      <c r="V9" s="3287"/>
      <c r="W9" s="3287"/>
      <c r="X9" s="3287"/>
      <c r="Y9" s="3287"/>
      <c r="Z9" s="3287"/>
      <c r="AA9" s="3288"/>
      <c r="AB9" s="1121"/>
      <c r="AC9" s="392"/>
      <c r="AD9" s="392"/>
      <c r="AE9" s="392"/>
      <c r="AF9" s="392"/>
      <c r="AG9" s="392"/>
      <c r="AH9" s="392"/>
      <c r="AI9" s="392"/>
      <c r="AJ9" s="392"/>
      <c r="AK9" s="392"/>
      <c r="AL9" s="392"/>
      <c r="AM9" s="392"/>
      <c r="AN9" s="392"/>
      <c r="AO9" s="391"/>
      <c r="AP9" s="391"/>
      <c r="AQ9" s="392"/>
      <c r="AR9" s="392"/>
      <c r="AS9" s="392"/>
      <c r="AT9" s="392"/>
      <c r="AU9" s="392"/>
      <c r="AV9" s="392"/>
      <c r="AW9" s="392"/>
      <c r="AX9" s="392"/>
      <c r="AY9" s="392"/>
      <c r="AZ9" s="392"/>
      <c r="BA9" s="392"/>
      <c r="BB9" s="392"/>
      <c r="BC9" s="391"/>
    </row>
    <row r="10" spans="1:55" s="390" customFormat="1" ht="24" customHeight="1" thickBot="1" x14ac:dyDescent="0.2">
      <c r="A10" s="1120"/>
      <c r="B10" s="3289"/>
      <c r="C10" s="3290"/>
      <c r="D10" s="3290"/>
      <c r="E10" s="3290"/>
      <c r="F10" s="3290"/>
      <c r="G10" s="3290"/>
      <c r="H10" s="3290"/>
      <c r="I10" s="3290"/>
      <c r="J10" s="3290"/>
      <c r="K10" s="3290"/>
      <c r="L10" s="3290"/>
      <c r="M10" s="3291"/>
      <c r="N10" s="1121"/>
      <c r="O10" s="1120"/>
      <c r="P10" s="3289"/>
      <c r="Q10" s="3290"/>
      <c r="R10" s="3290"/>
      <c r="S10" s="3290"/>
      <c r="T10" s="3290"/>
      <c r="U10" s="3290"/>
      <c r="V10" s="3290"/>
      <c r="W10" s="3290"/>
      <c r="X10" s="3290"/>
      <c r="Y10" s="3290"/>
      <c r="Z10" s="3290"/>
      <c r="AA10" s="3291"/>
      <c r="AB10" s="1121"/>
      <c r="AC10" s="392"/>
      <c r="AD10" s="392"/>
      <c r="AE10" s="392"/>
      <c r="AF10" s="392"/>
      <c r="AG10" s="392"/>
      <c r="AH10" s="392"/>
      <c r="AI10" s="392"/>
      <c r="AJ10" s="392"/>
      <c r="AK10" s="392"/>
      <c r="AL10" s="392"/>
      <c r="AM10" s="392"/>
      <c r="AN10" s="392"/>
      <c r="AO10" s="391"/>
      <c r="AP10" s="391"/>
      <c r="AQ10" s="392"/>
      <c r="AR10" s="392"/>
      <c r="AS10" s="392"/>
      <c r="AT10" s="392"/>
      <c r="AU10" s="392"/>
      <c r="AV10" s="392"/>
      <c r="AW10" s="392"/>
      <c r="AX10" s="392"/>
      <c r="AY10" s="392"/>
      <c r="AZ10" s="392"/>
      <c r="BA10" s="392"/>
      <c r="BB10" s="392"/>
      <c r="BC10" s="391"/>
    </row>
    <row r="11" spans="1:55" s="390" customFormat="1" ht="6" customHeight="1" x14ac:dyDescent="0.15">
      <c r="A11" s="1120"/>
      <c r="B11" s="1124"/>
      <c r="C11" s="1124"/>
      <c r="D11" s="1124"/>
      <c r="E11" s="1124"/>
      <c r="F11" s="1124"/>
      <c r="G11" s="1124"/>
      <c r="H11" s="1124"/>
      <c r="I11" s="1124"/>
      <c r="J11" s="1124"/>
      <c r="K11" s="1124"/>
      <c r="L11" s="1124"/>
      <c r="M11" s="1124"/>
      <c r="N11" s="1121"/>
      <c r="O11" s="1120"/>
      <c r="P11" s="1124"/>
      <c r="Q11" s="1124"/>
      <c r="R11" s="1124"/>
      <c r="S11" s="1124"/>
      <c r="T11" s="1124"/>
      <c r="U11" s="1124"/>
      <c r="V11" s="1124"/>
      <c r="W11" s="1124"/>
      <c r="X11" s="1124"/>
      <c r="Y11" s="1124"/>
      <c r="Z11" s="1124"/>
      <c r="AA11" s="1124"/>
      <c r="AB11" s="1121"/>
      <c r="AC11" s="392"/>
      <c r="AD11" s="392"/>
      <c r="AE11" s="392"/>
      <c r="AF11" s="392"/>
      <c r="AG11" s="392"/>
      <c r="AH11" s="392"/>
      <c r="AI11" s="392"/>
      <c r="AJ11" s="392"/>
      <c r="AK11" s="392"/>
      <c r="AL11" s="392"/>
      <c r="AM11" s="392"/>
      <c r="AN11" s="392"/>
      <c r="AO11" s="391"/>
      <c r="AP11" s="391"/>
      <c r="AQ11" s="392"/>
      <c r="AR11" s="392"/>
      <c r="AS11" s="392"/>
      <c r="AT11" s="392"/>
      <c r="AU11" s="392"/>
      <c r="AV11" s="392"/>
      <c r="AW11" s="392"/>
      <c r="AX11" s="392"/>
      <c r="AY11" s="392"/>
      <c r="AZ11" s="392"/>
      <c r="BA11" s="392"/>
      <c r="BB11" s="392"/>
      <c r="BC11" s="391"/>
    </row>
    <row r="12" spans="1:55" s="390" customFormat="1" ht="6" customHeight="1" thickBot="1" x14ac:dyDescent="0.2">
      <c r="A12" s="1125"/>
      <c r="B12" s="1126"/>
      <c r="C12" s="1126"/>
      <c r="D12" s="1126"/>
      <c r="E12" s="1126"/>
      <c r="F12" s="1126"/>
      <c r="G12" s="1126"/>
      <c r="H12" s="1126"/>
      <c r="I12" s="1126"/>
      <c r="J12" s="1126"/>
      <c r="K12" s="1126"/>
      <c r="L12" s="1126"/>
      <c r="M12" s="1126"/>
      <c r="N12" s="1127"/>
      <c r="O12" s="1125"/>
      <c r="P12" s="1126"/>
      <c r="Q12" s="1126"/>
      <c r="R12" s="1126"/>
      <c r="S12" s="1126"/>
      <c r="T12" s="1126"/>
      <c r="U12" s="1126"/>
      <c r="V12" s="1126"/>
      <c r="W12" s="1126"/>
      <c r="X12" s="1126"/>
      <c r="Y12" s="1126"/>
      <c r="Z12" s="1126"/>
      <c r="AA12" s="1126"/>
      <c r="AB12" s="1127"/>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row>
    <row r="13" spans="1:55" s="390" customFormat="1" ht="19.5" customHeight="1" x14ac:dyDescent="0.15">
      <c r="A13" s="1120"/>
      <c r="B13" s="3280">
        <f>$B$4</f>
        <v>0</v>
      </c>
      <c r="C13" s="3281"/>
      <c r="D13" s="3281"/>
      <c r="E13" s="3281"/>
      <c r="F13" s="3281"/>
      <c r="G13" s="3281"/>
      <c r="H13" s="3281"/>
      <c r="I13" s="3281"/>
      <c r="J13" s="3281"/>
      <c r="K13" s="3281"/>
      <c r="L13" s="3281"/>
      <c r="M13" s="3282"/>
      <c r="N13" s="1121"/>
      <c r="O13" s="1120"/>
      <c r="P13" s="3280">
        <f>$B$4</f>
        <v>0</v>
      </c>
      <c r="Q13" s="3281"/>
      <c r="R13" s="3281"/>
      <c r="S13" s="3281"/>
      <c r="T13" s="3281"/>
      <c r="U13" s="3281"/>
      <c r="V13" s="3281"/>
      <c r="W13" s="3281"/>
      <c r="X13" s="3281"/>
      <c r="Y13" s="3281"/>
      <c r="Z13" s="3281"/>
      <c r="AA13" s="3282"/>
      <c r="AB13" s="1121"/>
      <c r="AC13" s="394"/>
      <c r="AD13" s="393"/>
      <c r="AE13" s="393"/>
      <c r="AF13" s="393"/>
      <c r="AG13" s="393"/>
      <c r="AH13" s="393"/>
      <c r="AI13" s="393"/>
      <c r="AJ13" s="393"/>
      <c r="AK13" s="393"/>
      <c r="AL13" s="393"/>
      <c r="AM13" s="393"/>
      <c r="AN13" s="393"/>
      <c r="AO13" s="391"/>
      <c r="AP13" s="391"/>
      <c r="AQ13" s="394"/>
      <c r="AR13" s="393"/>
      <c r="AS13" s="393"/>
      <c r="AT13" s="393"/>
      <c r="AU13" s="393"/>
      <c r="AV13" s="393"/>
      <c r="AW13" s="393"/>
      <c r="AX13" s="393"/>
      <c r="AY13" s="393"/>
      <c r="AZ13" s="393"/>
      <c r="BA13" s="393"/>
      <c r="BB13" s="393"/>
      <c r="BC13" s="391"/>
    </row>
    <row r="14" spans="1:55" s="390" customFormat="1" ht="19.5" customHeight="1" x14ac:dyDescent="0.15">
      <c r="A14" s="1120"/>
      <c r="B14" s="3283"/>
      <c r="C14" s="3284"/>
      <c r="D14" s="3284"/>
      <c r="E14" s="3284"/>
      <c r="F14" s="3284"/>
      <c r="G14" s="3284"/>
      <c r="H14" s="3284"/>
      <c r="I14" s="3284"/>
      <c r="J14" s="3284"/>
      <c r="K14" s="3284"/>
      <c r="L14" s="3284"/>
      <c r="M14" s="3285"/>
      <c r="N14" s="1121"/>
      <c r="O14" s="1120"/>
      <c r="P14" s="3283"/>
      <c r="Q14" s="3284"/>
      <c r="R14" s="3284"/>
      <c r="S14" s="3284"/>
      <c r="T14" s="3284"/>
      <c r="U14" s="3284"/>
      <c r="V14" s="3284"/>
      <c r="W14" s="3284"/>
      <c r="X14" s="3284"/>
      <c r="Y14" s="3284"/>
      <c r="Z14" s="3284"/>
      <c r="AA14" s="3285"/>
      <c r="AB14" s="1121"/>
      <c r="AC14" s="393"/>
      <c r="AD14" s="393"/>
      <c r="AE14" s="393"/>
      <c r="AF14" s="393"/>
      <c r="AG14" s="393"/>
      <c r="AH14" s="393"/>
      <c r="AI14" s="393"/>
      <c r="AJ14" s="393"/>
      <c r="AK14" s="393"/>
      <c r="AL14" s="393"/>
      <c r="AM14" s="393"/>
      <c r="AN14" s="393"/>
      <c r="AO14" s="391"/>
      <c r="AP14" s="391"/>
      <c r="AQ14" s="393"/>
      <c r="AR14" s="393"/>
      <c r="AS14" s="393"/>
      <c r="AT14" s="393"/>
      <c r="AU14" s="393"/>
      <c r="AV14" s="393"/>
      <c r="AW14" s="393"/>
      <c r="AX14" s="393"/>
      <c r="AY14" s="393"/>
      <c r="AZ14" s="393"/>
      <c r="BA14" s="393"/>
      <c r="BB14" s="393"/>
      <c r="BC14" s="391"/>
    </row>
    <row r="15" spans="1:55" s="390" customFormat="1" ht="19.5" customHeight="1" x14ac:dyDescent="0.15">
      <c r="A15" s="1120"/>
      <c r="B15" s="3283"/>
      <c r="C15" s="3284"/>
      <c r="D15" s="3284"/>
      <c r="E15" s="3284"/>
      <c r="F15" s="3284"/>
      <c r="G15" s="3284"/>
      <c r="H15" s="3284"/>
      <c r="I15" s="3284"/>
      <c r="J15" s="3284"/>
      <c r="K15" s="3284"/>
      <c r="L15" s="3284"/>
      <c r="M15" s="3285"/>
      <c r="N15" s="1121"/>
      <c r="O15" s="1120"/>
      <c r="P15" s="3283"/>
      <c r="Q15" s="3284"/>
      <c r="R15" s="3284"/>
      <c r="S15" s="3284"/>
      <c r="T15" s="3284"/>
      <c r="U15" s="3284"/>
      <c r="V15" s="3284"/>
      <c r="W15" s="3284"/>
      <c r="X15" s="3284"/>
      <c r="Y15" s="3284"/>
      <c r="Z15" s="3284"/>
      <c r="AA15" s="3285"/>
      <c r="AB15" s="1121"/>
      <c r="AC15" s="393"/>
      <c r="AD15" s="393"/>
      <c r="AE15" s="393"/>
      <c r="AF15" s="393"/>
      <c r="AG15" s="393"/>
      <c r="AH15" s="393"/>
      <c r="AI15" s="393"/>
      <c r="AJ15" s="393"/>
      <c r="AK15" s="393"/>
      <c r="AL15" s="393"/>
      <c r="AM15" s="393"/>
      <c r="AN15" s="393"/>
      <c r="AO15" s="391"/>
      <c r="AP15" s="391"/>
      <c r="AQ15" s="393"/>
      <c r="AR15" s="393"/>
      <c r="AS15" s="393"/>
      <c r="AT15" s="393"/>
      <c r="AU15" s="393"/>
      <c r="AV15" s="393"/>
      <c r="AW15" s="393"/>
      <c r="AX15" s="393"/>
      <c r="AY15" s="393"/>
      <c r="AZ15" s="393"/>
      <c r="BA15" s="393"/>
      <c r="BB15" s="393"/>
      <c r="BC15" s="391"/>
    </row>
    <row r="16" spans="1:55" s="390" customFormat="1" ht="24" customHeight="1" x14ac:dyDescent="0.15">
      <c r="A16" s="1120"/>
      <c r="B16" s="3283"/>
      <c r="C16" s="3284"/>
      <c r="D16" s="3284"/>
      <c r="E16" s="3284"/>
      <c r="F16" s="3284"/>
      <c r="G16" s="3284"/>
      <c r="H16" s="3284"/>
      <c r="I16" s="3284"/>
      <c r="J16" s="3284"/>
      <c r="K16" s="3284"/>
      <c r="L16" s="3284"/>
      <c r="M16" s="3285"/>
      <c r="N16" s="1121"/>
      <c r="O16" s="1120"/>
      <c r="P16" s="3286"/>
      <c r="Q16" s="3287"/>
      <c r="R16" s="3287"/>
      <c r="S16" s="3287"/>
      <c r="T16" s="3287"/>
      <c r="U16" s="3287"/>
      <c r="V16" s="3287"/>
      <c r="W16" s="3287"/>
      <c r="X16" s="3287"/>
      <c r="Y16" s="3287"/>
      <c r="Z16" s="3287"/>
      <c r="AA16" s="3288"/>
      <c r="AB16" s="1121"/>
      <c r="AC16" s="392"/>
      <c r="AD16" s="392"/>
      <c r="AE16" s="392"/>
      <c r="AF16" s="392"/>
      <c r="AG16" s="392"/>
      <c r="AH16" s="392"/>
      <c r="AI16" s="392"/>
      <c r="AJ16" s="392"/>
      <c r="AK16" s="392"/>
      <c r="AL16" s="392"/>
      <c r="AM16" s="392"/>
      <c r="AN16" s="392"/>
      <c r="AO16" s="391"/>
      <c r="AP16" s="391"/>
      <c r="AQ16" s="392"/>
      <c r="AR16" s="392"/>
      <c r="AS16" s="392"/>
      <c r="AT16" s="392"/>
      <c r="AU16" s="392"/>
      <c r="AV16" s="392"/>
      <c r="AW16" s="392"/>
      <c r="AX16" s="392"/>
      <c r="AY16" s="392"/>
      <c r="AZ16" s="392"/>
      <c r="BA16" s="392"/>
      <c r="BB16" s="392"/>
      <c r="BC16" s="391"/>
    </row>
    <row r="17" spans="1:55" s="390" customFormat="1" ht="24" customHeight="1" x14ac:dyDescent="0.15">
      <c r="A17" s="1120"/>
      <c r="B17" s="3283"/>
      <c r="C17" s="3284"/>
      <c r="D17" s="3284"/>
      <c r="E17" s="3284"/>
      <c r="F17" s="3284"/>
      <c r="G17" s="3284"/>
      <c r="H17" s="3284"/>
      <c r="I17" s="3284"/>
      <c r="J17" s="3284"/>
      <c r="K17" s="3284"/>
      <c r="L17" s="3284"/>
      <c r="M17" s="3285"/>
      <c r="N17" s="1121"/>
      <c r="O17" s="1120"/>
      <c r="P17" s="3286"/>
      <c r="Q17" s="3287"/>
      <c r="R17" s="3287"/>
      <c r="S17" s="3287"/>
      <c r="T17" s="3287"/>
      <c r="U17" s="3287"/>
      <c r="V17" s="3287"/>
      <c r="W17" s="3287"/>
      <c r="X17" s="3287"/>
      <c r="Y17" s="3287"/>
      <c r="Z17" s="3287"/>
      <c r="AA17" s="3288"/>
      <c r="AB17" s="1121"/>
      <c r="AC17" s="392"/>
      <c r="AD17" s="392"/>
      <c r="AE17" s="392"/>
      <c r="AF17" s="392"/>
      <c r="AG17" s="392"/>
      <c r="AH17" s="392"/>
      <c r="AI17" s="392"/>
      <c r="AJ17" s="392"/>
      <c r="AK17" s="392"/>
      <c r="AL17" s="392"/>
      <c r="AM17" s="392"/>
      <c r="AN17" s="392"/>
      <c r="AO17" s="391"/>
      <c r="AP17" s="391"/>
      <c r="AQ17" s="392"/>
      <c r="AR17" s="392"/>
      <c r="AS17" s="392"/>
      <c r="AT17" s="392"/>
      <c r="AU17" s="392"/>
      <c r="AV17" s="392"/>
      <c r="AW17" s="392"/>
      <c r="AX17" s="392"/>
      <c r="AY17" s="392"/>
      <c r="AZ17" s="392"/>
      <c r="BA17" s="392"/>
      <c r="BB17" s="392"/>
      <c r="BC17" s="391"/>
    </row>
    <row r="18" spans="1:55" s="390" customFormat="1" ht="24" customHeight="1" x14ac:dyDescent="0.15">
      <c r="A18" s="1120"/>
      <c r="B18" s="3283"/>
      <c r="C18" s="3284"/>
      <c r="D18" s="3284"/>
      <c r="E18" s="3284"/>
      <c r="F18" s="3284"/>
      <c r="G18" s="3284"/>
      <c r="H18" s="3284"/>
      <c r="I18" s="3284"/>
      <c r="J18" s="3284"/>
      <c r="K18" s="3284"/>
      <c r="L18" s="3284"/>
      <c r="M18" s="3285"/>
      <c r="N18" s="1121"/>
      <c r="O18" s="1120"/>
      <c r="P18" s="3286"/>
      <c r="Q18" s="3287"/>
      <c r="R18" s="3287"/>
      <c r="S18" s="3287"/>
      <c r="T18" s="3287"/>
      <c r="U18" s="3287"/>
      <c r="V18" s="3287"/>
      <c r="W18" s="3287"/>
      <c r="X18" s="3287"/>
      <c r="Y18" s="3287"/>
      <c r="Z18" s="3287"/>
      <c r="AA18" s="3288"/>
      <c r="AB18" s="1121"/>
      <c r="AC18" s="392"/>
      <c r="AD18" s="392"/>
      <c r="AE18" s="392"/>
      <c r="AF18" s="392"/>
      <c r="AG18" s="392"/>
      <c r="AH18" s="392"/>
      <c r="AI18" s="392"/>
      <c r="AJ18" s="392"/>
      <c r="AK18" s="392"/>
      <c r="AL18" s="392"/>
      <c r="AM18" s="392"/>
      <c r="AN18" s="392"/>
      <c r="AO18" s="391"/>
      <c r="AP18" s="391"/>
      <c r="AQ18" s="392"/>
      <c r="AR18" s="392"/>
      <c r="AS18" s="392"/>
      <c r="AT18" s="392"/>
      <c r="AU18" s="392"/>
      <c r="AV18" s="392"/>
      <c r="AW18" s="392"/>
      <c r="AX18" s="392"/>
      <c r="AY18" s="392"/>
      <c r="AZ18" s="392"/>
      <c r="BA18" s="392"/>
      <c r="BB18" s="392"/>
      <c r="BC18" s="391"/>
    </row>
    <row r="19" spans="1:55" s="390" customFormat="1" ht="24" customHeight="1" thickBot="1" x14ac:dyDescent="0.2">
      <c r="A19" s="1120"/>
      <c r="B19" s="3294"/>
      <c r="C19" s="3295"/>
      <c r="D19" s="3295"/>
      <c r="E19" s="3295"/>
      <c r="F19" s="3295"/>
      <c r="G19" s="3295"/>
      <c r="H19" s="3295"/>
      <c r="I19" s="3295"/>
      <c r="J19" s="3295"/>
      <c r="K19" s="3295"/>
      <c r="L19" s="3295"/>
      <c r="M19" s="3296"/>
      <c r="N19" s="1121"/>
      <c r="O19" s="1120"/>
      <c r="P19" s="3289"/>
      <c r="Q19" s="3290"/>
      <c r="R19" s="3290"/>
      <c r="S19" s="3290"/>
      <c r="T19" s="3290"/>
      <c r="U19" s="3290"/>
      <c r="V19" s="3290"/>
      <c r="W19" s="3290"/>
      <c r="X19" s="3290"/>
      <c r="Y19" s="3290"/>
      <c r="Z19" s="3290"/>
      <c r="AA19" s="3291"/>
      <c r="AB19" s="1121"/>
      <c r="AC19" s="392"/>
      <c r="AD19" s="392"/>
      <c r="AE19" s="392"/>
      <c r="AF19" s="392"/>
      <c r="AG19" s="392"/>
      <c r="AH19" s="392"/>
      <c r="AI19" s="392"/>
      <c r="AJ19" s="392"/>
      <c r="AK19" s="392"/>
      <c r="AL19" s="392"/>
      <c r="AM19" s="392"/>
      <c r="AN19" s="392"/>
      <c r="AO19" s="391"/>
      <c r="AP19" s="391"/>
      <c r="AQ19" s="392"/>
      <c r="AR19" s="392"/>
      <c r="AS19" s="392"/>
      <c r="AT19" s="392"/>
      <c r="AU19" s="392"/>
      <c r="AV19" s="392"/>
      <c r="AW19" s="392"/>
      <c r="AX19" s="392"/>
      <c r="AY19" s="392"/>
      <c r="AZ19" s="392"/>
      <c r="BA19" s="392"/>
      <c r="BB19" s="392"/>
      <c r="BC19" s="391"/>
    </row>
    <row r="20" spans="1:55" s="390" customFormat="1" ht="6" customHeight="1" x14ac:dyDescent="0.15">
      <c r="A20" s="1120"/>
      <c r="B20" s="1124"/>
      <c r="C20" s="1124"/>
      <c r="D20" s="1124"/>
      <c r="E20" s="1124"/>
      <c r="F20" s="1124"/>
      <c r="G20" s="1124"/>
      <c r="H20" s="1124"/>
      <c r="I20" s="1124"/>
      <c r="J20" s="1124"/>
      <c r="K20" s="1124"/>
      <c r="L20" s="1124"/>
      <c r="M20" s="1124"/>
      <c r="N20" s="1121"/>
      <c r="O20" s="1120"/>
      <c r="P20" s="1124"/>
      <c r="Q20" s="1124"/>
      <c r="R20" s="1124"/>
      <c r="S20" s="1124"/>
      <c r="T20" s="1124"/>
      <c r="U20" s="1124"/>
      <c r="V20" s="1124"/>
      <c r="W20" s="1124"/>
      <c r="X20" s="1124"/>
      <c r="Y20" s="1124"/>
      <c r="Z20" s="1124"/>
      <c r="AA20" s="1124"/>
      <c r="AB20" s="1121"/>
      <c r="AC20" s="392"/>
      <c r="AD20" s="392"/>
      <c r="AE20" s="392"/>
      <c r="AF20" s="392"/>
      <c r="AG20" s="392"/>
      <c r="AH20" s="392"/>
      <c r="AI20" s="392"/>
      <c r="AJ20" s="392"/>
      <c r="AK20" s="392"/>
      <c r="AL20" s="392"/>
      <c r="AM20" s="392"/>
      <c r="AN20" s="392"/>
      <c r="AO20" s="391"/>
      <c r="AP20" s="391"/>
      <c r="AQ20" s="392"/>
      <c r="AR20" s="392"/>
      <c r="AS20" s="392"/>
      <c r="AT20" s="392"/>
      <c r="AU20" s="392"/>
      <c r="AV20" s="392"/>
      <c r="AW20" s="392"/>
      <c r="AX20" s="392"/>
      <c r="AY20" s="392"/>
      <c r="AZ20" s="392"/>
      <c r="BA20" s="392"/>
      <c r="BB20" s="392"/>
      <c r="BC20" s="391"/>
    </row>
    <row r="21" spans="1:55" s="390" customFormat="1" ht="6" customHeight="1" thickBot="1" x14ac:dyDescent="0.2">
      <c r="A21" s="1125"/>
      <c r="B21" s="1126"/>
      <c r="C21" s="1126"/>
      <c r="D21" s="1126"/>
      <c r="E21" s="1126"/>
      <c r="F21" s="1126"/>
      <c r="G21" s="1126"/>
      <c r="H21" s="1126"/>
      <c r="I21" s="1126"/>
      <c r="J21" s="1126"/>
      <c r="K21" s="1126"/>
      <c r="L21" s="1126"/>
      <c r="M21" s="1126"/>
      <c r="N21" s="1127"/>
      <c r="O21" s="1125"/>
      <c r="P21" s="1126"/>
      <c r="Q21" s="1126"/>
      <c r="R21" s="1126"/>
      <c r="S21" s="1126"/>
      <c r="T21" s="1126"/>
      <c r="U21" s="1126"/>
      <c r="V21" s="1126"/>
      <c r="W21" s="1126"/>
      <c r="X21" s="1126"/>
      <c r="Y21" s="1126"/>
      <c r="Z21" s="1126"/>
      <c r="AA21" s="1126"/>
      <c r="AB21" s="1127"/>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row>
    <row r="22" spans="1:55" s="390" customFormat="1" ht="19.5" customHeight="1" x14ac:dyDescent="0.15">
      <c r="A22" s="1120"/>
      <c r="B22" s="3280">
        <f>$B$4</f>
        <v>0</v>
      </c>
      <c r="C22" s="3281"/>
      <c r="D22" s="3281"/>
      <c r="E22" s="3281"/>
      <c r="F22" s="3281"/>
      <c r="G22" s="3281"/>
      <c r="H22" s="3281"/>
      <c r="I22" s="3281"/>
      <c r="J22" s="3281"/>
      <c r="K22" s="3281"/>
      <c r="L22" s="3281"/>
      <c r="M22" s="3282"/>
      <c r="N22" s="1121"/>
      <c r="O22" s="1120"/>
      <c r="P22" s="3280">
        <f>$B$4</f>
        <v>0</v>
      </c>
      <c r="Q22" s="3281"/>
      <c r="R22" s="3281"/>
      <c r="S22" s="3281"/>
      <c r="T22" s="3281"/>
      <c r="U22" s="3281"/>
      <c r="V22" s="3281"/>
      <c r="W22" s="3281"/>
      <c r="X22" s="3281"/>
      <c r="Y22" s="3281"/>
      <c r="Z22" s="3281"/>
      <c r="AA22" s="3282"/>
      <c r="AB22" s="1121"/>
      <c r="AC22" s="394"/>
      <c r="AD22" s="393"/>
      <c r="AE22" s="393"/>
      <c r="AF22" s="393"/>
      <c r="AG22" s="393"/>
      <c r="AH22" s="393"/>
      <c r="AI22" s="393"/>
      <c r="AJ22" s="393"/>
      <c r="AK22" s="393"/>
      <c r="AL22" s="393"/>
      <c r="AM22" s="393"/>
      <c r="AN22" s="393"/>
      <c r="AO22" s="391"/>
      <c r="AP22" s="391"/>
      <c r="AQ22" s="394"/>
      <c r="AR22" s="393"/>
      <c r="AS22" s="393"/>
      <c r="AT22" s="393"/>
      <c r="AU22" s="393"/>
      <c r="AV22" s="393"/>
      <c r="AW22" s="393"/>
      <c r="AX22" s="393"/>
      <c r="AY22" s="393"/>
      <c r="AZ22" s="393"/>
      <c r="BA22" s="393"/>
      <c r="BB22" s="393"/>
      <c r="BC22" s="391"/>
    </row>
    <row r="23" spans="1:55" s="390" customFormat="1" ht="19.5" customHeight="1" x14ac:dyDescent="0.15">
      <c r="A23" s="1120"/>
      <c r="B23" s="3283"/>
      <c r="C23" s="3284"/>
      <c r="D23" s="3284"/>
      <c r="E23" s="3284"/>
      <c r="F23" s="3284"/>
      <c r="G23" s="3284"/>
      <c r="H23" s="3284"/>
      <c r="I23" s="3284"/>
      <c r="J23" s="3284"/>
      <c r="K23" s="3284"/>
      <c r="L23" s="3284"/>
      <c r="M23" s="3285"/>
      <c r="N23" s="1121"/>
      <c r="O23" s="1120"/>
      <c r="P23" s="3283"/>
      <c r="Q23" s="3284"/>
      <c r="R23" s="3284"/>
      <c r="S23" s="3284"/>
      <c r="T23" s="3284"/>
      <c r="U23" s="3284"/>
      <c r="V23" s="3284"/>
      <c r="W23" s="3284"/>
      <c r="X23" s="3284"/>
      <c r="Y23" s="3284"/>
      <c r="Z23" s="3284"/>
      <c r="AA23" s="3285"/>
      <c r="AB23" s="1121"/>
      <c r="AC23" s="393"/>
      <c r="AD23" s="393"/>
      <c r="AE23" s="393"/>
      <c r="AF23" s="393"/>
      <c r="AG23" s="393"/>
      <c r="AH23" s="393"/>
      <c r="AI23" s="393"/>
      <c r="AJ23" s="393"/>
      <c r="AK23" s="393"/>
      <c r="AL23" s="393"/>
      <c r="AM23" s="393"/>
      <c r="AN23" s="393"/>
      <c r="AO23" s="391"/>
      <c r="AP23" s="391"/>
      <c r="AQ23" s="393"/>
      <c r="AR23" s="393"/>
      <c r="AS23" s="393"/>
      <c r="AT23" s="393"/>
      <c r="AU23" s="393"/>
      <c r="AV23" s="393"/>
      <c r="AW23" s="393"/>
      <c r="AX23" s="393"/>
      <c r="AY23" s="393"/>
      <c r="AZ23" s="393"/>
      <c r="BA23" s="393"/>
      <c r="BB23" s="393"/>
      <c r="BC23" s="391"/>
    </row>
    <row r="24" spans="1:55" s="390" customFormat="1" ht="19.5" customHeight="1" x14ac:dyDescent="0.15">
      <c r="A24" s="1120"/>
      <c r="B24" s="3283"/>
      <c r="C24" s="3284"/>
      <c r="D24" s="3284"/>
      <c r="E24" s="3284"/>
      <c r="F24" s="3284"/>
      <c r="G24" s="3284"/>
      <c r="H24" s="3284"/>
      <c r="I24" s="3284"/>
      <c r="J24" s="3284"/>
      <c r="K24" s="3284"/>
      <c r="L24" s="3284"/>
      <c r="M24" s="3285"/>
      <c r="N24" s="1121"/>
      <c r="O24" s="1120"/>
      <c r="P24" s="3283"/>
      <c r="Q24" s="3284"/>
      <c r="R24" s="3284"/>
      <c r="S24" s="3284"/>
      <c r="T24" s="3284"/>
      <c r="U24" s="3284"/>
      <c r="V24" s="3284"/>
      <c r="W24" s="3284"/>
      <c r="X24" s="3284"/>
      <c r="Y24" s="3284"/>
      <c r="Z24" s="3284"/>
      <c r="AA24" s="3285"/>
      <c r="AB24" s="1121"/>
      <c r="AC24" s="393"/>
      <c r="AD24" s="393"/>
      <c r="AE24" s="393"/>
      <c r="AF24" s="393"/>
      <c r="AG24" s="393"/>
      <c r="AH24" s="393"/>
      <c r="AI24" s="393"/>
      <c r="AJ24" s="393"/>
      <c r="AK24" s="393"/>
      <c r="AL24" s="393"/>
      <c r="AM24" s="393"/>
      <c r="AN24" s="393"/>
      <c r="AO24" s="391"/>
      <c r="AP24" s="391"/>
      <c r="AQ24" s="393"/>
      <c r="AR24" s="393"/>
      <c r="AS24" s="393"/>
      <c r="AT24" s="393"/>
      <c r="AU24" s="393"/>
      <c r="AV24" s="393"/>
      <c r="AW24" s="393"/>
      <c r="AX24" s="393"/>
      <c r="AY24" s="393"/>
      <c r="AZ24" s="393"/>
      <c r="BA24" s="393"/>
      <c r="BB24" s="393"/>
      <c r="BC24" s="391"/>
    </row>
    <row r="25" spans="1:55" s="390" customFormat="1" ht="24" customHeight="1" x14ac:dyDescent="0.15">
      <c r="A25" s="1120"/>
      <c r="B25" s="3286"/>
      <c r="C25" s="3287"/>
      <c r="D25" s="3287"/>
      <c r="E25" s="3287"/>
      <c r="F25" s="3287"/>
      <c r="G25" s="3287"/>
      <c r="H25" s="3287"/>
      <c r="I25" s="3287"/>
      <c r="J25" s="3287"/>
      <c r="K25" s="3287"/>
      <c r="L25" s="3287"/>
      <c r="M25" s="3288"/>
      <c r="N25" s="1121"/>
      <c r="O25" s="1120"/>
      <c r="P25" s="3286"/>
      <c r="Q25" s="3287"/>
      <c r="R25" s="3287"/>
      <c r="S25" s="3287"/>
      <c r="T25" s="3287"/>
      <c r="U25" s="3287"/>
      <c r="V25" s="3287"/>
      <c r="W25" s="3287"/>
      <c r="X25" s="3287"/>
      <c r="Y25" s="3287"/>
      <c r="Z25" s="3287"/>
      <c r="AA25" s="3288"/>
      <c r="AB25" s="1121"/>
      <c r="AC25" s="392"/>
      <c r="AD25" s="392"/>
      <c r="AE25" s="392"/>
      <c r="AF25" s="392"/>
      <c r="AG25" s="392"/>
      <c r="AH25" s="392"/>
      <c r="AI25" s="392"/>
      <c r="AJ25" s="392"/>
      <c r="AK25" s="392"/>
      <c r="AL25" s="392"/>
      <c r="AM25" s="392"/>
      <c r="AN25" s="392"/>
      <c r="AO25" s="391"/>
      <c r="AP25" s="391"/>
      <c r="AQ25" s="392"/>
      <c r="AR25" s="392"/>
      <c r="AS25" s="392"/>
      <c r="AT25" s="392"/>
      <c r="AU25" s="392"/>
      <c r="AV25" s="392"/>
      <c r="AW25" s="392"/>
      <c r="AX25" s="392"/>
      <c r="AY25" s="392"/>
      <c r="AZ25" s="392"/>
      <c r="BA25" s="392"/>
      <c r="BB25" s="392"/>
      <c r="BC25" s="391"/>
    </row>
    <row r="26" spans="1:55" s="390" customFormat="1" ht="24" customHeight="1" x14ac:dyDescent="0.15">
      <c r="A26" s="1120"/>
      <c r="B26" s="3286"/>
      <c r="C26" s="3287"/>
      <c r="D26" s="3287"/>
      <c r="E26" s="3287"/>
      <c r="F26" s="3287"/>
      <c r="G26" s="3287"/>
      <c r="H26" s="3287"/>
      <c r="I26" s="3287"/>
      <c r="J26" s="3287"/>
      <c r="K26" s="3287"/>
      <c r="L26" s="3287"/>
      <c r="M26" s="3288"/>
      <c r="N26" s="1121"/>
      <c r="O26" s="1120"/>
      <c r="P26" s="3286"/>
      <c r="Q26" s="3287"/>
      <c r="R26" s="3287"/>
      <c r="S26" s="3287"/>
      <c r="T26" s="3287"/>
      <c r="U26" s="3287"/>
      <c r="V26" s="3287"/>
      <c r="W26" s="3287"/>
      <c r="X26" s="3287"/>
      <c r="Y26" s="3287"/>
      <c r="Z26" s="3287"/>
      <c r="AA26" s="3288"/>
      <c r="AB26" s="1121"/>
      <c r="AC26" s="392"/>
      <c r="AD26" s="392"/>
      <c r="AE26" s="392"/>
      <c r="AF26" s="392"/>
      <c r="AG26" s="392"/>
      <c r="AH26" s="392"/>
      <c r="AI26" s="392"/>
      <c r="AJ26" s="392"/>
      <c r="AK26" s="392"/>
      <c r="AL26" s="392"/>
      <c r="AM26" s="392"/>
      <c r="AN26" s="392"/>
      <c r="AO26" s="391"/>
      <c r="AP26" s="391"/>
      <c r="AQ26" s="392"/>
      <c r="AR26" s="392"/>
      <c r="AS26" s="392"/>
      <c r="AT26" s="392"/>
      <c r="AU26" s="392"/>
      <c r="AV26" s="392"/>
      <c r="AW26" s="392"/>
      <c r="AX26" s="392"/>
      <c r="AY26" s="392"/>
      <c r="AZ26" s="392"/>
      <c r="BA26" s="392"/>
      <c r="BB26" s="392"/>
      <c r="BC26" s="391"/>
    </row>
    <row r="27" spans="1:55" s="390" customFormat="1" ht="24" customHeight="1" x14ac:dyDescent="0.15">
      <c r="A27" s="1120"/>
      <c r="B27" s="3286"/>
      <c r="C27" s="3287"/>
      <c r="D27" s="3287"/>
      <c r="E27" s="3287"/>
      <c r="F27" s="3287"/>
      <c r="G27" s="3287"/>
      <c r="H27" s="3287"/>
      <c r="I27" s="3287"/>
      <c r="J27" s="3287"/>
      <c r="K27" s="3287"/>
      <c r="L27" s="3287"/>
      <c r="M27" s="3288"/>
      <c r="N27" s="1121"/>
      <c r="O27" s="1120"/>
      <c r="P27" s="3286"/>
      <c r="Q27" s="3287"/>
      <c r="R27" s="3287"/>
      <c r="S27" s="3287"/>
      <c r="T27" s="3287"/>
      <c r="U27" s="3287"/>
      <c r="V27" s="3287"/>
      <c r="W27" s="3287"/>
      <c r="X27" s="3287"/>
      <c r="Y27" s="3287"/>
      <c r="Z27" s="3287"/>
      <c r="AA27" s="3288"/>
      <c r="AB27" s="1121"/>
      <c r="AC27" s="392"/>
      <c r="AD27" s="392"/>
      <c r="AE27" s="392"/>
      <c r="AF27" s="392"/>
      <c r="AG27" s="392"/>
      <c r="AH27" s="392"/>
      <c r="AI27" s="392"/>
      <c r="AJ27" s="392"/>
      <c r="AK27" s="392"/>
      <c r="AL27" s="392"/>
      <c r="AM27" s="392"/>
      <c r="AN27" s="392"/>
      <c r="AO27" s="391"/>
      <c r="AP27" s="391"/>
      <c r="AQ27" s="392"/>
      <c r="AR27" s="392"/>
      <c r="AS27" s="392"/>
      <c r="AT27" s="392"/>
      <c r="AU27" s="392"/>
      <c r="AV27" s="392"/>
      <c r="AW27" s="392"/>
      <c r="AX27" s="392"/>
      <c r="AY27" s="392"/>
      <c r="AZ27" s="392"/>
      <c r="BA27" s="392"/>
      <c r="BB27" s="392"/>
      <c r="BC27" s="391"/>
    </row>
    <row r="28" spans="1:55" s="390" customFormat="1" ht="24" customHeight="1" thickBot="1" x14ac:dyDescent="0.2">
      <c r="A28" s="1120"/>
      <c r="B28" s="3289"/>
      <c r="C28" s="3290"/>
      <c r="D28" s="3290"/>
      <c r="E28" s="3290"/>
      <c r="F28" s="3290"/>
      <c r="G28" s="3290"/>
      <c r="H28" s="3290"/>
      <c r="I28" s="3290"/>
      <c r="J28" s="3290"/>
      <c r="K28" s="3290"/>
      <c r="L28" s="3290"/>
      <c r="M28" s="3291"/>
      <c r="N28" s="1121"/>
      <c r="O28" s="1120"/>
      <c r="P28" s="3289"/>
      <c r="Q28" s="3290"/>
      <c r="R28" s="3290"/>
      <c r="S28" s="3290"/>
      <c r="T28" s="3290"/>
      <c r="U28" s="3290"/>
      <c r="V28" s="3290"/>
      <c r="W28" s="3290"/>
      <c r="X28" s="3290"/>
      <c r="Y28" s="3290"/>
      <c r="Z28" s="3290"/>
      <c r="AA28" s="3291"/>
      <c r="AB28" s="1121"/>
      <c r="AC28" s="392"/>
      <c r="AD28" s="392"/>
      <c r="AE28" s="392"/>
      <c r="AF28" s="392"/>
      <c r="AG28" s="392"/>
      <c r="AH28" s="392"/>
      <c r="AI28" s="392"/>
      <c r="AJ28" s="392"/>
      <c r="AK28" s="392"/>
      <c r="AL28" s="392"/>
      <c r="AM28" s="392"/>
      <c r="AN28" s="392"/>
      <c r="AO28" s="391"/>
      <c r="AP28" s="391"/>
      <c r="AQ28" s="392"/>
      <c r="AR28" s="392"/>
      <c r="AS28" s="392"/>
      <c r="AT28" s="392"/>
      <c r="AU28" s="392"/>
      <c r="AV28" s="392"/>
      <c r="AW28" s="392"/>
      <c r="AX28" s="392"/>
      <c r="AY28" s="392"/>
      <c r="AZ28" s="392"/>
      <c r="BA28" s="392"/>
      <c r="BB28" s="392"/>
      <c r="BC28" s="391"/>
    </row>
    <row r="29" spans="1:55" s="390" customFormat="1" ht="6" customHeight="1" x14ac:dyDescent="0.15">
      <c r="A29" s="1120"/>
      <c r="B29" s="1124"/>
      <c r="C29" s="1124"/>
      <c r="D29" s="1124"/>
      <c r="E29" s="1124"/>
      <c r="F29" s="1124"/>
      <c r="G29" s="1124"/>
      <c r="H29" s="1124"/>
      <c r="I29" s="1124"/>
      <c r="J29" s="1124"/>
      <c r="K29" s="1124"/>
      <c r="L29" s="1124"/>
      <c r="M29" s="1124"/>
      <c r="N29" s="1121"/>
      <c r="O29" s="1120"/>
      <c r="P29" s="1124"/>
      <c r="Q29" s="1124"/>
      <c r="R29" s="1124"/>
      <c r="S29" s="1124"/>
      <c r="T29" s="1124"/>
      <c r="U29" s="1124"/>
      <c r="V29" s="1124"/>
      <c r="W29" s="1124"/>
      <c r="X29" s="1124"/>
      <c r="Y29" s="1124"/>
      <c r="Z29" s="1124"/>
      <c r="AA29" s="1124"/>
      <c r="AB29" s="1121"/>
      <c r="AC29" s="392"/>
      <c r="AD29" s="392"/>
      <c r="AE29" s="392"/>
      <c r="AF29" s="392"/>
      <c r="AG29" s="392"/>
      <c r="AH29" s="392"/>
      <c r="AI29" s="392"/>
      <c r="AJ29" s="392"/>
      <c r="AK29" s="392"/>
      <c r="AL29" s="392"/>
      <c r="AM29" s="392"/>
      <c r="AN29" s="392"/>
      <c r="AO29" s="391"/>
      <c r="AP29" s="391"/>
      <c r="AQ29" s="392"/>
      <c r="AR29" s="392"/>
      <c r="AS29" s="392"/>
      <c r="AT29" s="392"/>
      <c r="AU29" s="392"/>
      <c r="AV29" s="392"/>
      <c r="AW29" s="392"/>
      <c r="AX29" s="392"/>
      <c r="AY29" s="392"/>
      <c r="AZ29" s="392"/>
      <c r="BA29" s="392"/>
      <c r="BB29" s="392"/>
      <c r="BC29" s="391"/>
    </row>
    <row r="30" spans="1:55" s="390" customFormat="1" ht="6" customHeight="1" thickBot="1" x14ac:dyDescent="0.2">
      <c r="A30" s="1125"/>
      <c r="B30" s="1126"/>
      <c r="C30" s="1126"/>
      <c r="D30" s="1126"/>
      <c r="E30" s="1126"/>
      <c r="F30" s="1126"/>
      <c r="G30" s="1126"/>
      <c r="H30" s="1126"/>
      <c r="I30" s="1126"/>
      <c r="J30" s="1126"/>
      <c r="K30" s="1126"/>
      <c r="L30" s="1126"/>
      <c r="M30" s="1126"/>
      <c r="N30" s="1127"/>
      <c r="O30" s="1125"/>
      <c r="P30" s="1126"/>
      <c r="Q30" s="1126"/>
      <c r="R30" s="1126"/>
      <c r="S30" s="1126"/>
      <c r="T30" s="1126"/>
      <c r="U30" s="1126"/>
      <c r="V30" s="1126"/>
      <c r="W30" s="1126"/>
      <c r="X30" s="1126"/>
      <c r="Y30" s="1126"/>
      <c r="Z30" s="1126"/>
      <c r="AA30" s="1126"/>
      <c r="AB30" s="1127"/>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row>
    <row r="31" spans="1:55" s="390" customFormat="1" ht="19.5" customHeight="1" x14ac:dyDescent="0.15">
      <c r="A31" s="1120"/>
      <c r="B31" s="3280">
        <f>$B$4</f>
        <v>0</v>
      </c>
      <c r="C31" s="3281"/>
      <c r="D31" s="3281"/>
      <c r="E31" s="3281"/>
      <c r="F31" s="3281"/>
      <c r="G31" s="3281"/>
      <c r="H31" s="3281"/>
      <c r="I31" s="3281"/>
      <c r="J31" s="3281"/>
      <c r="K31" s="3281"/>
      <c r="L31" s="3281"/>
      <c r="M31" s="3282"/>
      <c r="N31" s="1121"/>
      <c r="O31" s="1120"/>
      <c r="P31" s="3280">
        <f>$B$4</f>
        <v>0</v>
      </c>
      <c r="Q31" s="3281"/>
      <c r="R31" s="3281"/>
      <c r="S31" s="3281"/>
      <c r="T31" s="3281"/>
      <c r="U31" s="3281"/>
      <c r="V31" s="3281"/>
      <c r="W31" s="3281"/>
      <c r="X31" s="3281"/>
      <c r="Y31" s="3281"/>
      <c r="Z31" s="3281"/>
      <c r="AA31" s="3282"/>
      <c r="AB31" s="1121"/>
      <c r="AC31" s="394"/>
      <c r="AD31" s="393"/>
      <c r="AE31" s="393"/>
      <c r="AF31" s="393"/>
      <c r="AG31" s="393"/>
      <c r="AH31" s="393"/>
      <c r="AI31" s="393"/>
      <c r="AJ31" s="393"/>
      <c r="AK31" s="393"/>
      <c r="AL31" s="393"/>
      <c r="AM31" s="393"/>
      <c r="AN31" s="393"/>
      <c r="AO31" s="391"/>
      <c r="AP31" s="391"/>
      <c r="AQ31" s="394"/>
      <c r="AR31" s="393"/>
      <c r="AS31" s="393"/>
      <c r="AT31" s="393"/>
      <c r="AU31" s="393"/>
      <c r="AV31" s="393"/>
      <c r="AW31" s="393"/>
      <c r="AX31" s="393"/>
      <c r="AY31" s="393"/>
      <c r="AZ31" s="393"/>
      <c r="BA31" s="393"/>
      <c r="BB31" s="393"/>
      <c r="BC31" s="391"/>
    </row>
    <row r="32" spans="1:55" s="390" customFormat="1" ht="19.5" customHeight="1" x14ac:dyDescent="0.15">
      <c r="A32" s="1120"/>
      <c r="B32" s="3283"/>
      <c r="C32" s="3284"/>
      <c r="D32" s="3284"/>
      <c r="E32" s="3284"/>
      <c r="F32" s="3284"/>
      <c r="G32" s="3284"/>
      <c r="H32" s="3284"/>
      <c r="I32" s="3284"/>
      <c r="J32" s="3284"/>
      <c r="K32" s="3284"/>
      <c r="L32" s="3284"/>
      <c r="M32" s="3285"/>
      <c r="N32" s="1121"/>
      <c r="O32" s="1120"/>
      <c r="P32" s="3283"/>
      <c r="Q32" s="3284"/>
      <c r="R32" s="3284"/>
      <c r="S32" s="3284"/>
      <c r="T32" s="3284"/>
      <c r="U32" s="3284"/>
      <c r="V32" s="3284"/>
      <c r="W32" s="3284"/>
      <c r="X32" s="3284"/>
      <c r="Y32" s="3284"/>
      <c r="Z32" s="3284"/>
      <c r="AA32" s="3285"/>
      <c r="AB32" s="1121"/>
      <c r="AC32" s="393"/>
      <c r="AD32" s="393"/>
      <c r="AE32" s="393"/>
      <c r="AF32" s="393"/>
      <c r="AG32" s="393"/>
      <c r="AH32" s="393"/>
      <c r="AI32" s="393"/>
      <c r="AJ32" s="393"/>
      <c r="AK32" s="393"/>
      <c r="AL32" s="393"/>
      <c r="AM32" s="393"/>
      <c r="AN32" s="393"/>
      <c r="AO32" s="391"/>
      <c r="AP32" s="391"/>
      <c r="AQ32" s="393"/>
      <c r="AR32" s="393"/>
      <c r="AS32" s="393"/>
      <c r="AT32" s="393"/>
      <c r="AU32" s="393"/>
      <c r="AV32" s="393"/>
      <c r="AW32" s="393"/>
      <c r="AX32" s="393"/>
      <c r="AY32" s="393"/>
      <c r="AZ32" s="393"/>
      <c r="BA32" s="393"/>
      <c r="BB32" s="393"/>
      <c r="BC32" s="391"/>
    </row>
    <row r="33" spans="1:55" s="390" customFormat="1" ht="19.5" customHeight="1" x14ac:dyDescent="0.15">
      <c r="A33" s="1120"/>
      <c r="B33" s="3283"/>
      <c r="C33" s="3284"/>
      <c r="D33" s="3284"/>
      <c r="E33" s="3284"/>
      <c r="F33" s="3284"/>
      <c r="G33" s="3284"/>
      <c r="H33" s="3284"/>
      <c r="I33" s="3284"/>
      <c r="J33" s="3284"/>
      <c r="K33" s="3284"/>
      <c r="L33" s="3284"/>
      <c r="M33" s="3285"/>
      <c r="N33" s="1121"/>
      <c r="O33" s="1120"/>
      <c r="P33" s="3283"/>
      <c r="Q33" s="3284"/>
      <c r="R33" s="3284"/>
      <c r="S33" s="3284"/>
      <c r="T33" s="3284"/>
      <c r="U33" s="3284"/>
      <c r="V33" s="3284"/>
      <c r="W33" s="3284"/>
      <c r="X33" s="3284"/>
      <c r="Y33" s="3284"/>
      <c r="Z33" s="3284"/>
      <c r="AA33" s="3285"/>
      <c r="AB33" s="1121"/>
      <c r="AC33" s="393"/>
      <c r="AD33" s="393"/>
      <c r="AE33" s="393"/>
      <c r="AF33" s="393"/>
      <c r="AG33" s="393"/>
      <c r="AH33" s="393"/>
      <c r="AI33" s="393"/>
      <c r="AJ33" s="393"/>
      <c r="AK33" s="393"/>
      <c r="AL33" s="393"/>
      <c r="AM33" s="393"/>
      <c r="AN33" s="393"/>
      <c r="AO33" s="391"/>
      <c r="AP33" s="391"/>
      <c r="AQ33" s="393"/>
      <c r="AR33" s="393"/>
      <c r="AS33" s="393"/>
      <c r="AT33" s="393"/>
      <c r="AU33" s="393"/>
      <c r="AV33" s="393"/>
      <c r="AW33" s="393"/>
      <c r="AX33" s="393"/>
      <c r="AY33" s="393"/>
      <c r="AZ33" s="393"/>
      <c r="BA33" s="393"/>
      <c r="BB33" s="393"/>
      <c r="BC33" s="391"/>
    </row>
    <row r="34" spans="1:55" s="390" customFormat="1" ht="24" customHeight="1" x14ac:dyDescent="0.15">
      <c r="A34" s="1120"/>
      <c r="B34" s="3286"/>
      <c r="C34" s="3287"/>
      <c r="D34" s="3287"/>
      <c r="E34" s="3287"/>
      <c r="F34" s="3287"/>
      <c r="G34" s="3287"/>
      <c r="H34" s="3287"/>
      <c r="I34" s="3287"/>
      <c r="J34" s="3287"/>
      <c r="K34" s="3287"/>
      <c r="L34" s="3287"/>
      <c r="M34" s="3288"/>
      <c r="N34" s="1121"/>
      <c r="O34" s="1120"/>
      <c r="P34" s="3286"/>
      <c r="Q34" s="3287"/>
      <c r="R34" s="3287"/>
      <c r="S34" s="3287"/>
      <c r="T34" s="3287"/>
      <c r="U34" s="3287"/>
      <c r="V34" s="3287"/>
      <c r="W34" s="3287"/>
      <c r="X34" s="3287"/>
      <c r="Y34" s="3287"/>
      <c r="Z34" s="3287"/>
      <c r="AA34" s="3288"/>
      <c r="AB34" s="1121"/>
      <c r="AC34" s="392"/>
      <c r="AD34" s="392"/>
      <c r="AE34" s="392"/>
      <c r="AF34" s="392"/>
      <c r="AG34" s="392"/>
      <c r="AH34" s="392"/>
      <c r="AI34" s="392"/>
      <c r="AJ34" s="392"/>
      <c r="AK34" s="392"/>
      <c r="AL34" s="392"/>
      <c r="AM34" s="392"/>
      <c r="AN34" s="392"/>
      <c r="AO34" s="391"/>
      <c r="AP34" s="391"/>
      <c r="AQ34" s="392"/>
      <c r="AR34" s="392"/>
      <c r="AS34" s="392"/>
      <c r="AT34" s="392"/>
      <c r="AU34" s="392"/>
      <c r="AV34" s="392"/>
      <c r="AW34" s="392"/>
      <c r="AX34" s="392"/>
      <c r="AY34" s="392"/>
      <c r="AZ34" s="392"/>
      <c r="BA34" s="392"/>
      <c r="BB34" s="392"/>
      <c r="BC34" s="391"/>
    </row>
    <row r="35" spans="1:55" s="390" customFormat="1" ht="24" customHeight="1" x14ac:dyDescent="0.15">
      <c r="A35" s="1120"/>
      <c r="B35" s="3286"/>
      <c r="C35" s="3287"/>
      <c r="D35" s="3287"/>
      <c r="E35" s="3287"/>
      <c r="F35" s="3287"/>
      <c r="G35" s="3287"/>
      <c r="H35" s="3287"/>
      <c r="I35" s="3287"/>
      <c r="J35" s="3287"/>
      <c r="K35" s="3287"/>
      <c r="L35" s="3287"/>
      <c r="M35" s="3288"/>
      <c r="N35" s="1121"/>
      <c r="O35" s="1120"/>
      <c r="P35" s="3286"/>
      <c r="Q35" s="3287"/>
      <c r="R35" s="3287"/>
      <c r="S35" s="3287"/>
      <c r="T35" s="3287"/>
      <c r="U35" s="3287"/>
      <c r="V35" s="3287"/>
      <c r="W35" s="3287"/>
      <c r="X35" s="3287"/>
      <c r="Y35" s="3287"/>
      <c r="Z35" s="3287"/>
      <c r="AA35" s="3288"/>
      <c r="AB35" s="1121"/>
      <c r="AC35" s="392"/>
      <c r="AD35" s="392"/>
      <c r="AE35" s="392"/>
      <c r="AF35" s="392"/>
      <c r="AG35" s="392"/>
      <c r="AH35" s="392"/>
      <c r="AI35" s="392"/>
      <c r="AJ35" s="392"/>
      <c r="AK35" s="392"/>
      <c r="AL35" s="392"/>
      <c r="AM35" s="392"/>
      <c r="AN35" s="392"/>
      <c r="AO35" s="391"/>
      <c r="AP35" s="391"/>
      <c r="AQ35" s="392"/>
      <c r="AR35" s="392"/>
      <c r="AS35" s="392"/>
      <c r="AT35" s="392"/>
      <c r="AU35" s="392"/>
      <c r="AV35" s="392"/>
      <c r="AW35" s="392"/>
      <c r="AX35" s="392"/>
      <c r="AY35" s="392"/>
      <c r="AZ35" s="392"/>
      <c r="BA35" s="392"/>
      <c r="BB35" s="392"/>
      <c r="BC35" s="391"/>
    </row>
    <row r="36" spans="1:55" s="390" customFormat="1" ht="24" customHeight="1" x14ac:dyDescent="0.15">
      <c r="A36" s="1120"/>
      <c r="B36" s="3286"/>
      <c r="C36" s="3287"/>
      <c r="D36" s="3287"/>
      <c r="E36" s="3287"/>
      <c r="F36" s="3287"/>
      <c r="G36" s="3287"/>
      <c r="H36" s="3287"/>
      <c r="I36" s="3287"/>
      <c r="J36" s="3287"/>
      <c r="K36" s="3287"/>
      <c r="L36" s="3287"/>
      <c r="M36" s="3288"/>
      <c r="N36" s="1121"/>
      <c r="O36" s="1120"/>
      <c r="P36" s="3286"/>
      <c r="Q36" s="3287"/>
      <c r="R36" s="3287"/>
      <c r="S36" s="3287"/>
      <c r="T36" s="3287"/>
      <c r="U36" s="3287"/>
      <c r="V36" s="3287"/>
      <c r="W36" s="3287"/>
      <c r="X36" s="3287"/>
      <c r="Y36" s="3287"/>
      <c r="Z36" s="3287"/>
      <c r="AA36" s="3288"/>
      <c r="AB36" s="1121"/>
      <c r="AC36" s="392"/>
      <c r="AD36" s="392"/>
      <c r="AE36" s="392"/>
      <c r="AF36" s="392"/>
      <c r="AG36" s="392"/>
      <c r="AH36" s="392"/>
      <c r="AI36" s="392"/>
      <c r="AJ36" s="392"/>
      <c r="AK36" s="392"/>
      <c r="AL36" s="392"/>
      <c r="AM36" s="392"/>
      <c r="AN36" s="392"/>
      <c r="AO36" s="391"/>
      <c r="AP36" s="391"/>
      <c r="AQ36" s="392"/>
      <c r="AR36" s="392"/>
      <c r="AS36" s="392"/>
      <c r="AT36" s="392"/>
      <c r="AU36" s="392"/>
      <c r="AV36" s="392"/>
      <c r="AW36" s="392"/>
      <c r="AX36" s="392"/>
      <c r="AY36" s="392"/>
      <c r="AZ36" s="392"/>
      <c r="BA36" s="392"/>
      <c r="BB36" s="392"/>
      <c r="BC36" s="391"/>
    </row>
    <row r="37" spans="1:55" s="390" customFormat="1" ht="24" customHeight="1" thickBot="1" x14ac:dyDescent="0.2">
      <c r="A37" s="1120"/>
      <c r="B37" s="3289"/>
      <c r="C37" s="3290"/>
      <c r="D37" s="3290"/>
      <c r="E37" s="3290"/>
      <c r="F37" s="3290"/>
      <c r="G37" s="3290"/>
      <c r="H37" s="3290"/>
      <c r="I37" s="3290"/>
      <c r="J37" s="3290"/>
      <c r="K37" s="3290"/>
      <c r="L37" s="3290"/>
      <c r="M37" s="3291"/>
      <c r="N37" s="1121"/>
      <c r="O37" s="1120"/>
      <c r="P37" s="3289"/>
      <c r="Q37" s="3290"/>
      <c r="R37" s="3290"/>
      <c r="S37" s="3290"/>
      <c r="T37" s="3290"/>
      <c r="U37" s="3290"/>
      <c r="V37" s="3290"/>
      <c r="W37" s="3290"/>
      <c r="X37" s="3290"/>
      <c r="Y37" s="3290"/>
      <c r="Z37" s="3290"/>
      <c r="AA37" s="3291"/>
      <c r="AB37" s="1121"/>
      <c r="AC37" s="392"/>
      <c r="AD37" s="392"/>
      <c r="AE37" s="392"/>
      <c r="AF37" s="392"/>
      <c r="AG37" s="392"/>
      <c r="AH37" s="392"/>
      <c r="AI37" s="392"/>
      <c r="AJ37" s="392"/>
      <c r="AK37" s="392"/>
      <c r="AL37" s="392"/>
      <c r="AM37" s="392"/>
      <c r="AN37" s="392"/>
      <c r="AO37" s="391"/>
      <c r="AP37" s="391"/>
      <c r="AQ37" s="392"/>
      <c r="AR37" s="392"/>
      <c r="AS37" s="392"/>
      <c r="AT37" s="392"/>
      <c r="AU37" s="392"/>
      <c r="AV37" s="392"/>
      <c r="AW37" s="392"/>
      <c r="AX37" s="392"/>
      <c r="AY37" s="392"/>
      <c r="AZ37" s="392"/>
      <c r="BA37" s="392"/>
      <c r="BB37" s="392"/>
      <c r="BC37" s="391"/>
    </row>
    <row r="38" spans="1:55" s="390" customFormat="1" ht="6" customHeight="1" x14ac:dyDescent="0.15">
      <c r="A38" s="1120"/>
      <c r="B38" s="1124"/>
      <c r="C38" s="1124"/>
      <c r="D38" s="1124"/>
      <c r="E38" s="1124"/>
      <c r="F38" s="1124"/>
      <c r="G38" s="1124"/>
      <c r="H38" s="1124"/>
      <c r="I38" s="1124"/>
      <c r="J38" s="1124"/>
      <c r="K38" s="1124"/>
      <c r="L38" s="1124"/>
      <c r="M38" s="1124"/>
      <c r="N38" s="1121"/>
      <c r="O38" s="1120"/>
      <c r="P38" s="1124"/>
      <c r="Q38" s="1124"/>
      <c r="R38" s="1124"/>
      <c r="S38" s="1124"/>
      <c r="T38" s="1124"/>
      <c r="U38" s="1124"/>
      <c r="V38" s="1124"/>
      <c r="W38" s="1124"/>
      <c r="X38" s="1124"/>
      <c r="Y38" s="1124"/>
      <c r="Z38" s="1124"/>
      <c r="AA38" s="1124"/>
      <c r="AB38" s="1121"/>
      <c r="AC38" s="392"/>
      <c r="AD38" s="392"/>
      <c r="AE38" s="392"/>
      <c r="AF38" s="392"/>
      <c r="AG38" s="392"/>
      <c r="AH38" s="392"/>
      <c r="AI38" s="392"/>
      <c r="AJ38" s="392"/>
      <c r="AK38" s="392"/>
      <c r="AL38" s="392"/>
      <c r="AM38" s="392"/>
      <c r="AN38" s="392"/>
      <c r="AO38" s="391"/>
      <c r="AP38" s="391"/>
      <c r="AQ38" s="392"/>
      <c r="AR38" s="392"/>
      <c r="AS38" s="392"/>
      <c r="AT38" s="392"/>
      <c r="AU38" s="392"/>
      <c r="AV38" s="392"/>
      <c r="AW38" s="392"/>
      <c r="AX38" s="392"/>
      <c r="AY38" s="392"/>
      <c r="AZ38" s="392"/>
      <c r="BA38" s="392"/>
      <c r="BB38" s="392"/>
      <c r="BC38" s="391"/>
    </row>
    <row r="39" spans="1:55" s="390" customFormat="1" ht="6" customHeight="1" thickBot="1" x14ac:dyDescent="0.2">
      <c r="A39" s="1125"/>
      <c r="B39" s="1126"/>
      <c r="C39" s="1126"/>
      <c r="D39" s="1126"/>
      <c r="E39" s="1126"/>
      <c r="F39" s="1126"/>
      <c r="G39" s="1126"/>
      <c r="H39" s="1126"/>
      <c r="I39" s="1126"/>
      <c r="J39" s="1126"/>
      <c r="K39" s="1126"/>
      <c r="L39" s="1126"/>
      <c r="M39" s="1126"/>
      <c r="N39" s="1127"/>
      <c r="O39" s="1125"/>
      <c r="P39" s="1126"/>
      <c r="Q39" s="1126"/>
      <c r="R39" s="1126"/>
      <c r="S39" s="1126"/>
      <c r="T39" s="1126"/>
      <c r="U39" s="1126"/>
      <c r="V39" s="1126"/>
      <c r="W39" s="1126"/>
      <c r="X39" s="1126"/>
      <c r="Y39" s="1126"/>
      <c r="Z39" s="1126"/>
      <c r="AA39" s="1126"/>
      <c r="AB39" s="1127"/>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row>
    <row r="40" spans="1:55" s="390" customFormat="1" ht="19.5" customHeight="1" x14ac:dyDescent="0.15">
      <c r="A40" s="1120"/>
      <c r="B40" s="3280">
        <f>$B$4</f>
        <v>0</v>
      </c>
      <c r="C40" s="3281"/>
      <c r="D40" s="3281"/>
      <c r="E40" s="3281"/>
      <c r="F40" s="3281"/>
      <c r="G40" s="3281"/>
      <c r="H40" s="3281"/>
      <c r="I40" s="3281"/>
      <c r="J40" s="3281"/>
      <c r="K40" s="3281"/>
      <c r="L40" s="3281"/>
      <c r="M40" s="3282"/>
      <c r="N40" s="1121"/>
      <c r="O40" s="1120"/>
      <c r="P40" s="3280">
        <f>$B$4</f>
        <v>0</v>
      </c>
      <c r="Q40" s="3281"/>
      <c r="R40" s="3281"/>
      <c r="S40" s="3281"/>
      <c r="T40" s="3281"/>
      <c r="U40" s="3281"/>
      <c r="V40" s="3281"/>
      <c r="W40" s="3281"/>
      <c r="X40" s="3281"/>
      <c r="Y40" s="3281"/>
      <c r="Z40" s="3281"/>
      <c r="AA40" s="3282"/>
      <c r="AB40" s="1121"/>
      <c r="AC40" s="394"/>
      <c r="AD40" s="393"/>
      <c r="AE40" s="393"/>
      <c r="AF40" s="393"/>
      <c r="AG40" s="393"/>
      <c r="AH40" s="393"/>
      <c r="AI40" s="393"/>
      <c r="AJ40" s="393"/>
      <c r="AK40" s="393"/>
      <c r="AL40" s="393"/>
      <c r="AM40" s="393"/>
      <c r="AN40" s="393"/>
      <c r="AO40" s="391"/>
      <c r="AP40" s="391"/>
      <c r="AQ40" s="394"/>
      <c r="AR40" s="393"/>
      <c r="AS40" s="393"/>
      <c r="AT40" s="393"/>
      <c r="AU40" s="393"/>
      <c r="AV40" s="393"/>
      <c r="AW40" s="393"/>
      <c r="AX40" s="393"/>
      <c r="AY40" s="393"/>
      <c r="AZ40" s="393"/>
      <c r="BA40" s="393"/>
      <c r="BB40" s="393"/>
      <c r="BC40" s="391"/>
    </row>
    <row r="41" spans="1:55" s="390" customFormat="1" ht="19.5" customHeight="1" x14ac:dyDescent="0.15">
      <c r="A41" s="1120"/>
      <c r="B41" s="3283"/>
      <c r="C41" s="3284"/>
      <c r="D41" s="3284"/>
      <c r="E41" s="3284"/>
      <c r="F41" s="3284"/>
      <c r="G41" s="3284"/>
      <c r="H41" s="3284"/>
      <c r="I41" s="3284"/>
      <c r="J41" s="3284"/>
      <c r="K41" s="3284"/>
      <c r="L41" s="3284"/>
      <c r="M41" s="3285"/>
      <c r="N41" s="1121"/>
      <c r="O41" s="1120"/>
      <c r="P41" s="3283"/>
      <c r="Q41" s="3284"/>
      <c r="R41" s="3284"/>
      <c r="S41" s="3284"/>
      <c r="T41" s="3284"/>
      <c r="U41" s="3284"/>
      <c r="V41" s="3284"/>
      <c r="W41" s="3284"/>
      <c r="X41" s="3284"/>
      <c r="Y41" s="3284"/>
      <c r="Z41" s="3284"/>
      <c r="AA41" s="3285"/>
      <c r="AB41" s="1121"/>
      <c r="AC41" s="393"/>
      <c r="AD41" s="393"/>
      <c r="AE41" s="393"/>
      <c r="AF41" s="393"/>
      <c r="AG41" s="393"/>
      <c r="AH41" s="393"/>
      <c r="AI41" s="393"/>
      <c r="AJ41" s="393"/>
      <c r="AK41" s="393"/>
      <c r="AL41" s="393"/>
      <c r="AM41" s="393"/>
      <c r="AN41" s="393"/>
      <c r="AO41" s="391"/>
      <c r="AP41" s="391"/>
      <c r="AQ41" s="393"/>
      <c r="AR41" s="393"/>
      <c r="AS41" s="393"/>
      <c r="AT41" s="393"/>
      <c r="AU41" s="393"/>
      <c r="AV41" s="393"/>
      <c r="AW41" s="393"/>
      <c r="AX41" s="393"/>
      <c r="AY41" s="393"/>
      <c r="AZ41" s="393"/>
      <c r="BA41" s="393"/>
      <c r="BB41" s="393"/>
      <c r="BC41" s="391"/>
    </row>
    <row r="42" spans="1:55" s="390" customFormat="1" ht="19.5" customHeight="1" x14ac:dyDescent="0.15">
      <c r="A42" s="1120"/>
      <c r="B42" s="3283"/>
      <c r="C42" s="3284"/>
      <c r="D42" s="3284"/>
      <c r="E42" s="3284"/>
      <c r="F42" s="3284"/>
      <c r="G42" s="3284"/>
      <c r="H42" s="3284"/>
      <c r="I42" s="3284"/>
      <c r="J42" s="3284"/>
      <c r="K42" s="3284"/>
      <c r="L42" s="3284"/>
      <c r="M42" s="3285"/>
      <c r="N42" s="1121"/>
      <c r="O42" s="1120"/>
      <c r="P42" s="3283"/>
      <c r="Q42" s="3284"/>
      <c r="R42" s="3284"/>
      <c r="S42" s="3284"/>
      <c r="T42" s="3284"/>
      <c r="U42" s="3284"/>
      <c r="V42" s="3284"/>
      <c r="W42" s="3284"/>
      <c r="X42" s="3284"/>
      <c r="Y42" s="3284"/>
      <c r="Z42" s="3284"/>
      <c r="AA42" s="3285"/>
      <c r="AB42" s="1121"/>
      <c r="AC42" s="393"/>
      <c r="AD42" s="393"/>
      <c r="AE42" s="393"/>
      <c r="AF42" s="393"/>
      <c r="AG42" s="393"/>
      <c r="AH42" s="393"/>
      <c r="AI42" s="393"/>
      <c r="AJ42" s="393"/>
      <c r="AK42" s="393"/>
      <c r="AL42" s="393"/>
      <c r="AM42" s="393"/>
      <c r="AN42" s="393"/>
      <c r="AO42" s="391"/>
      <c r="AP42" s="391"/>
      <c r="AQ42" s="393"/>
      <c r="AR42" s="393"/>
      <c r="AS42" s="393"/>
      <c r="AT42" s="393"/>
      <c r="AU42" s="393"/>
      <c r="AV42" s="393"/>
      <c r="AW42" s="393"/>
      <c r="AX42" s="393"/>
      <c r="AY42" s="393"/>
      <c r="AZ42" s="393"/>
      <c r="BA42" s="393"/>
      <c r="BB42" s="393"/>
      <c r="BC42" s="391"/>
    </row>
    <row r="43" spans="1:55" s="390" customFormat="1" ht="24" customHeight="1" x14ac:dyDescent="0.15">
      <c r="A43" s="1120"/>
      <c r="B43" s="3286"/>
      <c r="C43" s="3287"/>
      <c r="D43" s="3287"/>
      <c r="E43" s="3287"/>
      <c r="F43" s="3287"/>
      <c r="G43" s="3287"/>
      <c r="H43" s="3287"/>
      <c r="I43" s="3287"/>
      <c r="J43" s="3287"/>
      <c r="K43" s="3287"/>
      <c r="L43" s="3287"/>
      <c r="M43" s="3288"/>
      <c r="N43" s="1121"/>
      <c r="O43" s="1120"/>
      <c r="P43" s="3286"/>
      <c r="Q43" s="3287"/>
      <c r="R43" s="3287"/>
      <c r="S43" s="3287"/>
      <c r="T43" s="3287"/>
      <c r="U43" s="3287"/>
      <c r="V43" s="3287"/>
      <c r="W43" s="3287"/>
      <c r="X43" s="3287"/>
      <c r="Y43" s="3287"/>
      <c r="Z43" s="3287"/>
      <c r="AA43" s="3288"/>
      <c r="AB43" s="1121"/>
      <c r="AC43" s="392"/>
      <c r="AD43" s="392"/>
      <c r="AE43" s="392"/>
      <c r="AF43" s="392"/>
      <c r="AG43" s="392"/>
      <c r="AH43" s="392"/>
      <c r="AI43" s="392"/>
      <c r="AJ43" s="392"/>
      <c r="AK43" s="392"/>
      <c r="AL43" s="392"/>
      <c r="AM43" s="392"/>
      <c r="AN43" s="392"/>
      <c r="AO43" s="391"/>
      <c r="AP43" s="391"/>
      <c r="AQ43" s="392"/>
      <c r="AR43" s="392"/>
      <c r="AS43" s="392"/>
      <c r="AT43" s="392"/>
      <c r="AU43" s="392"/>
      <c r="AV43" s="392"/>
      <c r="AW43" s="392"/>
      <c r="AX43" s="392"/>
      <c r="AY43" s="392"/>
      <c r="AZ43" s="392"/>
      <c r="BA43" s="392"/>
      <c r="BB43" s="392"/>
      <c r="BC43" s="391"/>
    </row>
    <row r="44" spans="1:55" s="390" customFormat="1" ht="24" customHeight="1" x14ac:dyDescent="0.15">
      <c r="A44" s="1120"/>
      <c r="B44" s="3286"/>
      <c r="C44" s="3287"/>
      <c r="D44" s="3287"/>
      <c r="E44" s="3287"/>
      <c r="F44" s="3287"/>
      <c r="G44" s="3287"/>
      <c r="H44" s="3287"/>
      <c r="I44" s="3287"/>
      <c r="J44" s="3287"/>
      <c r="K44" s="3287"/>
      <c r="L44" s="3287"/>
      <c r="M44" s="3288"/>
      <c r="N44" s="1121"/>
      <c r="O44" s="1120"/>
      <c r="P44" s="3286"/>
      <c r="Q44" s="3287"/>
      <c r="R44" s="3287"/>
      <c r="S44" s="3287"/>
      <c r="T44" s="3287"/>
      <c r="U44" s="3287"/>
      <c r="V44" s="3287"/>
      <c r="W44" s="3287"/>
      <c r="X44" s="3287"/>
      <c r="Y44" s="3287"/>
      <c r="Z44" s="3287"/>
      <c r="AA44" s="3288"/>
      <c r="AB44" s="1121"/>
      <c r="AC44" s="392"/>
      <c r="AD44" s="392"/>
      <c r="AE44" s="392"/>
      <c r="AF44" s="392"/>
      <c r="AG44" s="392"/>
      <c r="AH44" s="392"/>
      <c r="AI44" s="392"/>
      <c r="AJ44" s="392"/>
      <c r="AK44" s="392"/>
      <c r="AL44" s="392"/>
      <c r="AM44" s="392"/>
      <c r="AN44" s="392"/>
      <c r="AO44" s="391"/>
      <c r="AP44" s="391"/>
      <c r="AQ44" s="392"/>
      <c r="AR44" s="392"/>
      <c r="AS44" s="392"/>
      <c r="AT44" s="392"/>
      <c r="AU44" s="392"/>
      <c r="AV44" s="392"/>
      <c r="AW44" s="392"/>
      <c r="AX44" s="392"/>
      <c r="AY44" s="392"/>
      <c r="AZ44" s="392"/>
      <c r="BA44" s="392"/>
      <c r="BB44" s="392"/>
      <c r="BC44" s="391"/>
    </row>
    <row r="45" spans="1:55" s="390" customFormat="1" ht="24" customHeight="1" x14ac:dyDescent="0.15">
      <c r="A45" s="1120"/>
      <c r="B45" s="3286"/>
      <c r="C45" s="3287"/>
      <c r="D45" s="3287"/>
      <c r="E45" s="3287"/>
      <c r="F45" s="3287"/>
      <c r="G45" s="3287"/>
      <c r="H45" s="3287"/>
      <c r="I45" s="3287"/>
      <c r="J45" s="3287"/>
      <c r="K45" s="3287"/>
      <c r="L45" s="3287"/>
      <c r="M45" s="3288"/>
      <c r="N45" s="1121"/>
      <c r="O45" s="1120"/>
      <c r="P45" s="3286"/>
      <c r="Q45" s="3287"/>
      <c r="R45" s="3287"/>
      <c r="S45" s="3287"/>
      <c r="T45" s="3287"/>
      <c r="U45" s="3287"/>
      <c r="V45" s="3287"/>
      <c r="W45" s="3287"/>
      <c r="X45" s="3287"/>
      <c r="Y45" s="3287"/>
      <c r="Z45" s="3287"/>
      <c r="AA45" s="3288"/>
      <c r="AB45" s="1121"/>
      <c r="AC45" s="392"/>
      <c r="AD45" s="392"/>
      <c r="AE45" s="392"/>
      <c r="AF45" s="392"/>
      <c r="AG45" s="392"/>
      <c r="AH45" s="392"/>
      <c r="AI45" s="392"/>
      <c r="AJ45" s="392"/>
      <c r="AK45" s="392"/>
      <c r="AL45" s="392"/>
      <c r="AM45" s="392"/>
      <c r="AN45" s="392"/>
      <c r="AO45" s="391"/>
      <c r="AP45" s="391"/>
      <c r="AQ45" s="392"/>
      <c r="AR45" s="392"/>
      <c r="AS45" s="392"/>
      <c r="AT45" s="392"/>
      <c r="AU45" s="392"/>
      <c r="AV45" s="392"/>
      <c r="AW45" s="392"/>
      <c r="AX45" s="392"/>
      <c r="AY45" s="392"/>
      <c r="AZ45" s="392"/>
      <c r="BA45" s="392"/>
      <c r="BB45" s="392"/>
      <c r="BC45" s="391"/>
    </row>
    <row r="46" spans="1:55" s="390" customFormat="1" ht="24" customHeight="1" thickBot="1" x14ac:dyDescent="0.2">
      <c r="A46" s="1120"/>
      <c r="B46" s="3289"/>
      <c r="C46" s="3290"/>
      <c r="D46" s="3290"/>
      <c r="E46" s="3290"/>
      <c r="F46" s="3290"/>
      <c r="G46" s="3290"/>
      <c r="H46" s="3290"/>
      <c r="I46" s="3290"/>
      <c r="J46" s="3290"/>
      <c r="K46" s="3290"/>
      <c r="L46" s="3290"/>
      <c r="M46" s="3291"/>
      <c r="N46" s="1121"/>
      <c r="O46" s="1120"/>
      <c r="P46" s="3289"/>
      <c r="Q46" s="3290"/>
      <c r="R46" s="3290"/>
      <c r="S46" s="3290"/>
      <c r="T46" s="3290"/>
      <c r="U46" s="3290"/>
      <c r="V46" s="3290"/>
      <c r="W46" s="3290"/>
      <c r="X46" s="3290"/>
      <c r="Y46" s="3290"/>
      <c r="Z46" s="3290"/>
      <c r="AA46" s="3291"/>
      <c r="AB46" s="1121"/>
      <c r="AC46" s="392"/>
      <c r="AD46" s="392"/>
      <c r="AE46" s="392"/>
      <c r="AF46" s="392"/>
      <c r="AG46" s="392"/>
      <c r="AH46" s="392"/>
      <c r="AI46" s="392"/>
      <c r="AJ46" s="392"/>
      <c r="AK46" s="392"/>
      <c r="AL46" s="392"/>
      <c r="AM46" s="392"/>
      <c r="AN46" s="392"/>
      <c r="AO46" s="391"/>
      <c r="AP46" s="391"/>
      <c r="AQ46" s="392"/>
      <c r="AR46" s="392"/>
      <c r="AS46" s="392"/>
      <c r="AT46" s="392"/>
      <c r="AU46" s="392"/>
      <c r="AV46" s="392"/>
      <c r="AW46" s="392"/>
      <c r="AX46" s="392"/>
      <c r="AY46" s="392"/>
      <c r="AZ46" s="392"/>
      <c r="BA46" s="392"/>
      <c r="BB46" s="392"/>
      <c r="BC46" s="391"/>
    </row>
    <row r="47" spans="1:55" s="390" customFormat="1" ht="6" customHeight="1" x14ac:dyDescent="0.15">
      <c r="A47" s="1128"/>
      <c r="B47" s="1129"/>
      <c r="C47" s="1129"/>
      <c r="D47" s="1129"/>
      <c r="E47" s="1129"/>
      <c r="F47" s="1129"/>
      <c r="G47" s="1129"/>
      <c r="H47" s="1129"/>
      <c r="I47" s="1129"/>
      <c r="J47" s="1129"/>
      <c r="K47" s="1129"/>
      <c r="L47" s="1129"/>
      <c r="M47" s="1129"/>
      <c r="N47" s="1130"/>
      <c r="O47" s="1128"/>
      <c r="P47" s="1129"/>
      <c r="Q47" s="1129"/>
      <c r="R47" s="1129"/>
      <c r="S47" s="1129"/>
      <c r="T47" s="1129"/>
      <c r="U47" s="1129"/>
      <c r="V47" s="1129"/>
      <c r="W47" s="1129"/>
      <c r="X47" s="1129"/>
      <c r="Y47" s="1129"/>
      <c r="Z47" s="1129"/>
      <c r="AA47" s="1129"/>
      <c r="AB47" s="1130"/>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row>
  </sheetData>
  <sheetProtection algorithmName="SHA-512" hashValue="Sbi5sRCA2AxOorcaYMdZppMDI6greb2GOSivzBO3qpv9OQm4SVsn/XZwfMvCLuf1BizYfpIatQiDwskcVbswrA==" saltValue="ie7EgXvxqUW/k/Mhf5MJPg==" spinCount="100000" sheet="1" objects="1" scenarios="1" selectLockedCells="1"/>
  <mergeCells count="11">
    <mergeCell ref="P31:AA37"/>
    <mergeCell ref="AB4:AB6"/>
    <mergeCell ref="B4:M10"/>
    <mergeCell ref="P4:AA10"/>
    <mergeCell ref="B40:M46"/>
    <mergeCell ref="P40:AA46"/>
    <mergeCell ref="B13:M19"/>
    <mergeCell ref="P13:AA19"/>
    <mergeCell ref="B22:M28"/>
    <mergeCell ref="P22:AA28"/>
    <mergeCell ref="B31:M37"/>
  </mergeCells>
  <phoneticPr fontId="1"/>
  <pageMargins left="0.59055118110236227" right="0.59055118110236227"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AO77"/>
  <sheetViews>
    <sheetView showGridLines="0" topLeftCell="A16" zoomScale="105" zoomScaleNormal="105" workbookViewId="0">
      <selection activeCell="P8" sqref="P8:R8"/>
    </sheetView>
  </sheetViews>
  <sheetFormatPr defaultRowHeight="13.5" x14ac:dyDescent="0.15"/>
  <cols>
    <col min="1" max="1" width="0.375" style="111" customWidth="1"/>
    <col min="2" max="3" width="3.125" style="111" customWidth="1"/>
    <col min="4" max="4" width="6.5" style="111" customWidth="1"/>
    <col min="5" max="6" width="1.375" style="111" customWidth="1"/>
    <col min="7" max="7" width="17.625" style="111" customWidth="1"/>
    <col min="8" max="8" width="5.5" style="111" customWidth="1"/>
    <col min="9" max="9" width="8.125" style="464" customWidth="1"/>
    <col min="10" max="21" width="3.5" style="111" customWidth="1"/>
    <col min="22" max="22" width="8" style="111" customWidth="1"/>
    <col min="23" max="23" width="0.25" style="48" customWidth="1"/>
    <col min="24" max="24" width="6.25" style="48" customWidth="1"/>
    <col min="25" max="25" width="1.25" style="48" customWidth="1"/>
    <col min="26" max="26" width="2.25" style="48" customWidth="1"/>
    <col min="27" max="27" width="7.375" style="48" customWidth="1"/>
    <col min="28" max="28" width="10" style="48" customWidth="1"/>
    <col min="29" max="29" width="5.625" style="48" customWidth="1"/>
    <col min="30" max="30" width="2.5" style="48" customWidth="1"/>
    <col min="31" max="31" width="3" style="48" customWidth="1"/>
    <col min="32" max="32" width="8.75" style="48" customWidth="1"/>
    <col min="33" max="34" width="2.5" style="48" customWidth="1"/>
    <col min="35" max="35" width="6.75" style="48" customWidth="1"/>
    <col min="36" max="37" width="3.375" style="48" customWidth="1"/>
    <col min="38" max="40" width="6.75" style="48" customWidth="1"/>
    <col min="41" max="16384" width="9" style="48"/>
  </cols>
  <sheetData>
    <row r="1" spans="1:41" ht="1.5" customHeight="1" thickBot="1" x14ac:dyDescent="0.2"/>
    <row r="2" spans="1:41" ht="19.5" customHeight="1" thickBot="1" x14ac:dyDescent="0.2">
      <c r="A2" s="112"/>
      <c r="B2" s="1292" t="s">
        <v>525</v>
      </c>
      <c r="C2" s="1293"/>
      <c r="D2" s="1293"/>
      <c r="E2" s="1311" t="str">
        <f>入力ページ!L16&amp;入力ページ!N16&amp;" 　"&amp;⑥利用計画書!U9&amp;⑥利用計画書!X9</f>
        <v>県 　市</v>
      </c>
      <c r="F2" s="1311"/>
      <c r="G2" s="1312"/>
      <c r="H2" s="113"/>
      <c r="I2" s="825" t="s">
        <v>527</v>
      </c>
      <c r="J2" s="1297" t="s">
        <v>262</v>
      </c>
      <c r="K2" s="1297"/>
      <c r="L2" s="1297"/>
      <c r="M2" s="1298">
        <f>入力ページ!F32</f>
        <v>0</v>
      </c>
      <c r="N2" s="1298"/>
      <c r="O2" s="934" t="s">
        <v>222</v>
      </c>
      <c r="P2" s="1299" t="s">
        <v>263</v>
      </c>
      <c r="Q2" s="1299"/>
      <c r="R2" s="1299"/>
      <c r="S2" s="1298">
        <f>入力ページ!M32</f>
        <v>0</v>
      </c>
      <c r="T2" s="1298"/>
      <c r="U2" s="935" t="s">
        <v>222</v>
      </c>
      <c r="V2" s="48"/>
      <c r="W2" s="111"/>
    </row>
    <row r="3" spans="1:41" ht="18.75" customHeight="1" thickBot="1" x14ac:dyDescent="0.2">
      <c r="B3" s="823"/>
      <c r="C3" s="824" t="s">
        <v>526</v>
      </c>
      <c r="D3" s="1294" t="s">
        <v>528</v>
      </c>
      <c r="E3" s="1294"/>
      <c r="F3" s="1294"/>
      <c r="G3" s="1294"/>
      <c r="H3" s="48"/>
      <c r="I3" s="1316" t="s">
        <v>529</v>
      </c>
      <c r="J3" s="1300" t="s">
        <v>262</v>
      </c>
      <c r="K3" s="1300"/>
      <c r="L3" s="1300"/>
      <c r="M3" s="1301">
        <f>名簿入力!BP4</f>
        <v>0</v>
      </c>
      <c r="N3" s="1301"/>
      <c r="O3" s="936" t="s">
        <v>222</v>
      </c>
      <c r="P3" s="1313" t="s">
        <v>263</v>
      </c>
      <c r="Q3" s="1313"/>
      <c r="R3" s="1313"/>
      <c r="S3" s="1314">
        <f>名簿入力!BP10+名簿入力!BP11</f>
        <v>0</v>
      </c>
      <c r="T3" s="1314"/>
      <c r="U3" s="937" t="s">
        <v>222</v>
      </c>
      <c r="V3" s="48"/>
      <c r="W3" s="111"/>
    </row>
    <row r="4" spans="1:41" ht="15" customHeight="1" thickTop="1" thickBot="1" x14ac:dyDescent="0.2">
      <c r="A4" s="822"/>
      <c r="B4" s="1302" t="s">
        <v>573</v>
      </c>
      <c r="C4" s="1303"/>
      <c r="D4" s="1304"/>
      <c r="E4" s="821"/>
      <c r="G4" s="1308" t="s">
        <v>550</v>
      </c>
      <c r="H4" s="1309"/>
      <c r="I4" s="1317"/>
      <c r="J4" s="1315" t="s">
        <v>551</v>
      </c>
      <c r="K4" s="1315"/>
      <c r="L4" s="1315"/>
      <c r="M4" s="1315"/>
      <c r="N4" s="1315"/>
      <c r="O4" s="1315"/>
      <c r="P4" s="1315"/>
      <c r="Q4" s="847">
        <f>名簿入力!BP11</f>
        <v>0</v>
      </c>
      <c r="R4" s="1318" t="s">
        <v>552</v>
      </c>
      <c r="S4" s="1318"/>
      <c r="T4" s="1318"/>
      <c r="U4" s="1319"/>
    </row>
    <row r="5" spans="1:41" ht="15" customHeight="1" thickBot="1" x14ac:dyDescent="0.2">
      <c r="A5" s="822"/>
      <c r="B5" s="1305"/>
      <c r="C5" s="1306"/>
      <c r="D5" s="1307"/>
      <c r="E5" s="821"/>
      <c r="G5" s="1310" t="s">
        <v>553</v>
      </c>
      <c r="H5" s="1310"/>
      <c r="I5" s="1294" t="s">
        <v>580</v>
      </c>
      <c r="J5" s="1294"/>
      <c r="K5" s="1294"/>
      <c r="L5" s="1294"/>
      <c r="M5" s="1294"/>
      <c r="N5" s="1294"/>
      <c r="O5" s="1294"/>
      <c r="P5" s="1294"/>
      <c r="Q5" s="1294"/>
      <c r="R5" s="1294"/>
      <c r="S5" s="1294"/>
      <c r="T5" s="1294"/>
      <c r="U5" s="1294"/>
      <c r="V5" s="1294"/>
      <c r="Z5" s="1286" t="s">
        <v>569</v>
      </c>
      <c r="AA5" s="1286"/>
      <c r="AB5" s="1286"/>
      <c r="AC5" s="1286"/>
      <c r="AD5" s="1286"/>
      <c r="AE5" s="1286"/>
      <c r="AF5" s="1286"/>
      <c r="AG5" s="1286"/>
    </row>
    <row r="6" spans="1:41" ht="7.5" customHeight="1" thickTop="1" x14ac:dyDescent="0.15">
      <c r="I6" s="1294"/>
      <c r="J6" s="1294"/>
      <c r="K6" s="1294"/>
      <c r="L6" s="1294"/>
      <c r="M6" s="1294"/>
      <c r="N6" s="1294"/>
      <c r="O6" s="1294"/>
      <c r="P6" s="1294"/>
      <c r="Q6" s="1294"/>
      <c r="R6" s="1294"/>
      <c r="S6" s="1294"/>
      <c r="T6" s="1294"/>
      <c r="U6" s="1294"/>
      <c r="V6" s="1294"/>
      <c r="Z6" s="1286"/>
      <c r="AA6" s="1286"/>
      <c r="AB6" s="1286"/>
      <c r="AC6" s="1286"/>
      <c r="AD6" s="1286"/>
      <c r="AE6" s="1286"/>
      <c r="AF6" s="1286"/>
      <c r="AG6" s="1286"/>
    </row>
    <row r="7" spans="1:41" ht="18" customHeight="1" thickBot="1" x14ac:dyDescent="0.25">
      <c r="C7" s="1296" t="s">
        <v>413</v>
      </c>
      <c r="D7" s="1296"/>
      <c r="E7" s="1296"/>
      <c r="F7" s="1296"/>
      <c r="G7" s="1296"/>
      <c r="H7" s="852">
        <f>入力ページ!F11</f>
        <v>0</v>
      </c>
      <c r="I7" s="852"/>
      <c r="J7" s="852"/>
      <c r="K7" s="852"/>
      <c r="L7" s="852"/>
      <c r="M7" s="852"/>
      <c r="N7" s="852"/>
      <c r="O7" s="852"/>
      <c r="P7" s="852"/>
      <c r="Q7" s="852"/>
      <c r="S7" s="494" t="s">
        <v>412</v>
      </c>
      <c r="T7" s="1295"/>
      <c r="U7" s="1295"/>
      <c r="V7" s="1295"/>
      <c r="Y7" s="113"/>
      <c r="Z7" s="1286"/>
      <c r="AA7" s="1286"/>
      <c r="AB7" s="1286"/>
      <c r="AC7" s="1286"/>
      <c r="AD7" s="1286"/>
      <c r="AE7" s="1286"/>
      <c r="AF7" s="1286"/>
      <c r="AG7" s="1286"/>
      <c r="AH7" s="940"/>
      <c r="AI7" s="940"/>
      <c r="AJ7" s="940"/>
      <c r="AK7" s="940"/>
      <c r="AL7" s="940"/>
      <c r="AM7" s="940"/>
      <c r="AN7"/>
      <c r="AO7"/>
    </row>
    <row r="8" spans="1:41" ht="14.25" customHeight="1" x14ac:dyDescent="0.15">
      <c r="B8" s="1392" t="s">
        <v>411</v>
      </c>
      <c r="C8" s="1350"/>
      <c r="D8" s="1350"/>
      <c r="E8" s="1350"/>
      <c r="F8" s="1350"/>
      <c r="G8" s="1351"/>
      <c r="H8" s="1396" t="s">
        <v>410</v>
      </c>
      <c r="I8" s="1397" t="s">
        <v>409</v>
      </c>
      <c r="J8" s="1400" t="s">
        <v>408</v>
      </c>
      <c r="K8" s="1401"/>
      <c r="L8" s="1402" t="s">
        <v>407</v>
      </c>
      <c r="M8" s="1401"/>
      <c r="N8" s="1402" t="s">
        <v>406</v>
      </c>
      <c r="O8" s="1401"/>
      <c r="P8" s="1402" t="s">
        <v>405</v>
      </c>
      <c r="Q8" s="1401"/>
      <c r="R8" s="1402" t="s">
        <v>404</v>
      </c>
      <c r="S8" s="1401"/>
      <c r="T8" s="1402" t="s">
        <v>403</v>
      </c>
      <c r="U8" s="1404"/>
      <c r="V8" s="493"/>
      <c r="X8" s="946"/>
      <c r="Y8" s="812"/>
      <c r="Z8" s="1284" t="s">
        <v>231</v>
      </c>
      <c r="AA8" s="1006" t="s">
        <v>530</v>
      </c>
      <c r="AB8" s="955">
        <f>VLOOKUP($B$4,◎施設管理!G6:S7,2,FALSE)</f>
        <v>200</v>
      </c>
      <c r="AC8" s="961">
        <f>SUM(名簿入力!BU5:BV8,名簿入力!CA5:CB8)</f>
        <v>0</v>
      </c>
      <c r="AD8" s="965" t="s">
        <v>222</v>
      </c>
      <c r="AE8" s="829" t="s">
        <v>265</v>
      </c>
      <c r="AF8" s="958">
        <f>AB8*AC8</f>
        <v>0</v>
      </c>
      <c r="AG8" s="971" t="s">
        <v>59</v>
      </c>
      <c r="AH8" s="9"/>
      <c r="AI8" s="9"/>
      <c r="AJ8" s="9"/>
      <c r="AK8" s="9"/>
    </row>
    <row r="9" spans="1:41" ht="14.25" customHeight="1" x14ac:dyDescent="0.15">
      <c r="B9" s="1393"/>
      <c r="C9" s="1381"/>
      <c r="D9" s="1381"/>
      <c r="E9" s="1381"/>
      <c r="F9" s="1381"/>
      <c r="G9" s="1391"/>
      <c r="H9" s="1346"/>
      <c r="I9" s="1398"/>
      <c r="J9" s="1405" t="str">
        <f>IF(入力ページ!I65=" ","／",入力ページ!I65)</f>
        <v/>
      </c>
      <c r="K9" s="1406"/>
      <c r="L9" s="1407" t="str">
        <f>IF(入力ページ!M65=" ","／",入力ページ!M65)</f>
        <v/>
      </c>
      <c r="M9" s="1406"/>
      <c r="N9" s="1407" t="str">
        <f>IF(入力ページ!Q65=" ","／",入力ページ!Q65)</f>
        <v/>
      </c>
      <c r="O9" s="1406"/>
      <c r="P9" s="1407" t="str">
        <f>IF(入力ページ!U65=" ","／",入力ページ!U65)</f>
        <v/>
      </c>
      <c r="Q9" s="1406"/>
      <c r="R9" s="1407" t="str">
        <f>IF(入力ページ!Y65=" ","／",入力ページ!Y65)</f>
        <v/>
      </c>
      <c r="S9" s="1408"/>
      <c r="T9" s="1407" t="str">
        <f>IF(入力ページ!AC65=" ","／",入力ページ!AC65)</f>
        <v/>
      </c>
      <c r="U9" s="1408"/>
      <c r="V9" s="492" t="s">
        <v>402</v>
      </c>
      <c r="X9" s="946"/>
      <c r="Y9" s="812"/>
      <c r="Z9" s="1285"/>
      <c r="AA9" s="1008" t="s">
        <v>273</v>
      </c>
      <c r="AB9" s="955">
        <f>VLOOKUP($B$4,◎施設管理!G6:S7,3,FALSE)</f>
        <v>300</v>
      </c>
      <c r="AC9" s="962">
        <f>SUM(名簿入力!BU9,名簿入力!CA9)</f>
        <v>0</v>
      </c>
      <c r="AD9" s="966" t="s">
        <v>222</v>
      </c>
      <c r="AE9" s="829" t="s">
        <v>264</v>
      </c>
      <c r="AF9" s="958">
        <f>AB9*AC9</f>
        <v>0</v>
      </c>
      <c r="AG9" s="971" t="s">
        <v>59</v>
      </c>
      <c r="AH9" s="9"/>
      <c r="AI9" s="9"/>
      <c r="AJ9" s="9"/>
      <c r="AK9" s="9"/>
    </row>
    <row r="10" spans="1:41" ht="14.25" customHeight="1" thickBot="1" x14ac:dyDescent="0.2">
      <c r="B10" s="1394"/>
      <c r="C10" s="1383"/>
      <c r="D10" s="1383"/>
      <c r="E10" s="1383"/>
      <c r="F10" s="1383"/>
      <c r="G10" s="1395"/>
      <c r="H10" s="1353"/>
      <c r="I10" s="1399"/>
      <c r="J10" s="491" t="s">
        <v>78</v>
      </c>
      <c r="K10" s="489" t="s">
        <v>79</v>
      </c>
      <c r="L10" s="488" t="s">
        <v>78</v>
      </c>
      <c r="M10" s="489" t="s">
        <v>79</v>
      </c>
      <c r="N10" s="488" t="s">
        <v>78</v>
      </c>
      <c r="O10" s="489" t="s">
        <v>79</v>
      </c>
      <c r="P10" s="490" t="s">
        <v>78</v>
      </c>
      <c r="Q10" s="489" t="s">
        <v>79</v>
      </c>
      <c r="R10" s="488" t="s">
        <v>78</v>
      </c>
      <c r="S10" s="489" t="s">
        <v>79</v>
      </c>
      <c r="T10" s="488" t="s">
        <v>78</v>
      </c>
      <c r="U10" s="487" t="s">
        <v>79</v>
      </c>
      <c r="V10" s="486"/>
      <c r="X10" s="947"/>
      <c r="Y10" s="839"/>
      <c r="Z10" s="1285"/>
      <c r="AA10" s="1006" t="s">
        <v>266</v>
      </c>
      <c r="AB10" s="955">
        <f>VLOOKUP($B$4,◎施設管理!G6:S7,4,FALSE)</f>
        <v>500</v>
      </c>
      <c r="AC10" s="962">
        <f>SUM(名簿入力!BU10,名簿入力!CA10)</f>
        <v>0</v>
      </c>
      <c r="AD10" s="965" t="s">
        <v>222</v>
      </c>
      <c r="AE10" s="829" t="s">
        <v>265</v>
      </c>
      <c r="AF10" s="958">
        <f>AB10*AC10</f>
        <v>0</v>
      </c>
      <c r="AG10" s="971" t="s">
        <v>59</v>
      </c>
      <c r="AH10" s="9"/>
      <c r="AI10" s="9"/>
      <c r="AJ10" s="9"/>
      <c r="AK10" s="9"/>
    </row>
    <row r="11" spans="1:41" ht="14.25" customHeight="1" thickTop="1" x14ac:dyDescent="0.15">
      <c r="B11" s="1384" t="s">
        <v>401</v>
      </c>
      <c r="C11" s="1339" t="s">
        <v>398</v>
      </c>
      <c r="D11" s="1340" t="s">
        <v>392</v>
      </c>
      <c r="E11" s="1343" t="s">
        <v>397</v>
      </c>
      <c r="F11" s="1344"/>
      <c r="G11" s="1345"/>
      <c r="H11" s="1346" t="s">
        <v>396</v>
      </c>
      <c r="I11" s="1324">
        <f>◎施設管理!K6</f>
        <v>350</v>
      </c>
      <c r="J11" s="751" t="str">
        <f>IF(B4="県内",集計表!$AJ$15+集計表!$AJ$16,"")</f>
        <v/>
      </c>
      <c r="K11" s="754" t="str">
        <f>IF(B4="県内",集計表!$AK$15+集計表!$AK$16,"")</f>
        <v/>
      </c>
      <c r="L11" s="797" t="str">
        <f>IF(B4="県内",集計表!$AL$15+集計表!$AL$16,"")</f>
        <v/>
      </c>
      <c r="M11" s="752" t="str">
        <f>IF(B4="県内",集計表!$AM$15+集計表!$AM$16,"")</f>
        <v/>
      </c>
      <c r="N11" s="753" t="str">
        <f>IF(B4="県内",集計表!$AN$15+集計表!$AN$16,"")</f>
        <v/>
      </c>
      <c r="O11" s="754" t="str">
        <f>IF(B4="県内",集計表!$AO$15+集計表!$AO$16,"")</f>
        <v/>
      </c>
      <c r="P11" s="797" t="str">
        <f>IF(B4="県内",集計表!$AP$15+集計表!$AP$16,"")</f>
        <v/>
      </c>
      <c r="Q11" s="752" t="str">
        <f>IF(B4="県内",集計表!$AQ$15+集計表!$AQ$16,"")</f>
        <v/>
      </c>
      <c r="R11" s="753" t="str">
        <f>IF(B4="県内",集計表!$AR$15+集計表!$AR$16,"")</f>
        <v/>
      </c>
      <c r="S11" s="754" t="str">
        <f>IF(B4="県内",集計表!$AS$15+集計表!$AS$16,"")</f>
        <v/>
      </c>
      <c r="T11" s="797" t="str">
        <f>IF(B4="県内",集計表!$AT$15+集計表!$AT$16,"")</f>
        <v/>
      </c>
      <c r="U11" s="752" t="str">
        <f>IF(B4="県内",集計表!$AU$15+集計表!$AU$16,"")</f>
        <v/>
      </c>
      <c r="V11" s="755"/>
      <c r="W11" s="22"/>
      <c r="X11" s="948"/>
      <c r="Y11" s="840"/>
      <c r="Z11" s="1285"/>
      <c r="AA11" s="1006" t="s">
        <v>531</v>
      </c>
      <c r="AB11" s="955">
        <f>VLOOKUP($B$4,◎施設管理!G6:S7,4,FALSE)</f>
        <v>500</v>
      </c>
      <c r="AC11" s="962">
        <f>SUM(名簿入力!BU11,名簿入力!CA11)</f>
        <v>0</v>
      </c>
      <c r="AD11" s="965" t="s">
        <v>222</v>
      </c>
      <c r="AE11" s="829" t="s">
        <v>264</v>
      </c>
      <c r="AF11" s="958">
        <f>AB11*AC11</f>
        <v>0</v>
      </c>
      <c r="AG11" s="971" t="s">
        <v>59</v>
      </c>
      <c r="AH11" s="9"/>
      <c r="AI11" s="9"/>
      <c r="AJ11" s="9"/>
      <c r="AK11" s="9"/>
    </row>
    <row r="12" spans="1:41" ht="14.25" customHeight="1" x14ac:dyDescent="0.15">
      <c r="B12" s="1385"/>
      <c r="C12" s="1339"/>
      <c r="D12" s="1341"/>
      <c r="E12" s="485"/>
      <c r="F12" s="478"/>
      <c r="G12" s="480" t="s">
        <v>390</v>
      </c>
      <c r="H12" s="1346"/>
      <c r="I12" s="1325"/>
      <c r="J12" s="756" t="str">
        <f>IF(B4="県内",集計表!$AJ$15,"")</f>
        <v/>
      </c>
      <c r="K12" s="759" t="str">
        <f>IF(B4="県内",集計表!$AK$15,"")</f>
        <v/>
      </c>
      <c r="L12" s="798" t="str">
        <f>IF(B4="県内",集計表!$AL$15,"")</f>
        <v/>
      </c>
      <c r="M12" s="759" t="str">
        <f>IF(B4="県内",集計表!$AM$15,"")</f>
        <v/>
      </c>
      <c r="N12" s="798" t="str">
        <f>IF(B4="県内",集計表!$AN$15,"")</f>
        <v/>
      </c>
      <c r="O12" s="759" t="str">
        <f>IF(B4="県内",集計表!$AO$15,"")</f>
        <v/>
      </c>
      <c r="P12" s="798" t="str">
        <f>IF(B4="県内",集計表!$AP$15,"")</f>
        <v/>
      </c>
      <c r="Q12" s="759" t="str">
        <f>IF(B4="県内",集計表!$AQ$15,"")</f>
        <v/>
      </c>
      <c r="R12" s="798" t="str">
        <f>IF(B4="県内",集計表!$AR$15,"")</f>
        <v/>
      </c>
      <c r="S12" s="758" t="str">
        <f>IF(B4="県内",集計表!$AS$15,"")</f>
        <v/>
      </c>
      <c r="T12" s="760" t="str">
        <f>IF(B4="県内",集計表!$AT$15,"")</f>
        <v/>
      </c>
      <c r="U12" s="757" t="str">
        <f>IF(B4="県内",集計表!$AU$15,"")</f>
        <v/>
      </c>
      <c r="V12" s="761">
        <f>SUM(J12:U12)</f>
        <v>0</v>
      </c>
      <c r="W12" s="22"/>
      <c r="X12" s="949"/>
      <c r="Y12" s="840"/>
      <c r="Z12" s="1290" t="s">
        <v>274</v>
      </c>
      <c r="AA12" s="1009" t="s">
        <v>530</v>
      </c>
      <c r="AB12" s="956">
        <f>VLOOKUP($B$4,◎施設管理!G6:S7,5,FALSE)</f>
        <v>700</v>
      </c>
      <c r="AC12" s="963">
        <f>SUM(名簿入力!BS5:BT8,名簿入力!BY5:BZ8)</f>
        <v>0</v>
      </c>
      <c r="AD12" s="967" t="s">
        <v>222</v>
      </c>
      <c r="AE12" s="829" t="s">
        <v>265</v>
      </c>
      <c r="AF12" s="959">
        <f>AB12*AC12*Z14</f>
        <v>0</v>
      </c>
      <c r="AG12" s="972" t="s">
        <v>59</v>
      </c>
      <c r="AH12" s="9"/>
      <c r="AI12" s="9"/>
      <c r="AJ12" s="9"/>
      <c r="AK12" s="9"/>
    </row>
    <row r="13" spans="1:41" ht="14.25" customHeight="1" x14ac:dyDescent="0.15">
      <c r="B13" s="1385"/>
      <c r="C13" s="1339"/>
      <c r="D13" s="1341"/>
      <c r="E13" s="485"/>
      <c r="F13" s="478"/>
      <c r="G13" s="477"/>
      <c r="H13" s="1346"/>
      <c r="I13" s="938">
        <f>◎施設管理!L6</f>
        <v>200</v>
      </c>
      <c r="J13" s="762"/>
      <c r="K13" s="763">
        <f>SUM(J11,K11)</f>
        <v>0</v>
      </c>
      <c r="L13" s="764"/>
      <c r="M13" s="763">
        <f>SUM(L11,M11)</f>
        <v>0</v>
      </c>
      <c r="N13" s="764"/>
      <c r="O13" s="763">
        <f t="shared" ref="O13" si="0">SUM(N11,O11)</f>
        <v>0</v>
      </c>
      <c r="P13" s="764"/>
      <c r="Q13" s="763">
        <f t="shared" ref="Q13" si="1">SUM(P11,Q11)</f>
        <v>0</v>
      </c>
      <c r="R13" s="764"/>
      <c r="S13" s="763">
        <f t="shared" ref="S13" si="2">SUM(R11,S11)</f>
        <v>0</v>
      </c>
      <c r="T13" s="764"/>
      <c r="U13" s="763">
        <f>SUM(T11,U11)</f>
        <v>0</v>
      </c>
      <c r="V13" s="761">
        <f>SUM(J13:U13)</f>
        <v>0</v>
      </c>
      <c r="W13" s="22"/>
      <c r="X13" s="950">
        <f>I11*V13</f>
        <v>0</v>
      </c>
      <c r="Y13" s="839"/>
      <c r="Z13" s="1291"/>
      <c r="AA13" s="1010" t="s">
        <v>273</v>
      </c>
      <c r="AB13" s="956">
        <f>VLOOKUP($B$4,◎施設管理!G6:S7,7,FALSE)</f>
        <v>2500</v>
      </c>
      <c r="AC13" s="963">
        <f>SUM(名簿入力!BS9,名簿入力!BY9)</f>
        <v>0</v>
      </c>
      <c r="AD13" s="968" t="s">
        <v>222</v>
      </c>
      <c r="AE13" s="829" t="s">
        <v>265</v>
      </c>
      <c r="AF13" s="959">
        <f>AB13*AC13*Z14</f>
        <v>0</v>
      </c>
      <c r="AG13" s="972" t="s">
        <v>59</v>
      </c>
      <c r="AH13" s="9"/>
      <c r="AI13" s="9"/>
      <c r="AJ13" s="9"/>
      <c r="AK13" s="9"/>
    </row>
    <row r="14" spans="1:41" ht="14.25" customHeight="1" x14ac:dyDescent="0.15">
      <c r="B14" s="1385"/>
      <c r="C14" s="1339"/>
      <c r="D14" s="1342"/>
      <c r="E14" s="475"/>
      <c r="F14" s="474"/>
      <c r="G14" s="484" t="s">
        <v>389</v>
      </c>
      <c r="H14" s="1346"/>
      <c r="I14" s="483" t="s">
        <v>311</v>
      </c>
      <c r="J14" s="765" t="str">
        <f>IF(B4="県内",集計表!$AJ$14,"")</f>
        <v/>
      </c>
      <c r="K14" s="800" t="str">
        <f>IF(B4="県内",集計表!$AK$14,"")</f>
        <v/>
      </c>
      <c r="L14" s="767" t="str">
        <f>IF(B4="県内",集計表!$AL$14,"")</f>
        <v/>
      </c>
      <c r="M14" s="800" t="str">
        <f>IF(B4="県内",集計表!$AM$14,"")</f>
        <v/>
      </c>
      <c r="N14" s="767" t="str">
        <f>IF(B4="県内",集計表!$AN$14,"")</f>
        <v/>
      </c>
      <c r="O14" s="766" t="str">
        <f>IF(B4="県内",集計表!$AO$14,"")</f>
        <v/>
      </c>
      <c r="P14" s="799" t="str">
        <f>IF(B4="県内",集計表!$AP$14,"")</f>
        <v/>
      </c>
      <c r="Q14" s="766" t="str">
        <f>IF(B4="県内",集計表!$AQ$14,"")</f>
        <v/>
      </c>
      <c r="R14" s="799" t="str">
        <f>IF(B4="県内",集計表!$AR$14,"")</f>
        <v/>
      </c>
      <c r="S14" s="766" t="str">
        <f>IF(B4="県内",集計表!$AS$14,"")</f>
        <v/>
      </c>
      <c r="T14" s="799" t="str">
        <f>IF(B4="県内",集計表!$AT$14,"")</f>
        <v/>
      </c>
      <c r="U14" s="766" t="str">
        <f>IF(B4="県内",集計表!$AU$14,"")</f>
        <v/>
      </c>
      <c r="V14" s="769">
        <f>SUM(J14:U14)</f>
        <v>0</v>
      </c>
      <c r="W14" s="22"/>
      <c r="X14" s="951"/>
      <c r="Y14" s="840"/>
      <c r="Z14" s="1012">
        <f>入力ページ!F21</f>
        <v>0</v>
      </c>
      <c r="AA14" s="1010" t="s">
        <v>266</v>
      </c>
      <c r="AB14" s="956">
        <f>VLOOKUP($B$4,◎施設管理!G6:S7,9,FALSE)</f>
        <v>5000</v>
      </c>
      <c r="AC14" s="963">
        <f>SUM(名簿入力!BS10,名簿入力!BY10)</f>
        <v>0</v>
      </c>
      <c r="AD14" s="967" t="s">
        <v>222</v>
      </c>
      <c r="AE14" s="829" t="s">
        <v>265</v>
      </c>
      <c r="AF14" s="959">
        <f>AB14*AC14*Z14</f>
        <v>0</v>
      </c>
      <c r="AG14" s="972" t="s">
        <v>59</v>
      </c>
      <c r="AH14" s="9"/>
      <c r="AK14" s="830"/>
    </row>
    <row r="15" spans="1:41" ht="14.25" customHeight="1" x14ac:dyDescent="0.15">
      <c r="B15" s="1385"/>
      <c r="C15" s="1339"/>
      <c r="D15" s="1373" t="s">
        <v>85</v>
      </c>
      <c r="E15" s="1374" t="s">
        <v>394</v>
      </c>
      <c r="F15" s="1365"/>
      <c r="G15" s="1366"/>
      <c r="H15" s="1346"/>
      <c r="I15" s="482">
        <f>◎施設管理!K6</f>
        <v>350</v>
      </c>
      <c r="J15" s="770" t="str">
        <f>IF(B4="県内",集計表!$AJ$17,"")</f>
        <v/>
      </c>
      <c r="K15" s="773" t="str">
        <f>IF(B4="県内",集計表!$AK$17,"")</f>
        <v/>
      </c>
      <c r="L15" s="813" t="str">
        <f>IF(B4="県内",集計表!$AL$17,"")</f>
        <v/>
      </c>
      <c r="M15" s="789" t="str">
        <f>IF(B4="県内",集計表!$AM$17,"")</f>
        <v/>
      </c>
      <c r="N15" s="813" t="str">
        <f>IF(B4="県内",集計表!$AN$17,"")</f>
        <v/>
      </c>
      <c r="O15" s="773" t="str">
        <f>IF(B4="県内",集計表!$AO$17,"")</f>
        <v/>
      </c>
      <c r="P15" s="813" t="str">
        <f>IF(B4="県内",集計表!$AP$17,"")</f>
        <v/>
      </c>
      <c r="Q15" s="773" t="str">
        <f>IF(B4="県内",集計表!$AQ$17,"")</f>
        <v/>
      </c>
      <c r="R15" s="813" t="str">
        <f>IF(B4="県内",集計表!$AR$17,"")</f>
        <v/>
      </c>
      <c r="S15" s="789" t="str">
        <f>IF(B4="県内",集計表!$AS$17,"")</f>
        <v/>
      </c>
      <c r="T15" s="813" t="str">
        <f>IF(B4="県内",集計表!$AT$17,"")</f>
        <v/>
      </c>
      <c r="U15" s="771" t="str">
        <f>IF(B4="県内",集計表!$AU$17,"")</f>
        <v/>
      </c>
      <c r="V15" s="774"/>
      <c r="W15" s="22"/>
      <c r="X15" s="951"/>
      <c r="Y15" s="839"/>
      <c r="Z15" s="975" t="s">
        <v>533</v>
      </c>
      <c r="AA15" s="1011" t="s">
        <v>532</v>
      </c>
      <c r="AB15" s="956">
        <f>VLOOKUP($B$4,◎施設管理!G6:S7,9,FALSE)</f>
        <v>5000</v>
      </c>
      <c r="AC15" s="963">
        <f>SUM(名簿入力!BS11,名簿入力!BY11)</f>
        <v>0</v>
      </c>
      <c r="AD15" s="967" t="s">
        <v>222</v>
      </c>
      <c r="AE15" s="829" t="s">
        <v>264</v>
      </c>
      <c r="AF15" s="959">
        <f>AB15*AC15*Z14</f>
        <v>0</v>
      </c>
      <c r="AG15" s="972" t="s">
        <v>59</v>
      </c>
      <c r="AH15" s="834"/>
      <c r="AI15" s="834"/>
      <c r="AJ15" s="832"/>
      <c r="AK15" s="830"/>
    </row>
    <row r="16" spans="1:41" ht="14.25" customHeight="1" x14ac:dyDescent="0.15">
      <c r="B16" s="1385"/>
      <c r="C16" s="1339"/>
      <c r="D16" s="1342"/>
      <c r="E16" s="1375"/>
      <c r="F16" s="1368"/>
      <c r="G16" s="1369"/>
      <c r="H16" s="1346"/>
      <c r="I16" s="939">
        <f>◎施設管理!L6</f>
        <v>200</v>
      </c>
      <c r="J16" s="775"/>
      <c r="K16" s="776">
        <f>SUM(J15,K15)</f>
        <v>0</v>
      </c>
      <c r="L16" s="777"/>
      <c r="M16" s="776">
        <f>SUM(L15,M15)</f>
        <v>0</v>
      </c>
      <c r="N16" s="777"/>
      <c r="O16" s="776">
        <f t="shared" ref="O16" si="3">SUM(N15,O15)</f>
        <v>0</v>
      </c>
      <c r="P16" s="777"/>
      <c r="Q16" s="776">
        <f t="shared" ref="Q16" si="4">SUM(P15,Q15)</f>
        <v>0</v>
      </c>
      <c r="R16" s="777"/>
      <c r="S16" s="776">
        <f t="shared" ref="S16" si="5">SUM(R15,S15)</f>
        <v>0</v>
      </c>
      <c r="T16" s="777"/>
      <c r="U16" s="776">
        <f>SUM(T15,U15)</f>
        <v>0</v>
      </c>
      <c r="V16" s="778">
        <f>SUM(J16:U16)</f>
        <v>0</v>
      </c>
      <c r="W16" s="22"/>
      <c r="X16" s="950">
        <f>I15*V16</f>
        <v>0</v>
      </c>
      <c r="Y16" s="840"/>
      <c r="Z16" s="1272" t="s">
        <v>267</v>
      </c>
      <c r="AA16" s="1273"/>
      <c r="AB16" s="957">
        <f>◎施設管理!H10</f>
        <v>350</v>
      </c>
      <c r="AC16" s="964">
        <f>COUNTIFS(名簿入力!I15:AH404,"宿泊")</f>
        <v>0</v>
      </c>
      <c r="AD16" s="969"/>
      <c r="AE16" s="829" t="s">
        <v>265</v>
      </c>
      <c r="AF16" s="958">
        <f>AB16*AC16</f>
        <v>0</v>
      </c>
      <c r="AG16" s="971" t="s">
        <v>59</v>
      </c>
      <c r="AH16" s="993" t="s">
        <v>534</v>
      </c>
      <c r="AI16" s="993"/>
      <c r="AJ16" s="993"/>
      <c r="AK16" s="993"/>
      <c r="AL16" s="993"/>
    </row>
    <row r="17" spans="2:40" ht="14.25" customHeight="1" thickBot="1" x14ac:dyDescent="0.2">
      <c r="B17" s="1385"/>
      <c r="C17" s="1339"/>
      <c r="D17" s="1373" t="s">
        <v>388</v>
      </c>
      <c r="E17" s="1374" t="s">
        <v>394</v>
      </c>
      <c r="F17" s="1365"/>
      <c r="G17" s="1366"/>
      <c r="H17" s="1346"/>
      <c r="I17" s="482">
        <f>◎施設管理!M6</f>
        <v>1250</v>
      </c>
      <c r="J17" s="770" t="str">
        <f>IF(B4="県内",集計表!$AJ$18,"")</f>
        <v/>
      </c>
      <c r="K17" s="773" t="str">
        <f>IF(B4="県内",集計表!$AK$18,"")</f>
        <v/>
      </c>
      <c r="L17" s="813" t="str">
        <f>IF(B4="県内",集計表!$AL$18,"")</f>
        <v/>
      </c>
      <c r="M17" s="773" t="str">
        <f>IF(B4="県内",集計表!$AM$18,"")</f>
        <v/>
      </c>
      <c r="N17" s="813" t="str">
        <f>IF(B4="県内",集計表!$AN$18,"")</f>
        <v/>
      </c>
      <c r="O17" s="773" t="str">
        <f>IF(B4="県内",集計表!$AO$18,"")</f>
        <v/>
      </c>
      <c r="P17" s="813" t="str">
        <f>IF(B4="県内",集計表!$AP$18,"")</f>
        <v/>
      </c>
      <c r="Q17" s="773" t="str">
        <f>IF(B4="県内",集計表!$AQ$18,"")</f>
        <v/>
      </c>
      <c r="R17" s="813" t="str">
        <f>IF(B4="県内",集計表!$AR$18,"")</f>
        <v/>
      </c>
      <c r="S17" s="773" t="str">
        <f>IF(B4="県内",集計表!$AS$18,"")</f>
        <v/>
      </c>
      <c r="T17" s="813" t="str">
        <f>IF(B4="県内",集計表!$AT$18,"")</f>
        <v/>
      </c>
      <c r="U17" s="771" t="str">
        <f>IF(B4="県内",集計表!$AU$18,"")</f>
        <v/>
      </c>
      <c r="V17" s="774"/>
      <c r="W17" s="22"/>
      <c r="X17" s="952"/>
      <c r="Y17" s="841"/>
      <c r="Z17" s="1272" t="s">
        <v>537</v>
      </c>
      <c r="AA17" s="1273"/>
      <c r="AB17" s="957">
        <f>◎施設管理!I10</f>
        <v>200</v>
      </c>
      <c r="AC17" s="964">
        <f>SUM(入力ページ!P47:R49)</f>
        <v>0</v>
      </c>
      <c r="AD17" s="970" t="s">
        <v>544</v>
      </c>
      <c r="AE17" s="829" t="s">
        <v>265</v>
      </c>
      <c r="AF17" s="960">
        <f>AB17*AC17</f>
        <v>0</v>
      </c>
      <c r="AG17" s="974" t="s">
        <v>59</v>
      </c>
      <c r="AH17" s="992" t="s">
        <v>535</v>
      </c>
      <c r="AI17" s="992"/>
      <c r="AJ17" s="992"/>
      <c r="AK17" s="992"/>
    </row>
    <row r="18" spans="2:40" ht="14.25" customHeight="1" x14ac:dyDescent="0.15">
      <c r="B18" s="1385"/>
      <c r="C18" s="1339"/>
      <c r="D18" s="1342"/>
      <c r="E18" s="1375"/>
      <c r="F18" s="1368"/>
      <c r="G18" s="1369"/>
      <c r="H18" s="1346"/>
      <c r="I18" s="939">
        <f>◎施設管理!N6</f>
        <v>300</v>
      </c>
      <c r="J18" s="775"/>
      <c r="K18" s="776">
        <f>SUM(J17,K17)</f>
        <v>0</v>
      </c>
      <c r="L18" s="777"/>
      <c r="M18" s="776">
        <f>SUM(L17,M17)</f>
        <v>0</v>
      </c>
      <c r="N18" s="777"/>
      <c r="O18" s="776">
        <f t="shared" ref="O18" si="6">SUM(N17,O17)</f>
        <v>0</v>
      </c>
      <c r="P18" s="777"/>
      <c r="Q18" s="776">
        <f t="shared" ref="Q18" si="7">SUM(P17,Q17)</f>
        <v>0</v>
      </c>
      <c r="R18" s="777"/>
      <c r="S18" s="776">
        <f t="shared" ref="S18" si="8">SUM(R17,S17)</f>
        <v>0</v>
      </c>
      <c r="T18" s="777"/>
      <c r="U18" s="776">
        <f>SUM(T17,U17)</f>
        <v>0</v>
      </c>
      <c r="V18" s="778">
        <f>SUM(J18:U18)</f>
        <v>0</v>
      </c>
      <c r="W18" s="779"/>
      <c r="X18" s="950">
        <f>I17*V18</f>
        <v>0</v>
      </c>
      <c r="Y18" s="131"/>
      <c r="Z18" s="1274" t="s">
        <v>275</v>
      </c>
      <c r="AA18" s="1274"/>
      <c r="AB18" s="944" t="str">
        <f>SUM(AC12:AC15)-AC17&amp;" 名】"</f>
        <v>0 名】</v>
      </c>
      <c r="AC18" s="945"/>
      <c r="AE18" s="1259" t="s">
        <v>572</v>
      </c>
      <c r="AF18" s="1278">
        <f>SUM(AF8:AF17)</f>
        <v>0</v>
      </c>
      <c r="AG18" s="1279"/>
      <c r="AH18" s="1266" t="s">
        <v>261</v>
      </c>
      <c r="AI18" s="9"/>
      <c r="AJ18" s="9"/>
      <c r="AK18" s="9"/>
    </row>
    <row r="19" spans="2:40" ht="14.25" customHeight="1" thickBot="1" x14ac:dyDescent="0.2">
      <c r="B19" s="1385"/>
      <c r="C19" s="1339"/>
      <c r="D19" s="1363" t="s">
        <v>395</v>
      </c>
      <c r="E19" s="1390" t="s">
        <v>394</v>
      </c>
      <c r="F19" s="1381"/>
      <c r="G19" s="1391"/>
      <c r="H19" s="1346"/>
      <c r="I19" s="663">
        <f>◎施設管理!O6</f>
        <v>3000</v>
      </c>
      <c r="J19" s="780" t="str">
        <f>IF(B4="県内",集計表!$AJ$19+集計表!$AJ$20,"")</f>
        <v/>
      </c>
      <c r="K19" s="773" t="str">
        <f>IF(B4="県内",集計表!$AK$19+集計表!$AK$20,"")</f>
        <v/>
      </c>
      <c r="L19" s="772" t="str">
        <f>IF(B4="県内",集計表!$AL$19+集計表!$AL$20,"")</f>
        <v/>
      </c>
      <c r="M19" s="773" t="str">
        <f>IF(B4="県内",集計表!$AM$19+集計表!$AM$20,"")</f>
        <v/>
      </c>
      <c r="N19" s="772" t="str">
        <f>IF(B4="県内",集計表!$AN$19+集計表!$AN$20,"")</f>
        <v/>
      </c>
      <c r="O19" s="773" t="str">
        <f>IF(B4="県内",集計表!$AO$19+集計表!$AO$20,"")</f>
        <v/>
      </c>
      <c r="P19" s="772" t="str">
        <f>IF(B4="県内",集計表!$AP$19+集計表!$AP$20,"")</f>
        <v/>
      </c>
      <c r="Q19" s="773" t="str">
        <f>IF(B4="県内",集計表!$AQ$19+集計表!$AQ$20,"")</f>
        <v/>
      </c>
      <c r="R19" s="772" t="str">
        <f>IF(B4="県内",集計表!$AR$19+集計表!$AR$20,"")</f>
        <v/>
      </c>
      <c r="S19" s="773" t="str">
        <f>IF(B4="県内",集計表!$AS$19+集計表!$AS$20,"")</f>
        <v/>
      </c>
      <c r="T19" s="772" t="str">
        <f>IF(B4="県内",集計表!$AT$19+集計表!$AT$20,"")</f>
        <v/>
      </c>
      <c r="U19" s="773" t="str">
        <f>IF(B4="県内",集計表!$AU$19+集計表!$AU$20,"")</f>
        <v/>
      </c>
      <c r="V19" s="774"/>
      <c r="W19" s="22"/>
      <c r="X19" s="951"/>
      <c r="Y19" s="131"/>
      <c r="Z19" s="1289" t="s">
        <v>570</v>
      </c>
      <c r="AA19" s="1289"/>
      <c r="AB19" s="1289"/>
      <c r="AC19" s="1289"/>
      <c r="AD19" s="973"/>
      <c r="AE19" s="1259"/>
      <c r="AF19" s="1280"/>
      <c r="AG19" s="1281"/>
      <c r="AH19" s="1267"/>
      <c r="AI19" s="9"/>
      <c r="AJ19" s="9"/>
      <c r="AK19" s="9"/>
    </row>
    <row r="20" spans="2:40" ht="14.25" customHeight="1" thickBot="1" x14ac:dyDescent="0.2">
      <c r="B20" s="1385"/>
      <c r="C20" s="1339"/>
      <c r="D20" s="1363"/>
      <c r="E20" s="1375"/>
      <c r="F20" s="1368"/>
      <c r="G20" s="1369"/>
      <c r="H20" s="1346"/>
      <c r="I20" s="939">
        <f>◎施設管理!P6</f>
        <v>400</v>
      </c>
      <c r="J20" s="775"/>
      <c r="K20" s="776">
        <f>SUM(J19,K19)</f>
        <v>0</v>
      </c>
      <c r="L20" s="782"/>
      <c r="M20" s="776">
        <f>SUM(L19,M19)</f>
        <v>0</v>
      </c>
      <c r="N20" s="782"/>
      <c r="O20" s="776">
        <f t="shared" ref="O20" si="9">SUM(N19,O19)</f>
        <v>0</v>
      </c>
      <c r="P20" s="782"/>
      <c r="Q20" s="776">
        <f t="shared" ref="Q20" si="10">SUM(P19,Q19)</f>
        <v>0</v>
      </c>
      <c r="R20" s="782"/>
      <c r="S20" s="776">
        <f t="shared" ref="S20" si="11">SUM(R19,S19)</f>
        <v>0</v>
      </c>
      <c r="T20" s="782"/>
      <c r="U20" s="776">
        <f>SUM(T19,U19)</f>
        <v>0</v>
      </c>
      <c r="V20" s="778">
        <f>SUM(J20:U20)</f>
        <v>0</v>
      </c>
      <c r="W20" s="22"/>
      <c r="X20" s="953">
        <f>I19*V20</f>
        <v>0</v>
      </c>
      <c r="Y20" s="841"/>
      <c r="Z20" s="1275" t="s">
        <v>524</v>
      </c>
      <c r="AA20" s="1287" t="str">
        <f>IF(入力ページ!F30="あり","利用あり","利用なし")</f>
        <v>利用なし</v>
      </c>
      <c r="AB20" s="1288"/>
      <c r="AC20" s="835"/>
      <c r="AD20" s="9"/>
      <c r="AE20" s="9"/>
      <c r="AF20" s="9"/>
      <c r="AG20" s="9"/>
      <c r="AH20" s="9"/>
      <c r="AI20" s="9"/>
      <c r="AJ20" s="9"/>
    </row>
    <row r="21" spans="2:40" ht="14.25" customHeight="1" x14ac:dyDescent="0.15">
      <c r="B21" s="1385"/>
      <c r="C21" s="1347" t="s">
        <v>393</v>
      </c>
      <c r="D21" s="1349" t="s">
        <v>392</v>
      </c>
      <c r="E21" s="1350"/>
      <c r="F21" s="1350"/>
      <c r="G21" s="1351"/>
      <c r="H21" s="1352" t="s">
        <v>391</v>
      </c>
      <c r="I21" s="1324">
        <f>◎施設管理!H6</f>
        <v>100</v>
      </c>
      <c r="J21" s="783" t="str">
        <f>IF(B4="県内",集計表!$I$7+集計表!$I$8,"")</f>
        <v/>
      </c>
      <c r="K21" s="784" t="str">
        <f>IF(B4="県内",集計表!$K$7+集計表!$K$8,"")</f>
        <v/>
      </c>
      <c r="L21" s="785" t="str">
        <f>IF(B4="県内",集計表!$M$7+集計表!$M$8,"")</f>
        <v/>
      </c>
      <c r="M21" s="784" t="str">
        <f>IF(B4="県内",集計表!$O$7+集計表!$O$8,"")</f>
        <v/>
      </c>
      <c r="N21" s="785" t="str">
        <f>IF(B4="県内",集計表!$Q$7+集計表!$Q$8,"")</f>
        <v/>
      </c>
      <c r="O21" s="784" t="str">
        <f>IF(B4="県内",集計表!$S$7+集計表!$S$8,"")</f>
        <v/>
      </c>
      <c r="P21" s="785" t="str">
        <f>IF(B4="県内",集計表!$U$7+集計表!$U$8,"")</f>
        <v/>
      </c>
      <c r="Q21" s="784" t="str">
        <f>IF(B4="県内",集計表!$W$7+集計表!$W$8,"")</f>
        <v/>
      </c>
      <c r="R21" s="785" t="str">
        <f>IF(B4="県内",集計表!$Y$7+集計表!$Y$8,"")</f>
        <v/>
      </c>
      <c r="S21" s="784" t="str">
        <f>IF(B4="県内",集計表!$AA$7+集計表!$AA$8,"")</f>
        <v/>
      </c>
      <c r="T21" s="785" t="str">
        <f>IF(B4="県内",集計表!$AC$7+集計表!$AC$8,"")</f>
        <v/>
      </c>
      <c r="U21" s="784" t="str">
        <f>IF(B4="県内",集計表!$AE$7+集計表!$AE$8,"")</f>
        <v/>
      </c>
      <c r="V21" s="786"/>
      <c r="W21" s="22"/>
      <c r="X21" s="952"/>
      <c r="Y21" s="131"/>
      <c r="Z21" s="1276"/>
      <c r="AA21" s="1006" t="s">
        <v>530</v>
      </c>
      <c r="AB21" s="976">
        <f>VLOOKUP($B$4,◎施設管理!G6:S7,11,FALSE)</f>
        <v>200</v>
      </c>
      <c r="AC21" s="977">
        <f>IF(B4="県外",V54,V31)</f>
        <v>0</v>
      </c>
      <c r="AD21" s="978"/>
      <c r="AE21" s="829" t="s">
        <v>265</v>
      </c>
      <c r="AF21" s="958">
        <f>AB21*AC21</f>
        <v>0</v>
      </c>
      <c r="AG21" s="971" t="s">
        <v>59</v>
      </c>
      <c r="AH21" s="9"/>
      <c r="AI21" s="830"/>
      <c r="AJ21" s="830"/>
    </row>
    <row r="22" spans="2:40" ht="14.25" customHeight="1" x14ac:dyDescent="0.15">
      <c r="B22" s="1385"/>
      <c r="C22" s="1339"/>
      <c r="D22" s="481"/>
      <c r="E22" s="478"/>
      <c r="F22" s="478"/>
      <c r="G22" s="480" t="s">
        <v>390</v>
      </c>
      <c r="H22" s="1346"/>
      <c r="I22" s="1325"/>
      <c r="J22" s="756" t="str">
        <f>IF(B4="県内",集計表!$AJ$6,"")</f>
        <v/>
      </c>
      <c r="K22" s="757" t="str">
        <f>IF(B4="県内",集計表!$AK$6,"")</f>
        <v/>
      </c>
      <c r="L22" s="760" t="str">
        <f>IF(B4="県内",集計表!$AL$6,"")</f>
        <v/>
      </c>
      <c r="M22" s="757" t="str">
        <f>IF(B4="県内",集計表!$AM$6,"")</f>
        <v/>
      </c>
      <c r="N22" s="758" t="str">
        <f>IF(B4="県内",集計表!$AN$6,"")</f>
        <v/>
      </c>
      <c r="O22" s="759" t="str">
        <f>IF(B4="県内",集計表!$AO$6,"")</f>
        <v/>
      </c>
      <c r="P22" s="758" t="str">
        <f>IF(B4="県内",集計表!$AP$6,"")</f>
        <v/>
      </c>
      <c r="Q22" s="759" t="str">
        <f>IF(B4="県内",集計表!$AQ$6,"")</f>
        <v/>
      </c>
      <c r="R22" s="760" t="str">
        <f>IF(B4="県内",集計表!$AR$6,"")</f>
        <v/>
      </c>
      <c r="S22" s="757" t="str">
        <f>IF(B4="県内",集計表!$AS$6,"")</f>
        <v/>
      </c>
      <c r="T22" s="760" t="str">
        <f>IF(B4="県内",集計表!$AT$6,"")</f>
        <v/>
      </c>
      <c r="U22" s="757" t="str">
        <f>IF(B4="県内",集計表!$AU$6,"")</f>
        <v/>
      </c>
      <c r="V22" s="761">
        <f>SUM(J22:U22)</f>
        <v>0</v>
      </c>
      <c r="W22" s="22"/>
      <c r="X22" s="952"/>
      <c r="Y22" s="131"/>
      <c r="Z22" s="1276"/>
      <c r="AA22" s="1007" t="s">
        <v>273</v>
      </c>
      <c r="AB22" s="976">
        <f>VLOOKUP($B$4,◎施設管理!G6:S7,12,FALSE)</f>
        <v>300</v>
      </c>
      <c r="AC22" s="977">
        <f>IF(B4="県外",V55,V32)</f>
        <v>0</v>
      </c>
      <c r="AD22" s="979"/>
      <c r="AE22" s="829" t="s">
        <v>264</v>
      </c>
      <c r="AF22" s="958">
        <f>AB22*AC22</f>
        <v>0</v>
      </c>
      <c r="AG22" s="971" t="s">
        <v>59</v>
      </c>
      <c r="AH22" s="9"/>
      <c r="AI22" s="830"/>
      <c r="AJ22" s="830"/>
    </row>
    <row r="23" spans="2:40" ht="14.25" customHeight="1" thickBot="1" x14ac:dyDescent="0.2">
      <c r="B23" s="1385"/>
      <c r="C23" s="1339"/>
      <c r="D23" s="479"/>
      <c r="E23" s="478"/>
      <c r="F23" s="478"/>
      <c r="G23" s="477"/>
      <c r="H23" s="1346"/>
      <c r="I23" s="1329"/>
      <c r="J23" s="762"/>
      <c r="K23" s="787">
        <f>SUM(J21,K21)</f>
        <v>0</v>
      </c>
      <c r="L23" s="764"/>
      <c r="M23" s="788">
        <f>SUM(L21,M21)</f>
        <v>0</v>
      </c>
      <c r="N23" s="764"/>
      <c r="O23" s="788">
        <f t="shared" ref="O23" si="12">SUM(N21,O21)</f>
        <v>0</v>
      </c>
      <c r="P23" s="764"/>
      <c r="Q23" s="788">
        <f t="shared" ref="Q23" si="13">SUM(P21,Q21)</f>
        <v>0</v>
      </c>
      <c r="R23" s="764"/>
      <c r="S23" s="788">
        <f t="shared" ref="S23" si="14">SUM(R21,S21)</f>
        <v>0</v>
      </c>
      <c r="T23" s="764"/>
      <c r="U23" s="788">
        <f>SUM(T21,U21)</f>
        <v>0</v>
      </c>
      <c r="V23" s="761">
        <f>SUM(J23:U23)</f>
        <v>0</v>
      </c>
      <c r="W23" s="22"/>
      <c r="X23" s="953">
        <f>I21*V23</f>
        <v>0</v>
      </c>
      <c r="Y23" s="841"/>
      <c r="Z23" s="1277"/>
      <c r="AA23" s="1006" t="s">
        <v>266</v>
      </c>
      <c r="AB23" s="976">
        <f>VLOOKUP($B$4,◎施設管理!G6:S7,13,FALSE)</f>
        <v>500</v>
      </c>
      <c r="AC23" s="977">
        <f>IF(B4="県外",V56,V33)</f>
        <v>0</v>
      </c>
      <c r="AD23" s="978"/>
      <c r="AE23" s="829" t="s">
        <v>265</v>
      </c>
      <c r="AF23" s="958">
        <f>AB23*AC23</f>
        <v>0</v>
      </c>
      <c r="AG23" s="971" t="s">
        <v>59</v>
      </c>
      <c r="AH23" s="9"/>
      <c r="AI23" s="830"/>
      <c r="AJ23" s="830"/>
    </row>
    <row r="24" spans="2:40" ht="14.25" customHeight="1" x14ac:dyDescent="0.15">
      <c r="B24" s="1385"/>
      <c r="C24" s="1339"/>
      <c r="D24" s="476"/>
      <c r="E24" s="475"/>
      <c r="F24" s="474"/>
      <c r="G24" s="473" t="s">
        <v>389</v>
      </c>
      <c r="H24" s="1346"/>
      <c r="I24" s="483" t="s">
        <v>311</v>
      </c>
      <c r="J24" s="765" t="str">
        <f>IF(B4="県内",集計表!$AJ$5,"")</f>
        <v/>
      </c>
      <c r="K24" s="768" t="str">
        <f>IF(B4="県内",集計表!$AK$5,"")</f>
        <v/>
      </c>
      <c r="L24" s="767" t="str">
        <f>IF(B4="県内",集計表!$AL$5,"")</f>
        <v/>
      </c>
      <c r="M24" s="768" t="str">
        <f>IF(B4="県内",集計表!$AM$5,"")</f>
        <v/>
      </c>
      <c r="N24" s="767" t="str">
        <f>IF(B4="県内",集計表!$AN$5,"")</f>
        <v/>
      </c>
      <c r="O24" s="768" t="str">
        <f>IF(B4="県内",集計表!$AO$5,"")</f>
        <v/>
      </c>
      <c r="P24" s="767" t="str">
        <f>IF(B4="県内",集計表!$AP$5,"")</f>
        <v/>
      </c>
      <c r="Q24" s="768" t="str">
        <f>IF(B4="県内",集計表!$AQ$5,"")</f>
        <v/>
      </c>
      <c r="R24" s="767" t="str">
        <f>IF(B4="県内",集計表!$AR$5,"")</f>
        <v/>
      </c>
      <c r="S24" s="768" t="str">
        <f>IF(B4="県内",集計表!$AS$5,"")</f>
        <v/>
      </c>
      <c r="T24" s="767" t="str">
        <f>IF(B4="県内",集計表!$AT$5,"")</f>
        <v/>
      </c>
      <c r="U24" s="768" t="str">
        <f>IF(B4="県内",集計表!$AU$5,"")</f>
        <v/>
      </c>
      <c r="V24" s="769">
        <f>SUM(J24:U24)</f>
        <v>0</v>
      </c>
      <c r="W24" s="22"/>
      <c r="X24" s="952"/>
      <c r="Y24" s="131"/>
      <c r="Z24" s="828"/>
      <c r="AA24" s="828"/>
      <c r="AB24" s="828"/>
      <c r="AC24" s="943"/>
      <c r="AD24" s="943"/>
      <c r="AE24" s="1259" t="s">
        <v>572</v>
      </c>
      <c r="AF24" s="1278">
        <f>SUM(AF21:AF23)</f>
        <v>0</v>
      </c>
      <c r="AG24" s="1279"/>
      <c r="AH24" s="1266" t="s">
        <v>261</v>
      </c>
      <c r="AI24" s="830"/>
      <c r="AJ24" s="830"/>
      <c r="AK24" s="830"/>
    </row>
    <row r="25" spans="2:40" ht="14.25" customHeight="1" thickBot="1" x14ac:dyDescent="0.2">
      <c r="B25" s="1385"/>
      <c r="C25" s="1339"/>
      <c r="D25" s="1364" t="s">
        <v>85</v>
      </c>
      <c r="E25" s="1365"/>
      <c r="F25" s="1365"/>
      <c r="G25" s="1366"/>
      <c r="H25" s="1346"/>
      <c r="I25" s="1325">
        <f>◎施設管理!H6</f>
        <v>100</v>
      </c>
      <c r="J25" s="814" t="str">
        <f>IF(B4="県内",集計表!$AJ$8,"")</f>
        <v/>
      </c>
      <c r="K25" s="789" t="str">
        <f>IF(B4="県内",集計表!$AK$8,"")</f>
        <v/>
      </c>
      <c r="L25" s="781" t="str">
        <f>IF(B4="県内",集計表!$AL$8,"")</f>
        <v/>
      </c>
      <c r="M25" s="789" t="str">
        <f>IF(B4="県内",集計表!$AM$8,"")</f>
        <v/>
      </c>
      <c r="N25" s="781" t="str">
        <f>IF(B4="県内",集計表!$AN$8,"")</f>
        <v/>
      </c>
      <c r="O25" s="789" t="str">
        <f>IF(B4="県内",集計表!$AO$8,"")</f>
        <v/>
      </c>
      <c r="P25" s="781" t="str">
        <f>IF(B4="県内",集計表!$AP$8,"")</f>
        <v/>
      </c>
      <c r="Q25" s="789" t="str">
        <f>IF(B4="県内",集計表!$AQ$8,"")</f>
        <v/>
      </c>
      <c r="R25" s="781" t="str">
        <f>IF(B4="県内",集計表!$AR$8,"")</f>
        <v/>
      </c>
      <c r="S25" s="789" t="str">
        <f>IF(B4="県内",集計表!$AS$8,"")</f>
        <v/>
      </c>
      <c r="T25" s="781" t="str">
        <f>IF(B4="県内",集計表!$AT$8,"")</f>
        <v/>
      </c>
      <c r="U25" s="815" t="str">
        <f>IF(B4="県内",集計表!$AU$8,"")</f>
        <v/>
      </c>
      <c r="V25" s="774"/>
      <c r="W25" s="22"/>
      <c r="X25" s="952"/>
      <c r="Y25" s="841"/>
      <c r="Z25" s="828"/>
      <c r="AA25" s="828"/>
      <c r="AB25" s="828"/>
      <c r="AC25" s="943"/>
      <c r="AD25" s="943"/>
      <c r="AE25" s="1259"/>
      <c r="AF25" s="1280"/>
      <c r="AG25" s="1281"/>
      <c r="AH25" s="1267"/>
      <c r="AI25" s="827"/>
      <c r="AJ25" s="827"/>
      <c r="AK25" s="827"/>
    </row>
    <row r="26" spans="2:40" ht="14.25" customHeight="1" x14ac:dyDescent="0.15">
      <c r="B26" s="1385"/>
      <c r="C26" s="1339"/>
      <c r="D26" s="1367"/>
      <c r="E26" s="1368"/>
      <c r="F26" s="1368"/>
      <c r="G26" s="1369"/>
      <c r="H26" s="1346"/>
      <c r="I26" s="1327"/>
      <c r="J26" s="775"/>
      <c r="K26" s="776">
        <f>SUM(J25,K25)</f>
        <v>0</v>
      </c>
      <c r="L26" s="777"/>
      <c r="M26" s="776">
        <f>SUM(L25,M25)</f>
        <v>0</v>
      </c>
      <c r="N26" s="777"/>
      <c r="O26" s="776">
        <f t="shared" ref="O26" si="15">SUM(N25,O25)</f>
        <v>0</v>
      </c>
      <c r="P26" s="777"/>
      <c r="Q26" s="776">
        <f t="shared" ref="Q26" si="16">SUM(P25,Q25)</f>
        <v>0</v>
      </c>
      <c r="R26" s="777"/>
      <c r="S26" s="776">
        <f t="shared" ref="S26" si="17">SUM(R25,S25)</f>
        <v>0</v>
      </c>
      <c r="T26" s="777"/>
      <c r="U26" s="776">
        <f>SUM(T25,U25)</f>
        <v>0</v>
      </c>
      <c r="V26" s="778">
        <f>SUM(J26:U26)</f>
        <v>0</v>
      </c>
      <c r="W26" s="22"/>
      <c r="X26" s="953">
        <f>I25*V26</f>
        <v>0</v>
      </c>
      <c r="Y26" s="131"/>
      <c r="Z26" s="988"/>
      <c r="AA26" s="826"/>
      <c r="AB26" s="826"/>
      <c r="AC26" s="826"/>
      <c r="AD26" s="988"/>
      <c r="AE26" s="826"/>
      <c r="AF26" s="826"/>
      <c r="AG26" s="826"/>
      <c r="AH26" s="826"/>
      <c r="AI26" s="827"/>
      <c r="AJ26" s="827"/>
      <c r="AK26" s="827"/>
      <c r="AL26" s="827"/>
      <c r="AM26" s="827"/>
      <c r="AN26" s="827"/>
    </row>
    <row r="27" spans="2:40" ht="14.25" customHeight="1" x14ac:dyDescent="0.15">
      <c r="B27" s="1385"/>
      <c r="C27" s="1339"/>
      <c r="D27" s="1364" t="s">
        <v>388</v>
      </c>
      <c r="E27" s="1365"/>
      <c r="F27" s="1365"/>
      <c r="G27" s="1365"/>
      <c r="H27" s="1346"/>
      <c r="I27" s="1326">
        <f>◎施設管理!I6</f>
        <v>200</v>
      </c>
      <c r="J27" s="814" t="str">
        <f>IF(B4="県内",集計表!$AJ$9,"")</f>
        <v/>
      </c>
      <c r="K27" s="801" t="str">
        <f>IF(B4="県内",集計表!$AK$9,"")</f>
        <v/>
      </c>
      <c r="L27" s="790" t="str">
        <f>IF(B4="県内",集計表!$AL$9,"")</f>
        <v/>
      </c>
      <c r="M27" s="773" t="str">
        <f>IF(B4="県内",集計表!$AM$9,"")</f>
        <v/>
      </c>
      <c r="N27" s="781" t="str">
        <f>IF(B4="県内",集計表!$AN$9,"")</f>
        <v/>
      </c>
      <c r="O27" s="789" t="str">
        <f>IF(B4="県内",集計表!$AO$9,"")</f>
        <v/>
      </c>
      <c r="P27" s="781" t="str">
        <f>IF(B4="県内",集計表!$AP$9,"")</f>
        <v/>
      </c>
      <c r="Q27" s="789" t="str">
        <f>IF(B4="県内",集計表!$AQ$9,"")</f>
        <v/>
      </c>
      <c r="R27" s="781" t="str">
        <f>IF(B4="県内",集計表!$AR$9,"")</f>
        <v/>
      </c>
      <c r="S27" s="816" t="str">
        <f>IF(B4="県内",集計表!$AS$9,"")</f>
        <v/>
      </c>
      <c r="T27" s="772" t="str">
        <f>IF(B4="県内",集計表!$AT$9,"")</f>
        <v/>
      </c>
      <c r="U27" s="859" t="str">
        <f>IF(B4="県内",集計表!$AU$9,"")</f>
        <v/>
      </c>
      <c r="V27" s="774"/>
      <c r="W27" s="22"/>
      <c r="X27" s="952"/>
      <c r="Y27" s="841"/>
      <c r="Z27" s="1260" t="s">
        <v>574</v>
      </c>
      <c r="AA27" s="980" t="s">
        <v>542</v>
      </c>
      <c r="AB27" s="986">
        <f>◎施設管理!J10</f>
        <v>370</v>
      </c>
      <c r="AC27" s="1000">
        <f>SUM(名簿入力!BT37,名簿入力!BX37,名簿入力!CB37,名簿入力!CF37,名簿入力!CJ37,名簿入力!CN37)</f>
        <v>0</v>
      </c>
      <c r="AD27" s="968" t="s">
        <v>571</v>
      </c>
      <c r="AE27" s="829" t="s">
        <v>264</v>
      </c>
      <c r="AF27" s="998">
        <f t="shared" ref="AF27:AF35" si="18">AB27*AC27</f>
        <v>0</v>
      </c>
      <c r="AG27" s="994" t="s">
        <v>543</v>
      </c>
      <c r="AH27" s="830"/>
      <c r="AI27" s="830"/>
      <c r="AJ27" s="830"/>
      <c r="AK27" s="827"/>
      <c r="AL27" s="827"/>
      <c r="AM27" s="827"/>
    </row>
    <row r="28" spans="2:40" ht="14.25" customHeight="1" x14ac:dyDescent="0.15">
      <c r="B28" s="1385"/>
      <c r="C28" s="1339"/>
      <c r="D28" s="1367"/>
      <c r="E28" s="1368"/>
      <c r="F28" s="1368"/>
      <c r="G28" s="1368"/>
      <c r="H28" s="1346"/>
      <c r="I28" s="1403"/>
      <c r="J28" s="775"/>
      <c r="K28" s="776">
        <f>SUM(J27,K27)</f>
        <v>0</v>
      </c>
      <c r="L28" s="777"/>
      <c r="M28" s="776">
        <f>SUM(L27,M27)</f>
        <v>0</v>
      </c>
      <c r="N28" s="777"/>
      <c r="O28" s="776">
        <f>SUM(N27,O27)</f>
        <v>0</v>
      </c>
      <c r="P28" s="777"/>
      <c r="Q28" s="776">
        <f t="shared" ref="Q28" si="19">SUM(P27,Q27)</f>
        <v>0</v>
      </c>
      <c r="R28" s="777"/>
      <c r="S28" s="802">
        <f t="shared" ref="S28" si="20">SUM(R27,S27)</f>
        <v>0</v>
      </c>
      <c r="T28" s="777"/>
      <c r="U28" s="776">
        <f>SUM(T27,U27)</f>
        <v>0</v>
      </c>
      <c r="V28" s="778">
        <f>SUM(J28:U28)</f>
        <v>0</v>
      </c>
      <c r="W28" s="22"/>
      <c r="X28" s="953">
        <f>I27*V28</f>
        <v>0</v>
      </c>
      <c r="Y28" s="841"/>
      <c r="Z28" s="1260"/>
      <c r="AA28" s="980" t="s">
        <v>84</v>
      </c>
      <c r="AB28" s="986">
        <f>◎施設管理!K10</f>
        <v>530</v>
      </c>
      <c r="AC28" s="1000">
        <f>SUM(名簿入力!BT38,名簿入力!BX38,名簿入力!CB38,名簿入力!CF38,名簿入力!CJ38,名簿入力!CN38)</f>
        <v>0</v>
      </c>
      <c r="AD28" s="968" t="s">
        <v>571</v>
      </c>
      <c r="AE28" s="829" t="s">
        <v>264</v>
      </c>
      <c r="AF28" s="998">
        <f t="shared" si="18"/>
        <v>0</v>
      </c>
      <c r="AG28" s="994" t="s">
        <v>543</v>
      </c>
      <c r="AH28" s="830"/>
      <c r="AI28" s="830"/>
      <c r="AJ28" s="830"/>
      <c r="AK28" s="827"/>
      <c r="AL28" s="827"/>
      <c r="AM28" s="827"/>
    </row>
    <row r="29" spans="2:40" ht="14.25" customHeight="1" x14ac:dyDescent="0.15">
      <c r="B29" s="1385"/>
      <c r="C29" s="1339"/>
      <c r="D29" s="1380" t="s">
        <v>383</v>
      </c>
      <c r="E29" s="1381"/>
      <c r="F29" s="1381"/>
      <c r="G29" s="1381"/>
      <c r="H29" s="1346"/>
      <c r="I29" s="1325">
        <f>◎施設管理!J6</f>
        <v>400</v>
      </c>
      <c r="J29" s="814" t="str">
        <f>IF(B4="県内",集計表!$AJ$10+集計表!$AJ$11,"")</f>
        <v/>
      </c>
      <c r="K29" s="773" t="str">
        <f>IF(B4="県内",集計表!$AK$10+集計表!$AK$11,"")</f>
        <v/>
      </c>
      <c r="L29" s="819" t="str">
        <f>IF(B4="県内",集計表!$AL$10+集計表!$AL$11,"")</f>
        <v/>
      </c>
      <c r="M29" s="773" t="str">
        <f>IF(B4="県内",集計表!$AM$10+集計表!$AM$11,"")</f>
        <v/>
      </c>
      <c r="N29" s="819" t="str">
        <f>IF(B4="県内",集計表!$AN$10+集計表!$AN$11,"")</f>
        <v/>
      </c>
      <c r="O29" s="773" t="str">
        <f>IF(B4="県内",集計表!$AO$10+集計表!$AO$11,"")</f>
        <v/>
      </c>
      <c r="P29" s="819" t="str">
        <f>IF(B4="県内",集計表!$AP$10+集計表!$AP$11,"")</f>
        <v/>
      </c>
      <c r="Q29" s="773" t="str">
        <f>IF(B4="県内",集計表!$AQ$10+集計表!$AQ$11,"")</f>
        <v/>
      </c>
      <c r="R29" s="819" t="str">
        <f>IF(B4="県内",集計表!$AR$10+集計表!$AR$11,"")</f>
        <v/>
      </c>
      <c r="S29" s="773" t="str">
        <f>IF(B4="県内",集計表!$AS$10+集計表!$AS$11,"")</f>
        <v/>
      </c>
      <c r="T29" s="819" t="str">
        <f>IF(B4="県内",集計表!$AT$10+集計表!$AT$11,"")</f>
        <v/>
      </c>
      <c r="U29" s="789" t="str">
        <f>IF(B4="県内",集計表!$AU$10+集計表!$AU$11,"")</f>
        <v/>
      </c>
      <c r="V29" s="774"/>
      <c r="W29" s="22"/>
      <c r="X29" s="952"/>
      <c r="Y29" s="841"/>
      <c r="Z29" s="1261"/>
      <c r="AA29" s="981" t="s">
        <v>541</v>
      </c>
      <c r="AB29" s="986">
        <f>◎施設管理!L10</f>
        <v>640</v>
      </c>
      <c r="AC29" s="1000">
        <f>SUM(名簿入力!BX39:BX42,名簿入力!CB39:CB42,名簿入力!CF39:CF42,名簿入力!CJ39:CJ42,名簿入力!CN39:CN42)</f>
        <v>0</v>
      </c>
      <c r="AD29" s="968" t="s">
        <v>571</v>
      </c>
      <c r="AE29" s="829" t="s">
        <v>264</v>
      </c>
      <c r="AF29" s="998">
        <f t="shared" si="18"/>
        <v>0</v>
      </c>
      <c r="AG29" s="994" t="s">
        <v>543</v>
      </c>
      <c r="AH29" s="9"/>
      <c r="AI29" s="830"/>
      <c r="AJ29" s="830"/>
      <c r="AK29" s="827"/>
      <c r="AL29" s="826"/>
      <c r="AM29" s="827"/>
    </row>
    <row r="30" spans="2:40" ht="14.25" customHeight="1" thickBot="1" x14ac:dyDescent="0.2">
      <c r="B30" s="1385"/>
      <c r="C30" s="1348"/>
      <c r="D30" s="1382"/>
      <c r="E30" s="1383"/>
      <c r="F30" s="1383"/>
      <c r="G30" s="1383"/>
      <c r="H30" s="1353"/>
      <c r="I30" s="1328"/>
      <c r="J30" s="791"/>
      <c r="K30" s="792">
        <f>SUM(J29,K29)</f>
        <v>0</v>
      </c>
      <c r="L30" s="793"/>
      <c r="M30" s="792">
        <f>SUM(L29,M29)</f>
        <v>0</v>
      </c>
      <c r="N30" s="793"/>
      <c r="O30" s="792">
        <f t="shared" ref="O30" si="21">SUM(N29,O29)</f>
        <v>0</v>
      </c>
      <c r="P30" s="793"/>
      <c r="Q30" s="792">
        <f t="shared" ref="Q30" si="22">SUM(P29,Q29)</f>
        <v>0</v>
      </c>
      <c r="R30" s="793"/>
      <c r="S30" s="792">
        <f t="shared" ref="S30" si="23">SUM(R29,S29)</f>
        <v>0</v>
      </c>
      <c r="T30" s="793"/>
      <c r="U30" s="792">
        <f>SUM(T29,U29)</f>
        <v>0</v>
      </c>
      <c r="V30" s="774">
        <f>SUM(J30:U30)</f>
        <v>0</v>
      </c>
      <c r="W30" s="22"/>
      <c r="X30" s="953">
        <f>I29*V30</f>
        <v>0</v>
      </c>
      <c r="Y30" s="841"/>
      <c r="Z30" s="1262" t="s">
        <v>575</v>
      </c>
      <c r="AA30" s="982" t="s">
        <v>542</v>
      </c>
      <c r="AB30" s="987">
        <f>◎施設管理!M10</f>
        <v>400</v>
      </c>
      <c r="AC30" s="1001">
        <f>SUM(名簿入力!BU37,名簿入力!BY37,名簿入力!CC37,名簿入力!CG37,名簿入力!CK37,名簿入力!CO37)</f>
        <v>0</v>
      </c>
      <c r="AD30" s="989" t="s">
        <v>571</v>
      </c>
      <c r="AE30" s="829" t="s">
        <v>264</v>
      </c>
      <c r="AF30" s="999">
        <f t="shared" si="18"/>
        <v>0</v>
      </c>
      <c r="AG30" s="995" t="s">
        <v>543</v>
      </c>
      <c r="AH30" s="9"/>
      <c r="AI30" s="9"/>
      <c r="AJ30" s="9"/>
      <c r="AK30" s="827"/>
      <c r="AL30" s="826"/>
      <c r="AM30" s="826"/>
    </row>
    <row r="31" spans="2:40" ht="14.25" customHeight="1" x14ac:dyDescent="0.15">
      <c r="B31" s="1385"/>
      <c r="C31" s="1354" t="s">
        <v>387</v>
      </c>
      <c r="D31" s="1357" t="s">
        <v>400</v>
      </c>
      <c r="E31" s="1358"/>
      <c r="F31" s="1358"/>
      <c r="G31" s="1359"/>
      <c r="H31" s="1360" t="s">
        <v>385</v>
      </c>
      <c r="I31" s="471">
        <f>◎施設管理!Q6</f>
        <v>100</v>
      </c>
      <c r="J31" s="1332"/>
      <c r="K31" s="1333"/>
      <c r="L31" s="1330"/>
      <c r="M31" s="1333"/>
      <c r="N31" s="1330"/>
      <c r="O31" s="1333"/>
      <c r="P31" s="1330"/>
      <c r="Q31" s="1333"/>
      <c r="R31" s="1330"/>
      <c r="S31" s="1333"/>
      <c r="T31" s="1330"/>
      <c r="U31" s="1331"/>
      <c r="V31" s="794">
        <f>SUM(J31+L31+N31+P31+R31+T31)</f>
        <v>0</v>
      </c>
      <c r="W31" s="22"/>
      <c r="X31" s="953">
        <f>V31*I31</f>
        <v>0</v>
      </c>
      <c r="Y31" s="131"/>
      <c r="Z31" s="1263"/>
      <c r="AA31" s="983" t="s">
        <v>84</v>
      </c>
      <c r="AB31" s="987">
        <f>◎施設管理!N10</f>
        <v>550</v>
      </c>
      <c r="AC31" s="1001">
        <f>SUM(名簿入力!BU38,名簿入力!BY38,名簿入力!CC38,名簿入力!CG38,名簿入力!CK38,名簿入力!CO38)</f>
        <v>0</v>
      </c>
      <c r="AD31" s="990" t="s">
        <v>571</v>
      </c>
      <c r="AE31" s="829" t="s">
        <v>264</v>
      </c>
      <c r="AF31" s="999">
        <f t="shared" si="18"/>
        <v>0</v>
      </c>
      <c r="AG31" s="995" t="s">
        <v>543</v>
      </c>
      <c r="AH31" s="9"/>
      <c r="AI31" s="9"/>
      <c r="AJ31" s="9"/>
      <c r="AK31" s="827"/>
      <c r="AL31" s="826"/>
      <c r="AM31" s="826"/>
    </row>
    <row r="32" spans="2:40" ht="14.25" customHeight="1" x14ac:dyDescent="0.15">
      <c r="B32" s="1385"/>
      <c r="C32" s="1355"/>
      <c r="D32" s="1387" t="s">
        <v>384</v>
      </c>
      <c r="E32" s="1388"/>
      <c r="F32" s="1388"/>
      <c r="G32" s="1389"/>
      <c r="H32" s="1361"/>
      <c r="I32" s="470">
        <f>◎施設管理!R6</f>
        <v>200</v>
      </c>
      <c r="J32" s="1320"/>
      <c r="K32" s="1321"/>
      <c r="L32" s="1322"/>
      <c r="M32" s="1321"/>
      <c r="N32" s="1322"/>
      <c r="O32" s="1321"/>
      <c r="P32" s="1322"/>
      <c r="Q32" s="1321"/>
      <c r="R32" s="1322"/>
      <c r="S32" s="1321"/>
      <c r="T32" s="1322"/>
      <c r="U32" s="1323"/>
      <c r="V32" s="795">
        <f>SUM(J32+L32+N32+P32+R32+T32)</f>
        <v>0</v>
      </c>
      <c r="W32" s="22"/>
      <c r="X32" s="953">
        <f>V32*I32</f>
        <v>0</v>
      </c>
      <c r="Y32" s="131"/>
      <c r="Z32" s="1264"/>
      <c r="AA32" s="984" t="s">
        <v>541</v>
      </c>
      <c r="AB32" s="987">
        <f>◎施設管理!O10</f>
        <v>670</v>
      </c>
      <c r="AC32" s="1001">
        <f>SUM(名簿入力!BU39:BU42,名簿入力!BY39:BY42,名簿入力!CC39:CC42,名簿入力!CG39:CG42,名簿入力!CK39:CK42,名簿入力!CO39:CO42)</f>
        <v>0</v>
      </c>
      <c r="AD32" s="991" t="s">
        <v>571</v>
      </c>
      <c r="AE32" s="829" t="s">
        <v>264</v>
      </c>
      <c r="AF32" s="999">
        <f t="shared" si="18"/>
        <v>0</v>
      </c>
      <c r="AG32" s="995" t="s">
        <v>543</v>
      </c>
      <c r="AH32" s="9"/>
      <c r="AI32" s="9"/>
      <c r="AJ32" s="9"/>
      <c r="AK32" s="826"/>
      <c r="AL32" s="826"/>
      <c r="AM32" s="826"/>
    </row>
    <row r="33" spans="2:40" ht="14.25" customHeight="1" thickBot="1" x14ac:dyDescent="0.2">
      <c r="B33" s="1386"/>
      <c r="C33" s="1356"/>
      <c r="D33" s="1370" t="s">
        <v>383</v>
      </c>
      <c r="E33" s="1371"/>
      <c r="F33" s="1371"/>
      <c r="G33" s="1372"/>
      <c r="H33" s="1362"/>
      <c r="I33" s="469">
        <f>◎施設管理!S6</f>
        <v>400</v>
      </c>
      <c r="J33" s="1418"/>
      <c r="K33" s="1335"/>
      <c r="L33" s="1334"/>
      <c r="M33" s="1335"/>
      <c r="N33" s="1334"/>
      <c r="O33" s="1335"/>
      <c r="P33" s="1334"/>
      <c r="Q33" s="1335"/>
      <c r="R33" s="1334"/>
      <c r="S33" s="1335"/>
      <c r="T33" s="1334"/>
      <c r="U33" s="1419"/>
      <c r="V33" s="796">
        <f>SUM(J33+L33+N33+P33+R33+T33)</f>
        <v>0</v>
      </c>
      <c r="W33" s="22"/>
      <c r="X33" s="953">
        <f>V33*I33</f>
        <v>0</v>
      </c>
      <c r="Y33" s="841"/>
      <c r="Z33" s="1265" t="s">
        <v>576</v>
      </c>
      <c r="AA33" s="985" t="s">
        <v>542</v>
      </c>
      <c r="AB33" s="986">
        <f>◎施設管理!P10</f>
        <v>440</v>
      </c>
      <c r="AC33" s="1002">
        <f>SUM(名簿入力!BV37,名簿入力!BZ37,名簿入力!CD37,名簿入力!CH37,名簿入力!CL37,名簿入力!CP37)</f>
        <v>0</v>
      </c>
      <c r="AD33" s="968" t="s">
        <v>571</v>
      </c>
      <c r="AE33" s="829" t="s">
        <v>264</v>
      </c>
      <c r="AF33" s="998">
        <f t="shared" si="18"/>
        <v>0</v>
      </c>
      <c r="AG33" s="996" t="s">
        <v>543</v>
      </c>
      <c r="AH33" s="9"/>
      <c r="AI33" s="9"/>
      <c r="AJ33" s="9"/>
      <c r="AK33" s="826"/>
      <c r="AL33" s="826"/>
      <c r="AM33" s="826"/>
    </row>
    <row r="34" spans="2:40" ht="14.25" customHeight="1" thickTop="1" x14ac:dyDescent="0.15">
      <c r="B34" s="1337" t="s">
        <v>399</v>
      </c>
      <c r="C34" s="1339" t="s">
        <v>398</v>
      </c>
      <c r="D34" s="1340" t="s">
        <v>392</v>
      </c>
      <c r="E34" s="1343" t="s">
        <v>397</v>
      </c>
      <c r="F34" s="1344"/>
      <c r="G34" s="1345"/>
      <c r="H34" s="1346" t="s">
        <v>396</v>
      </c>
      <c r="I34" s="1324">
        <f>◎施設管理!K7</f>
        <v>700</v>
      </c>
      <c r="J34" s="751">
        <f ca="1">IF(B4="県外",集計表!$AJ$15+集計表!$AJ$16,"")</f>
        <v>0</v>
      </c>
      <c r="K34" s="754">
        <f ca="1">IF(B4="県外",集計表!$AK$15+集計表!$AK$16,"")</f>
        <v>0</v>
      </c>
      <c r="L34" s="797">
        <f ca="1">IF(B4="県外",集計表!$AL$15+集計表!$AL$16,"")</f>
        <v>0</v>
      </c>
      <c r="M34" s="752">
        <f ca="1">IF(B4="県外",集計表!$AM$15+集計表!$AM$16,"")</f>
        <v>0</v>
      </c>
      <c r="N34" s="753">
        <f ca="1">IF(B4="県外",集計表!$AN$15+集計表!$AN$16,"")</f>
        <v>0</v>
      </c>
      <c r="O34" s="754">
        <f ca="1">IF(B4="県外",集計表!$AO$15+集計表!$AO$16,"")</f>
        <v>0</v>
      </c>
      <c r="P34" s="797">
        <f ca="1">IF(B4="県外",集計表!$AP$15+集計表!$AP$16,"")</f>
        <v>0</v>
      </c>
      <c r="Q34" s="752">
        <f ca="1">IF(B4="県外",集計表!$AQ$15+集計表!$AQ$16,"")</f>
        <v>0</v>
      </c>
      <c r="R34" s="753">
        <f ca="1">IF(B4="県外",集計表!$AR$15+集計表!$AR$16,"")</f>
        <v>0</v>
      </c>
      <c r="S34" s="754">
        <f ca="1">IF(B4="県外",集計表!$AS$15+集計表!$AS$16,"")</f>
        <v>0</v>
      </c>
      <c r="T34" s="797">
        <f ca="1">IF(B4="県外",集計表!$AT$15+集計表!$AT$16,"")</f>
        <v>0</v>
      </c>
      <c r="U34" s="752">
        <f ca="1">IF(B4="県外",集計表!$AU$15+集計表!$AU$16,"")</f>
        <v>0</v>
      </c>
      <c r="V34" s="755"/>
      <c r="W34" s="22"/>
      <c r="X34" s="952"/>
      <c r="Y34" s="131"/>
      <c r="Z34" s="1260"/>
      <c r="AA34" s="980" t="s">
        <v>84</v>
      </c>
      <c r="AB34" s="986">
        <f>◎施設管理!Q10</f>
        <v>880</v>
      </c>
      <c r="AC34" s="1003">
        <f>SUM(名簿入力!BV38,名簿入力!BZ38,名簿入力!CD38,名簿入力!CH38,名簿入力!CL38,名簿入力!CP38)</f>
        <v>0</v>
      </c>
      <c r="AD34" s="968" t="s">
        <v>571</v>
      </c>
      <c r="AE34" s="829" t="s">
        <v>264</v>
      </c>
      <c r="AF34" s="998">
        <f t="shared" si="18"/>
        <v>0</v>
      </c>
      <c r="AG34" s="996" t="s">
        <v>543</v>
      </c>
      <c r="AH34" s="9"/>
      <c r="AI34" s="9"/>
      <c r="AJ34" s="9"/>
      <c r="AK34" s="826"/>
      <c r="AL34" s="826"/>
      <c r="AM34" s="826"/>
    </row>
    <row r="35" spans="2:40" ht="14.25" customHeight="1" thickBot="1" x14ac:dyDescent="0.2">
      <c r="B35" s="1337"/>
      <c r="C35" s="1339"/>
      <c r="D35" s="1341"/>
      <c r="E35" s="485"/>
      <c r="F35" s="820"/>
      <c r="G35" s="480" t="s">
        <v>390</v>
      </c>
      <c r="H35" s="1346"/>
      <c r="I35" s="1325"/>
      <c r="J35" s="756">
        <f ca="1">IF(B4="県外",集計表!$AJ$15,"")</f>
        <v>0</v>
      </c>
      <c r="K35" s="759">
        <f ca="1">IF(B4="県外",集計表!$AK$15,"")</f>
        <v>0</v>
      </c>
      <c r="L35" s="798">
        <f ca="1">IF(B4="県外",集計表!$AL$15,"")</f>
        <v>0</v>
      </c>
      <c r="M35" s="759">
        <f ca="1">IF(B4="県外",集計表!$AM$15,"")</f>
        <v>0</v>
      </c>
      <c r="N35" s="798">
        <f ca="1">IF(B4="県外",集計表!$AN$15,"")</f>
        <v>0</v>
      </c>
      <c r="O35" s="759">
        <f ca="1">IF(B4="県外",集計表!$AO$15,"")</f>
        <v>0</v>
      </c>
      <c r="P35" s="798">
        <f ca="1">IF(B4="県外",集計表!$AP$15,"")</f>
        <v>0</v>
      </c>
      <c r="Q35" s="759">
        <f ca="1">IF(B4="県外",集計表!$AQ$15,"")</f>
        <v>0</v>
      </c>
      <c r="R35" s="798">
        <f ca="1">IF(B4="県外",集計表!$AR$15,"")</f>
        <v>0</v>
      </c>
      <c r="S35" s="758">
        <f ca="1">IF(B4="県外",集計表!$AS$15,"")</f>
        <v>0</v>
      </c>
      <c r="T35" s="760">
        <f ca="1">IF(B4="県外",集計表!$AT$15,"")</f>
        <v>0</v>
      </c>
      <c r="U35" s="757">
        <f ca="1">IF(B4="県外",集計表!$AU$15,"")</f>
        <v>0</v>
      </c>
      <c r="V35" s="761">
        <f ca="1">SUM(J35:U35)</f>
        <v>0</v>
      </c>
      <c r="W35" s="22"/>
      <c r="X35" s="952"/>
      <c r="Y35" s="131"/>
      <c r="Z35" s="1261"/>
      <c r="AA35" s="981" t="s">
        <v>541</v>
      </c>
      <c r="AB35" s="986">
        <f>◎施設管理!R10</f>
        <v>1090</v>
      </c>
      <c r="AC35" s="1003">
        <f>SUM(名簿入力!BV39:BV42,名簿入力!BZ39:BZ42,名簿入力!CD39:CD42,名簿入力!CH39:CH42,名簿入力!CL39:CL42,名簿入力!CP39:CP42)</f>
        <v>0</v>
      </c>
      <c r="AD35" s="968" t="s">
        <v>571</v>
      </c>
      <c r="AE35" s="829" t="s">
        <v>264</v>
      </c>
      <c r="AF35" s="1004">
        <f t="shared" si="18"/>
        <v>0</v>
      </c>
      <c r="AG35" s="1005" t="s">
        <v>543</v>
      </c>
      <c r="AH35" s="836"/>
      <c r="AI35" s="9"/>
      <c r="AJ35" s="9"/>
      <c r="AK35" s="826"/>
      <c r="AL35" s="826"/>
      <c r="AM35" s="826"/>
    </row>
    <row r="36" spans="2:40" ht="14.25" customHeight="1" x14ac:dyDescent="0.15">
      <c r="B36" s="1337"/>
      <c r="C36" s="1339"/>
      <c r="D36" s="1341"/>
      <c r="E36" s="485"/>
      <c r="F36" s="478"/>
      <c r="G36" s="477"/>
      <c r="H36" s="1346"/>
      <c r="I36" s="938">
        <f>◎施設管理!L7</f>
        <v>400</v>
      </c>
      <c r="J36" s="762"/>
      <c r="K36" s="763">
        <f ca="1">SUM(J34,K34)</f>
        <v>0</v>
      </c>
      <c r="L36" s="764"/>
      <c r="M36" s="763">
        <f ca="1">SUM(L34,M34)</f>
        <v>0</v>
      </c>
      <c r="N36" s="764"/>
      <c r="O36" s="763">
        <f t="shared" ref="O36" ca="1" si="24">SUM(N34,O34)</f>
        <v>0</v>
      </c>
      <c r="P36" s="764"/>
      <c r="Q36" s="763">
        <f t="shared" ref="Q36" ca="1" si="25">SUM(P34,Q34)</f>
        <v>0</v>
      </c>
      <c r="R36" s="764"/>
      <c r="S36" s="763">
        <f t="shared" ref="S36" ca="1" si="26">SUM(R34,S34)</f>
        <v>0</v>
      </c>
      <c r="T36" s="764"/>
      <c r="U36" s="763">
        <f ca="1">SUM(T34,U34)</f>
        <v>0</v>
      </c>
      <c r="V36" s="761">
        <f ca="1">SUM(J36:U36)</f>
        <v>0</v>
      </c>
      <c r="W36" s="22"/>
      <c r="X36" s="953">
        <f ca="1">I34*V36</f>
        <v>0</v>
      </c>
      <c r="Y36" s="841"/>
      <c r="Z36" s="9"/>
      <c r="AA36" s="9"/>
      <c r="AB36" s="9"/>
      <c r="AC36" s="943"/>
      <c r="AD36" s="943"/>
      <c r="AE36" s="1259" t="s">
        <v>572</v>
      </c>
      <c r="AF36" s="1268">
        <f>SUM(AF27:AF35)</f>
        <v>0</v>
      </c>
      <c r="AG36" s="1269"/>
      <c r="AH36" s="1266" t="s">
        <v>261</v>
      </c>
      <c r="AI36" s="9"/>
      <c r="AJ36" s="9"/>
      <c r="AK36" s="826"/>
    </row>
    <row r="37" spans="2:40" ht="14.25" customHeight="1" thickBot="1" x14ac:dyDescent="0.2">
      <c r="B37" s="1337"/>
      <c r="C37" s="1339"/>
      <c r="D37" s="1342"/>
      <c r="E37" s="475"/>
      <c r="F37" s="474"/>
      <c r="G37" s="484" t="s">
        <v>389</v>
      </c>
      <c r="H37" s="1346"/>
      <c r="I37" s="483" t="s">
        <v>311</v>
      </c>
      <c r="J37" s="765">
        <f ca="1">IF(B4="県外",集計表!$AJ$14,"")</f>
        <v>0</v>
      </c>
      <c r="K37" s="800">
        <f ca="1">IF(B4="県外",集計表!$AK$14,"")</f>
        <v>0</v>
      </c>
      <c r="L37" s="767">
        <f ca="1">IF(B4="県外",集計表!$AL$14,"")</f>
        <v>0</v>
      </c>
      <c r="M37" s="800">
        <f ca="1">IF(B4="県外",集計表!$AM$14,"")</f>
        <v>0</v>
      </c>
      <c r="N37" s="767">
        <f ca="1">IF(B4="県外",集計表!$AN$14,"")</f>
        <v>0</v>
      </c>
      <c r="O37" s="766">
        <f ca="1">IF(B4="県外",集計表!$AO$14,"")</f>
        <v>0</v>
      </c>
      <c r="P37" s="799">
        <f ca="1">IF(B4="県外",集計表!$AP$14,"")</f>
        <v>0</v>
      </c>
      <c r="Q37" s="766">
        <f ca="1">IF(B4="県外",集計表!$AQ$14,"")</f>
        <v>0</v>
      </c>
      <c r="R37" s="799">
        <f ca="1">IF(B4="県外",集計表!$AR$14,"")</f>
        <v>0</v>
      </c>
      <c r="S37" s="766">
        <f ca="1">IF(B4="県外",集計表!$AS$14,"")</f>
        <v>0</v>
      </c>
      <c r="T37" s="799">
        <f ca="1">IF(B4="県外",集計表!$AT$14,"")</f>
        <v>0</v>
      </c>
      <c r="U37" s="766">
        <f ca="1">IF(B4="県外",集計表!$AU$14,"")</f>
        <v>0</v>
      </c>
      <c r="V37" s="769">
        <f ca="1">SUM(J37:U37)</f>
        <v>0</v>
      </c>
      <c r="W37" s="22"/>
      <c r="X37" s="952"/>
      <c r="Y37" s="131"/>
      <c r="Z37" s="9"/>
      <c r="AA37" s="9"/>
      <c r="AB37" s="837"/>
      <c r="AC37" s="837"/>
      <c r="AD37" s="837"/>
      <c r="AE37" s="1259"/>
      <c r="AF37" s="1270"/>
      <c r="AG37" s="1271"/>
      <c r="AH37" s="1267"/>
      <c r="AI37" s="9"/>
      <c r="AJ37" s="9"/>
      <c r="AK37" s="826"/>
      <c r="AL37" s="826"/>
    </row>
    <row r="38" spans="2:40" ht="14.25" customHeight="1" thickBot="1" x14ac:dyDescent="0.2">
      <c r="B38" s="1337"/>
      <c r="C38" s="1339"/>
      <c r="D38" s="1373" t="s">
        <v>85</v>
      </c>
      <c r="E38" s="1374" t="s">
        <v>394</v>
      </c>
      <c r="F38" s="1365"/>
      <c r="G38" s="1366"/>
      <c r="H38" s="1346"/>
      <c r="I38" s="482">
        <f>◎施設管理!K7</f>
        <v>700</v>
      </c>
      <c r="J38" s="770">
        <f ca="1">IF(B4="県外",集計表!$AJ$17,"")</f>
        <v>0</v>
      </c>
      <c r="K38" s="773">
        <f ca="1">IF(B4="県外",集計表!$AK$17,"")</f>
        <v>0</v>
      </c>
      <c r="L38" s="813">
        <f ca="1">IF(B4="県外",集計表!$AL$17,"")</f>
        <v>0</v>
      </c>
      <c r="M38" s="789">
        <f ca="1">IF(B4="県外",集計表!$AM$17,"")</f>
        <v>0</v>
      </c>
      <c r="N38" s="813">
        <f ca="1">IF(B4="県外",集計表!$AN$17,"")</f>
        <v>0</v>
      </c>
      <c r="O38" s="773">
        <f ca="1">IF(B4="県外",集計表!$AO$17,"")</f>
        <v>0</v>
      </c>
      <c r="P38" s="813">
        <f ca="1">IF(B4="県外",集計表!$AP$17,"")</f>
        <v>0</v>
      </c>
      <c r="Q38" s="773">
        <f ca="1">IF(B4="県外",集計表!$AQ$17,"")</f>
        <v>0</v>
      </c>
      <c r="R38" s="813">
        <f ca="1">IF(B4="県外",集計表!$AR$17,"")</f>
        <v>0</v>
      </c>
      <c r="S38" s="789">
        <f ca="1">IF(B4="県外",集計表!$AS$17,"")</f>
        <v>0</v>
      </c>
      <c r="T38" s="813">
        <f ca="1">IF(B4="県外",集計表!$AT$17,"")</f>
        <v>0</v>
      </c>
      <c r="U38" s="771">
        <f ca="1">IF(B4="県外",集計表!$AU$17,"")</f>
        <v>0</v>
      </c>
      <c r="V38" s="774"/>
      <c r="W38" s="22"/>
      <c r="X38" s="952"/>
      <c r="Y38" s="841"/>
      <c r="Z38" s="9"/>
      <c r="AA38" s="9"/>
      <c r="AB38" s="837"/>
      <c r="AC38" s="837"/>
      <c r="AD38" s="837"/>
      <c r="AE38" s="837"/>
      <c r="AF38" s="1013"/>
      <c r="AG38" s="1013"/>
      <c r="AH38" s="997"/>
      <c r="AI38" s="9"/>
      <c r="AJ38" s="9"/>
      <c r="AK38" s="826"/>
      <c r="AL38" s="826"/>
      <c r="AM38" s="826"/>
      <c r="AN38" s="826"/>
    </row>
    <row r="39" spans="2:40" ht="14.25" customHeight="1" x14ac:dyDescent="0.15">
      <c r="B39" s="1337"/>
      <c r="C39" s="1339"/>
      <c r="D39" s="1342"/>
      <c r="E39" s="1375"/>
      <c r="F39" s="1368"/>
      <c r="G39" s="1369"/>
      <c r="H39" s="1346"/>
      <c r="I39" s="939">
        <f>◎施設管理!L7</f>
        <v>400</v>
      </c>
      <c r="J39" s="775"/>
      <c r="K39" s="776">
        <f ca="1">SUM(J38,K38)</f>
        <v>0</v>
      </c>
      <c r="L39" s="777"/>
      <c r="M39" s="776">
        <f ca="1">SUM(L38,M38)</f>
        <v>0</v>
      </c>
      <c r="N39" s="777"/>
      <c r="O39" s="776">
        <f t="shared" ref="O39" ca="1" si="27">SUM(N38,O38)</f>
        <v>0</v>
      </c>
      <c r="P39" s="777"/>
      <c r="Q39" s="776">
        <f t="shared" ref="Q39" ca="1" si="28">SUM(P38,Q38)</f>
        <v>0</v>
      </c>
      <c r="R39" s="777"/>
      <c r="S39" s="776">
        <f t="shared" ref="S39" ca="1" si="29">SUM(R38,S38)</f>
        <v>0</v>
      </c>
      <c r="T39" s="777"/>
      <c r="U39" s="776">
        <f ca="1">SUM(T38,U38)</f>
        <v>0</v>
      </c>
      <c r="V39" s="778">
        <f ca="1">SUM(J39:U39)</f>
        <v>0</v>
      </c>
      <c r="W39" s="22"/>
      <c r="X39" s="953">
        <f ca="1">I38*V39</f>
        <v>0</v>
      </c>
      <c r="Y39" s="131"/>
      <c r="AA39" s="943"/>
      <c r="AB39" s="943"/>
      <c r="AC39" s="1282" t="s">
        <v>577</v>
      </c>
      <c r="AD39" s="1282"/>
      <c r="AE39" s="1283"/>
      <c r="AF39" s="1268">
        <f>SUM(入力ページ!AA112,入力ページ!AA118,入力ページ!AA124,入力ページ!AA130,入力ページ!AA136,入力ページ!AA142,入力ページ!AA148,入力ページ!AA154)</f>
        <v>0</v>
      </c>
      <c r="AG39" s="1269"/>
      <c r="AH39" s="1266" t="s">
        <v>261</v>
      </c>
      <c r="AI39" s="826"/>
      <c r="AJ39" s="826"/>
      <c r="AK39" s="826"/>
    </row>
    <row r="40" spans="2:40" ht="14.25" customHeight="1" thickBot="1" x14ac:dyDescent="0.2">
      <c r="B40" s="1337"/>
      <c r="C40" s="1339"/>
      <c r="D40" s="1373" t="s">
        <v>388</v>
      </c>
      <c r="E40" s="1374" t="s">
        <v>394</v>
      </c>
      <c r="F40" s="1365"/>
      <c r="G40" s="1366"/>
      <c r="H40" s="1346"/>
      <c r="I40" s="482">
        <f>◎施設管理!M7</f>
        <v>2500</v>
      </c>
      <c r="J40" s="770">
        <f ca="1">IF(B4="県外",集計表!$AJ$18,"")</f>
        <v>0</v>
      </c>
      <c r="K40" s="773">
        <f ca="1">IF(B4="県外",集計表!$AK$18,"")</f>
        <v>0</v>
      </c>
      <c r="L40" s="813">
        <f ca="1">IF(B4="県外",集計表!$AL$18,"")</f>
        <v>0</v>
      </c>
      <c r="M40" s="773">
        <f ca="1">IF(B4="県外",集計表!$AM$18,"")</f>
        <v>0</v>
      </c>
      <c r="N40" s="813">
        <f ca="1">IF(B4="県外",集計表!$AN$18,"")</f>
        <v>0</v>
      </c>
      <c r="O40" s="773">
        <f ca="1">IF(B4="県外",集計表!$AO$18,"")</f>
        <v>0</v>
      </c>
      <c r="P40" s="813">
        <f ca="1">IF(B4="県外",集計表!$AP$18,"")</f>
        <v>0</v>
      </c>
      <c r="Q40" s="773">
        <f ca="1">IF(B4="県外",集計表!$AQ$18,"")</f>
        <v>0</v>
      </c>
      <c r="R40" s="813">
        <f ca="1">IF(B4="県外",集計表!$AR$18,"")</f>
        <v>0</v>
      </c>
      <c r="S40" s="773">
        <f ca="1">IF(B4="県外",集計表!$AS$18,"")</f>
        <v>0</v>
      </c>
      <c r="T40" s="813">
        <f ca="1">IF(B4="県外",集計表!$AT$18,"")</f>
        <v>0</v>
      </c>
      <c r="U40" s="771">
        <f ca="1">IF(B4="県外",集計表!$AU$18,"")</f>
        <v>0</v>
      </c>
      <c r="V40" s="774"/>
      <c r="W40" s="22"/>
      <c r="X40" s="952"/>
      <c r="Y40" s="841"/>
      <c r="AC40" s="1282"/>
      <c r="AD40" s="1282"/>
      <c r="AE40" s="1283"/>
      <c r="AF40" s="1270"/>
      <c r="AG40" s="1271"/>
      <c r="AH40" s="1267"/>
      <c r="AI40" s="826"/>
      <c r="AK40" s="826"/>
    </row>
    <row r="41" spans="2:40" ht="14.25" customHeight="1" x14ac:dyDescent="0.15">
      <c r="B41" s="1337"/>
      <c r="C41" s="1339"/>
      <c r="D41" s="1342"/>
      <c r="E41" s="1375"/>
      <c r="F41" s="1368"/>
      <c r="G41" s="1369"/>
      <c r="H41" s="1346"/>
      <c r="I41" s="939">
        <f>◎施設管理!N7</f>
        <v>600</v>
      </c>
      <c r="J41" s="775"/>
      <c r="K41" s="776">
        <f ca="1">SUM(J40,K40)</f>
        <v>0</v>
      </c>
      <c r="L41" s="777"/>
      <c r="M41" s="776">
        <f ca="1">SUM(L40,M40)</f>
        <v>0</v>
      </c>
      <c r="N41" s="777"/>
      <c r="O41" s="776">
        <f t="shared" ref="O41" ca="1" si="30">SUM(N40,O40)</f>
        <v>0</v>
      </c>
      <c r="P41" s="777"/>
      <c r="Q41" s="776">
        <f t="shared" ref="Q41" ca="1" si="31">SUM(P40,Q40)</f>
        <v>0</v>
      </c>
      <c r="R41" s="777"/>
      <c r="S41" s="776">
        <f t="shared" ref="S41" ca="1" si="32">SUM(R40,S40)</f>
        <v>0</v>
      </c>
      <c r="T41" s="777"/>
      <c r="U41" s="776">
        <f ca="1">SUM(T40,U40)</f>
        <v>0</v>
      </c>
      <c r="V41" s="778">
        <f ca="1">SUM(J41:U41)</f>
        <v>0</v>
      </c>
      <c r="W41" s="22"/>
      <c r="X41" s="953">
        <f ca="1">I40*V41</f>
        <v>0</v>
      </c>
      <c r="Y41" s="131"/>
      <c r="AL41" s="826"/>
      <c r="AN41" s="826"/>
    </row>
    <row r="42" spans="2:40" ht="14.25" customHeight="1" x14ac:dyDescent="0.15">
      <c r="B42" s="1337"/>
      <c r="C42" s="1339"/>
      <c r="D42" s="1363" t="s">
        <v>395</v>
      </c>
      <c r="E42" s="1390" t="s">
        <v>394</v>
      </c>
      <c r="F42" s="1381"/>
      <c r="G42" s="1391"/>
      <c r="H42" s="1346"/>
      <c r="I42" s="482">
        <f>◎施設管理!O7</f>
        <v>5000</v>
      </c>
      <c r="J42" s="780">
        <f ca="1">IF(B4="県外",集計表!$AJ$19+集計表!$AJ$20,"")</f>
        <v>0</v>
      </c>
      <c r="K42" s="773">
        <f ca="1">IF(B4="県外",集計表!$AK$19+集計表!$AK$20,"")</f>
        <v>0</v>
      </c>
      <c r="L42" s="772">
        <f ca="1">IF(B4="県外",集計表!$AL$19+集計表!$AL$20,"")</f>
        <v>0</v>
      </c>
      <c r="M42" s="773">
        <f ca="1">IF(B4="県外",集計表!$AM$19+集計表!$AM$20,"")</f>
        <v>0</v>
      </c>
      <c r="N42" s="772">
        <f ca="1">IF(B4="県外",集計表!$AN$19+集計表!$AN$20,"")</f>
        <v>0</v>
      </c>
      <c r="O42" s="773">
        <f ca="1">IF(B4="県外",集計表!$AO$19+集計表!$AO$20,"")</f>
        <v>0</v>
      </c>
      <c r="P42" s="772">
        <f ca="1">IF(B4="県外",集計表!$AP$19+集計表!$AP$20,"")</f>
        <v>0</v>
      </c>
      <c r="Q42" s="773">
        <f ca="1">IF(B4="県外",集計表!$AQ$19+集計表!$AQ$20,"")</f>
        <v>0</v>
      </c>
      <c r="R42" s="772">
        <f ca="1">IF(B4="県外",集計表!$AR$19+集計表!$AR$20,"")</f>
        <v>0</v>
      </c>
      <c r="S42" s="773">
        <f ca="1">IF(B4="県外",集計表!$AS$19+集計表!$AS$20,"")</f>
        <v>0</v>
      </c>
      <c r="T42" s="772">
        <f ca="1">IF(B4="県外",集計表!$AT$19+集計表!$AT$20,"")</f>
        <v>0</v>
      </c>
      <c r="U42" s="773">
        <f ca="1">IF(B4="県外",集計表!$AU$19+集計表!$AU$20,"")</f>
        <v>0</v>
      </c>
      <c r="V42" s="774"/>
      <c r="W42" s="22"/>
      <c r="X42" s="952"/>
      <c r="Y42" s="131"/>
    </row>
    <row r="43" spans="2:40" ht="14.25" customHeight="1" thickBot="1" x14ac:dyDescent="0.2">
      <c r="B43" s="1337"/>
      <c r="C43" s="1339"/>
      <c r="D43" s="1363"/>
      <c r="E43" s="1375"/>
      <c r="F43" s="1368"/>
      <c r="G43" s="1369"/>
      <c r="H43" s="1346"/>
      <c r="I43" s="939">
        <f>◎施設管理!P7</f>
        <v>800</v>
      </c>
      <c r="J43" s="775"/>
      <c r="K43" s="776">
        <f ca="1">SUM(J42,K42)</f>
        <v>0</v>
      </c>
      <c r="L43" s="777"/>
      <c r="M43" s="776">
        <f ca="1">SUM(L42,M42)</f>
        <v>0</v>
      </c>
      <c r="N43" s="777"/>
      <c r="O43" s="776">
        <f t="shared" ref="O43" ca="1" si="33">SUM(N42,O42)</f>
        <v>0</v>
      </c>
      <c r="P43" s="777"/>
      <c r="Q43" s="776">
        <f t="shared" ref="Q43" ca="1" si="34">SUM(P42,Q42)</f>
        <v>0</v>
      </c>
      <c r="R43" s="777"/>
      <c r="S43" s="776">
        <f t="shared" ref="S43" ca="1" si="35">SUM(R42,S42)</f>
        <v>0</v>
      </c>
      <c r="T43" s="777"/>
      <c r="U43" s="776">
        <f ca="1">SUM(T42,U42)</f>
        <v>0</v>
      </c>
      <c r="V43" s="778">
        <f ca="1">SUM(J43:U43)</f>
        <v>0</v>
      </c>
      <c r="W43" s="22"/>
      <c r="X43" s="953">
        <f ca="1">I42*V43</f>
        <v>0</v>
      </c>
      <c r="Y43" s="841"/>
    </row>
    <row r="44" spans="2:40" ht="14.25" customHeight="1" x14ac:dyDescent="0.15">
      <c r="B44" s="1337"/>
      <c r="C44" s="1347" t="s">
        <v>393</v>
      </c>
      <c r="D44" s="1349" t="s">
        <v>392</v>
      </c>
      <c r="E44" s="1350"/>
      <c r="F44" s="1350"/>
      <c r="G44" s="1351"/>
      <c r="H44" s="1352" t="s">
        <v>391</v>
      </c>
      <c r="I44" s="1324">
        <f>◎施設管理!H7</f>
        <v>200</v>
      </c>
      <c r="J44" s="783">
        <f>IF(B4="県外",集計表!$I$7+集計表!$I$8,"")</f>
        <v>0</v>
      </c>
      <c r="K44" s="784">
        <f>IF(B4="県外",集計表!$K$7+集計表!$K$8,"")</f>
        <v>0</v>
      </c>
      <c r="L44" s="785">
        <f>IF(B4="県外",集計表!$M$7+集計表!$M$8,"")</f>
        <v>0</v>
      </c>
      <c r="M44" s="784">
        <f>IF(B4="県外",集計表!$O$7+集計表!$O$8,"")</f>
        <v>0</v>
      </c>
      <c r="N44" s="785">
        <f>IF(B4="県外",集計表!$Q$7+集計表!$Q$8,"")</f>
        <v>0</v>
      </c>
      <c r="O44" s="784">
        <f>IF(B4="県外",集計表!$S$7+集計表!$S$8,"")</f>
        <v>0</v>
      </c>
      <c r="P44" s="785">
        <f>IF(B4="県外",集計表!$U$7+集計表!$U$8,"")</f>
        <v>0</v>
      </c>
      <c r="Q44" s="784">
        <f>IF(B4="県外",集計表!$W$7+集計表!$W$8,"")</f>
        <v>0</v>
      </c>
      <c r="R44" s="785">
        <f>IF(B4="県外",集計表!$Y$7+集計表!$Y$8,"")</f>
        <v>0</v>
      </c>
      <c r="S44" s="784">
        <f>IF(B4="県外",集計表!$AA$7+集計表!$AA$8,"")</f>
        <v>0</v>
      </c>
      <c r="T44" s="785">
        <f>IF(B4="県外",集計表!$AC$7+集計表!$AC$8,"")</f>
        <v>0</v>
      </c>
      <c r="U44" s="784">
        <f>IF(B4="県外",集計表!$AE$7+集計表!$AE$8,"")</f>
        <v>0</v>
      </c>
      <c r="V44" s="786"/>
      <c r="W44" s="22"/>
      <c r="X44" s="952"/>
      <c r="Y44" s="131"/>
    </row>
    <row r="45" spans="2:40" ht="14.25" customHeight="1" x14ac:dyDescent="0.15">
      <c r="B45" s="1337"/>
      <c r="C45" s="1339"/>
      <c r="D45" s="481"/>
      <c r="E45" s="478"/>
      <c r="F45" s="478"/>
      <c r="G45" s="480" t="s">
        <v>390</v>
      </c>
      <c r="H45" s="1346"/>
      <c r="I45" s="1325"/>
      <c r="J45" s="756">
        <f ca="1">IF(B4="県外",集計表!$AJ$6,"")</f>
        <v>0</v>
      </c>
      <c r="K45" s="757">
        <f ca="1">IF(B4="県外",集計表!$AK$6,"")</f>
        <v>0</v>
      </c>
      <c r="L45" s="760">
        <f ca="1">IF(B4="県外",集計表!$AL$6,"")</f>
        <v>0</v>
      </c>
      <c r="M45" s="757">
        <f ca="1">IF(B4="県外",集計表!$AM$6,"")</f>
        <v>0</v>
      </c>
      <c r="N45" s="758">
        <f ca="1">IF(B4="県外",集計表!$AN$6,"")</f>
        <v>0</v>
      </c>
      <c r="O45" s="759">
        <f ca="1">IF(B4="県外",集計表!$AO$6,"")</f>
        <v>0</v>
      </c>
      <c r="P45" s="758">
        <f ca="1">IF(B4="県外",集計表!$AP$6,"")</f>
        <v>0</v>
      </c>
      <c r="Q45" s="759">
        <f ca="1">IF(B4="県外",集計表!$AQ$6,"")</f>
        <v>0</v>
      </c>
      <c r="R45" s="760">
        <f ca="1">IF(B4="県外",集計表!$AR$6,"")</f>
        <v>0</v>
      </c>
      <c r="S45" s="757">
        <f ca="1">IF(B4="県外",集計表!$AS$6,"")</f>
        <v>0</v>
      </c>
      <c r="T45" s="760">
        <f ca="1">IF(B4="県外",集計表!$AT$6,"")</f>
        <v>0</v>
      </c>
      <c r="U45" s="757">
        <f ca="1">IF(B4="県外",集計表!$AU$6,"")</f>
        <v>0</v>
      </c>
      <c r="V45" s="761">
        <f ca="1">SUM(J45:U45)</f>
        <v>0</v>
      </c>
      <c r="W45" s="22"/>
      <c r="X45" s="952"/>
      <c r="Y45" s="131"/>
    </row>
    <row r="46" spans="2:40" ht="14.25" customHeight="1" x14ac:dyDescent="0.15">
      <c r="B46" s="1337"/>
      <c r="C46" s="1339"/>
      <c r="D46" s="479"/>
      <c r="E46" s="478"/>
      <c r="F46" s="478"/>
      <c r="G46" s="477"/>
      <c r="H46" s="1346"/>
      <c r="I46" s="1329"/>
      <c r="J46" s="762"/>
      <c r="K46" s="787">
        <f>SUM(J44,K44)</f>
        <v>0</v>
      </c>
      <c r="L46" s="764"/>
      <c r="M46" s="787">
        <f>SUM(L44,M44)</f>
        <v>0</v>
      </c>
      <c r="N46" s="764"/>
      <c r="O46" s="787">
        <f t="shared" ref="O46" si="36">SUM(N44,O44)</f>
        <v>0</v>
      </c>
      <c r="P46" s="764"/>
      <c r="Q46" s="787">
        <f t="shared" ref="Q46" si="37">SUM(P44,Q44)</f>
        <v>0</v>
      </c>
      <c r="R46" s="764"/>
      <c r="S46" s="787">
        <f t="shared" ref="S46" si="38">SUM(R44,S44)</f>
        <v>0</v>
      </c>
      <c r="T46" s="764"/>
      <c r="U46" s="787">
        <f>SUM(T44,U44)</f>
        <v>0</v>
      </c>
      <c r="V46" s="761">
        <f>SUM(J46:U46)</f>
        <v>0</v>
      </c>
      <c r="W46" s="22"/>
      <c r="X46" s="953">
        <f>I45*V46</f>
        <v>0</v>
      </c>
      <c r="Y46" s="841"/>
    </row>
    <row r="47" spans="2:40" ht="14.25" customHeight="1" x14ac:dyDescent="0.15">
      <c r="B47" s="1337"/>
      <c r="C47" s="1339"/>
      <c r="D47" s="476"/>
      <c r="E47" s="475"/>
      <c r="F47" s="474"/>
      <c r="G47" s="473" t="s">
        <v>389</v>
      </c>
      <c r="H47" s="1346"/>
      <c r="I47" s="472" t="s">
        <v>311</v>
      </c>
      <c r="J47" s="765">
        <f ca="1">IF(B4="県外",集計表!$AJ$5,"")</f>
        <v>0</v>
      </c>
      <c r="K47" s="768">
        <f ca="1">IF(B4="県外",集計表!$AK$5,"")</f>
        <v>0</v>
      </c>
      <c r="L47" s="767">
        <f ca="1">IF(B4="県外",集計表!$AL$5,"")</f>
        <v>0</v>
      </c>
      <c r="M47" s="768">
        <f ca="1">IF(B4="県外",集計表!$AM$5,"")</f>
        <v>0</v>
      </c>
      <c r="N47" s="767">
        <f ca="1">IF(B4="県外",集計表!$AN$5,"")</f>
        <v>0</v>
      </c>
      <c r="O47" s="768">
        <f ca="1">IF(B4="県外",集計表!$AO$5,"")</f>
        <v>0</v>
      </c>
      <c r="P47" s="767">
        <f ca="1">IF(B4="県外",集計表!$AP$5,"")</f>
        <v>0</v>
      </c>
      <c r="Q47" s="768">
        <f ca="1">IF(B4="県外",集計表!$AQ$5,"")</f>
        <v>0</v>
      </c>
      <c r="R47" s="767">
        <f ca="1">IF(B4="県外",集計表!$AR$5,"")</f>
        <v>0</v>
      </c>
      <c r="S47" s="768">
        <f ca="1">IF(B4="県外",集計表!$AS$5,"")</f>
        <v>0</v>
      </c>
      <c r="T47" s="767">
        <f ca="1">IF(B4="県外",集計表!$AT$5,"")</f>
        <v>0</v>
      </c>
      <c r="U47" s="768">
        <f ca="1">IF(B4="県外",集計表!$AU$5,"")</f>
        <v>0</v>
      </c>
      <c r="V47" s="769">
        <f ca="1">SUM(J47:U47)</f>
        <v>0</v>
      </c>
      <c r="W47" s="22"/>
      <c r="X47" s="952"/>
      <c r="Y47" s="131"/>
    </row>
    <row r="48" spans="2:40" ht="14.25" customHeight="1" x14ac:dyDescent="0.15">
      <c r="B48" s="1337"/>
      <c r="C48" s="1339"/>
      <c r="D48" s="1364" t="s">
        <v>85</v>
      </c>
      <c r="E48" s="1365"/>
      <c r="F48" s="1365"/>
      <c r="G48" s="1366"/>
      <c r="H48" s="1346"/>
      <c r="I48" s="1325">
        <f>◎施設管理!H7</f>
        <v>200</v>
      </c>
      <c r="J48" s="814">
        <f ca="1">IF(B4="県外",集計表!$AJ$8,"")</f>
        <v>0</v>
      </c>
      <c r="K48" s="789">
        <f ca="1">IF(B4="県外",集計表!$AK$8,"")</f>
        <v>0</v>
      </c>
      <c r="L48" s="781">
        <f ca="1">IF(B4="県外",集計表!$AL$8,"")</f>
        <v>0</v>
      </c>
      <c r="M48" s="789">
        <f ca="1">IF(B4="県外",集計表!$AM$8,"")</f>
        <v>0</v>
      </c>
      <c r="N48" s="781">
        <f ca="1">IF(B4="県外",集計表!$AN$8,"")</f>
        <v>0</v>
      </c>
      <c r="O48" s="789">
        <f ca="1">IF(B4="県外",集計表!$AO$8,"")</f>
        <v>0</v>
      </c>
      <c r="P48" s="781">
        <f ca="1">IF(B4="県外",集計表!$AP$8,"")</f>
        <v>0</v>
      </c>
      <c r="Q48" s="789">
        <f ca="1">IF(B4="県外",集計表!$AQ$8,"")</f>
        <v>0</v>
      </c>
      <c r="R48" s="781">
        <f ca="1">IF(B4="県外",集計表!$AR$8,"")</f>
        <v>0</v>
      </c>
      <c r="S48" s="789">
        <f ca="1">IF(B4="県外",集計表!$AS$8,"")</f>
        <v>0</v>
      </c>
      <c r="T48" s="781">
        <f ca="1">IF(B4="県外",集計表!$AT$8,"")</f>
        <v>0</v>
      </c>
      <c r="U48" s="815">
        <f ca="1">IF(B4="県外",集計表!$AU$8,"")</f>
        <v>0</v>
      </c>
      <c r="V48" s="774"/>
      <c r="W48" s="22"/>
      <c r="X48" s="952"/>
      <c r="Y48" s="841"/>
    </row>
    <row r="49" spans="2:25" ht="14.25" customHeight="1" x14ac:dyDescent="0.15">
      <c r="B49" s="1337"/>
      <c r="C49" s="1339"/>
      <c r="D49" s="1367"/>
      <c r="E49" s="1368"/>
      <c r="F49" s="1368"/>
      <c r="G49" s="1369"/>
      <c r="H49" s="1346"/>
      <c r="I49" s="1327"/>
      <c r="J49" s="775"/>
      <c r="K49" s="776">
        <f ca="1">SUM(J48,K48)</f>
        <v>0</v>
      </c>
      <c r="L49" s="777"/>
      <c r="M49" s="776">
        <f ca="1">SUM(L48,M48)</f>
        <v>0</v>
      </c>
      <c r="N49" s="777"/>
      <c r="O49" s="776">
        <f t="shared" ref="O49" ca="1" si="39">SUM(N48,O48)</f>
        <v>0</v>
      </c>
      <c r="P49" s="777"/>
      <c r="Q49" s="776">
        <f t="shared" ref="Q49" ca="1" si="40">SUM(P48,Q48)</f>
        <v>0</v>
      </c>
      <c r="R49" s="777"/>
      <c r="S49" s="776">
        <f t="shared" ref="S49" ca="1" si="41">SUM(R48,S48)</f>
        <v>0</v>
      </c>
      <c r="T49" s="777"/>
      <c r="U49" s="776">
        <f ca="1">SUM(T48,U48)</f>
        <v>0</v>
      </c>
      <c r="V49" s="778">
        <f ca="1">SUM(J49:U49)</f>
        <v>0</v>
      </c>
      <c r="W49" s="22"/>
      <c r="X49" s="953">
        <f ca="1">I48*V49</f>
        <v>0</v>
      </c>
      <c r="Y49" s="131"/>
    </row>
    <row r="50" spans="2:25" ht="14.25" customHeight="1" x14ac:dyDescent="0.15">
      <c r="B50" s="1337"/>
      <c r="C50" s="1339"/>
      <c r="D50" s="1364" t="s">
        <v>388</v>
      </c>
      <c r="E50" s="1365"/>
      <c r="F50" s="1365"/>
      <c r="G50" s="1366"/>
      <c r="H50" s="1346"/>
      <c r="I50" s="1326">
        <f>◎施設管理!I7</f>
        <v>300</v>
      </c>
      <c r="J50" s="814">
        <f ca="1">IF(B4="県外",集計表!$AJ$9,"")</f>
        <v>0</v>
      </c>
      <c r="K50" s="801">
        <f ca="1">IF(B4="県外",集計表!$AK$9,"")</f>
        <v>0</v>
      </c>
      <c r="L50" s="790">
        <f ca="1">IF(B4="県外",集計表!$AL$9,"")</f>
        <v>0</v>
      </c>
      <c r="M50" s="773">
        <f ca="1">IF(B4="県外",集計表!$AM$9,"")</f>
        <v>0</v>
      </c>
      <c r="N50" s="781">
        <f ca="1">IF(B4="県外",集計表!$AN$9,"")</f>
        <v>0</v>
      </c>
      <c r="O50" s="789">
        <f ca="1">IF(B4="県外",集計表!$AO$9,"")</f>
        <v>0</v>
      </c>
      <c r="P50" s="781">
        <f ca="1">IF(B4="県外",集計表!$AP$9,"")</f>
        <v>0</v>
      </c>
      <c r="Q50" s="789">
        <f ca="1">IF(B4="県外",集計表!$AQ$9,"")</f>
        <v>0</v>
      </c>
      <c r="R50" s="781">
        <f ca="1">IF(B4="県外",集計表!$AR$9,"")</f>
        <v>0</v>
      </c>
      <c r="S50" s="816">
        <f ca="1">IF(B4="県外",集計表!$AS$9,"")</f>
        <v>0</v>
      </c>
      <c r="T50" s="772">
        <f ca="1">IF(B4="県外",集計表!$AT$9,"")</f>
        <v>0</v>
      </c>
      <c r="U50" s="817">
        <f ca="1">IF(B4="県外",集計表!$AU$9,"")</f>
        <v>0</v>
      </c>
      <c r="V50" s="774"/>
      <c r="W50" s="22"/>
      <c r="X50" s="952"/>
      <c r="Y50" s="841"/>
    </row>
    <row r="51" spans="2:25" ht="14.25" customHeight="1" x14ac:dyDescent="0.15">
      <c r="B51" s="1337"/>
      <c r="C51" s="1339"/>
      <c r="D51" s="1367"/>
      <c r="E51" s="1368"/>
      <c r="F51" s="1368"/>
      <c r="G51" s="1369"/>
      <c r="H51" s="1346"/>
      <c r="I51" s="1327"/>
      <c r="J51" s="775"/>
      <c r="K51" s="776">
        <f ca="1">SUM(J50,K50)</f>
        <v>0</v>
      </c>
      <c r="L51" s="777"/>
      <c r="M51" s="776">
        <f ca="1">SUM(L50,M50)</f>
        <v>0</v>
      </c>
      <c r="N51" s="777"/>
      <c r="O51" s="776">
        <f t="shared" ref="O51" ca="1" si="42">SUM(N50,O50)</f>
        <v>0</v>
      </c>
      <c r="P51" s="777"/>
      <c r="Q51" s="776">
        <f t="shared" ref="Q51" ca="1" si="43">SUM(P50,Q50)</f>
        <v>0</v>
      </c>
      <c r="R51" s="777"/>
      <c r="S51" s="802">
        <f t="shared" ref="S51" ca="1" si="44">SUM(R50,S50)</f>
        <v>0</v>
      </c>
      <c r="T51" s="777"/>
      <c r="U51" s="818">
        <f ca="1">SUM(T50,U50)</f>
        <v>0</v>
      </c>
      <c r="V51" s="778">
        <f ca="1">SUM(J51:U51)</f>
        <v>0</v>
      </c>
      <c r="W51" s="22"/>
      <c r="X51" s="953">
        <f ca="1">I50*V51</f>
        <v>0</v>
      </c>
      <c r="Y51" s="841"/>
    </row>
    <row r="52" spans="2:25" ht="14.25" customHeight="1" x14ac:dyDescent="0.15">
      <c r="B52" s="1337"/>
      <c r="C52" s="1339"/>
      <c r="D52" s="1380" t="s">
        <v>383</v>
      </c>
      <c r="E52" s="1381"/>
      <c r="F52" s="1381"/>
      <c r="G52" s="1381"/>
      <c r="H52" s="1346"/>
      <c r="I52" s="1325">
        <f>◎施設管理!J7</f>
        <v>500</v>
      </c>
      <c r="J52" s="814">
        <f ca="1">IF(B4="県外",集計表!$AJ$10+集計表!$AJ$11,"")</f>
        <v>0</v>
      </c>
      <c r="K52" s="773">
        <f ca="1">IF(B4="県外",集計表!$AK$10+集計表!$AK$11,"")</f>
        <v>0</v>
      </c>
      <c r="L52" s="819">
        <f ca="1">IF(B4="県外",集計表!$AL$10+集計表!$AL$11,"")</f>
        <v>0</v>
      </c>
      <c r="M52" s="773">
        <f ca="1">IF(B4="県外",集計表!$AM$10+集計表!$AM$11,"")</f>
        <v>0</v>
      </c>
      <c r="N52" s="819">
        <f ca="1">IF(B4="県外",集計表!$AN$10+集計表!$AN$11,"")</f>
        <v>0</v>
      </c>
      <c r="O52" s="773">
        <f ca="1">IF(B4="県外",集計表!$AO$10+集計表!$AO$11,"")</f>
        <v>0</v>
      </c>
      <c r="P52" s="819">
        <f ca="1">IF(B4="県外",集計表!$AP$10+集計表!$AP$11,"")</f>
        <v>0</v>
      </c>
      <c r="Q52" s="773">
        <f ca="1">IF(B4="県外",集計表!$AQ$10+集計表!$AQ$11,"")</f>
        <v>0</v>
      </c>
      <c r="R52" s="819">
        <f ca="1">IF(B4="県外",集計表!$AR$10+集計表!$AR$11,"")</f>
        <v>0</v>
      </c>
      <c r="S52" s="773">
        <f ca="1">IF(B4="県外",集計表!$AS$10+集計表!$AS$11,"")</f>
        <v>0</v>
      </c>
      <c r="T52" s="819">
        <f ca="1">IF(B4="県外",集計表!$AT$10+集計表!$AT$11,"")</f>
        <v>0</v>
      </c>
      <c r="U52" s="789">
        <f ca="1">IF(B4="県外",集計表!$AU$10+集計表!$AU$11,"")</f>
        <v>0</v>
      </c>
      <c r="V52" s="774"/>
      <c r="W52" s="22"/>
      <c r="X52" s="952"/>
      <c r="Y52" s="841"/>
    </row>
    <row r="53" spans="2:25" ht="14.25" customHeight="1" thickBot="1" x14ac:dyDescent="0.2">
      <c r="B53" s="1337"/>
      <c r="C53" s="1348"/>
      <c r="D53" s="1382"/>
      <c r="E53" s="1383"/>
      <c r="F53" s="1383"/>
      <c r="G53" s="1383"/>
      <c r="H53" s="1353"/>
      <c r="I53" s="1328"/>
      <c r="J53" s="775"/>
      <c r="K53" s="776">
        <f ca="1">SUM(J52,K52)</f>
        <v>0</v>
      </c>
      <c r="L53" s="777"/>
      <c r="M53" s="776">
        <f ca="1">SUM(L52,M52)</f>
        <v>0</v>
      </c>
      <c r="N53" s="777"/>
      <c r="O53" s="776">
        <f t="shared" ref="O53" ca="1" si="45">SUM(N52,O52)</f>
        <v>0</v>
      </c>
      <c r="P53" s="777"/>
      <c r="Q53" s="776">
        <f t="shared" ref="Q53" ca="1" si="46">SUM(P52,Q52)</f>
        <v>0</v>
      </c>
      <c r="R53" s="777"/>
      <c r="S53" s="802">
        <f t="shared" ref="S53" ca="1" si="47">SUM(R52,S52)</f>
        <v>0</v>
      </c>
      <c r="T53" s="777"/>
      <c r="U53" s="818">
        <f ca="1">SUM(T52,U52)</f>
        <v>0</v>
      </c>
      <c r="V53" s="796">
        <f ca="1">SUM(J53:U53)</f>
        <v>0</v>
      </c>
      <c r="W53" s="22"/>
      <c r="X53" s="953">
        <f ca="1">I52*V53</f>
        <v>0</v>
      </c>
      <c r="Y53" s="841"/>
    </row>
    <row r="54" spans="2:25" ht="14.25" customHeight="1" x14ac:dyDescent="0.15">
      <c r="B54" s="1337"/>
      <c r="C54" s="1354" t="s">
        <v>387</v>
      </c>
      <c r="D54" s="1357" t="s">
        <v>386</v>
      </c>
      <c r="E54" s="1358"/>
      <c r="F54" s="1358"/>
      <c r="G54" s="1359"/>
      <c r="H54" s="1360" t="s">
        <v>385</v>
      </c>
      <c r="I54" s="471">
        <f>◎施設管理!Q7</f>
        <v>200</v>
      </c>
      <c r="J54" s="1332"/>
      <c r="K54" s="1333"/>
      <c r="L54" s="1330"/>
      <c r="M54" s="1333"/>
      <c r="N54" s="1330"/>
      <c r="O54" s="1333"/>
      <c r="P54" s="1330"/>
      <c r="Q54" s="1333"/>
      <c r="R54" s="1330"/>
      <c r="S54" s="1333"/>
      <c r="T54" s="1330"/>
      <c r="U54" s="1331"/>
      <c r="V54" s="778">
        <f>SUM(J54+L54+N54+P54+R54+T54)</f>
        <v>0</v>
      </c>
      <c r="W54" s="22"/>
      <c r="X54" s="953">
        <f>V54*I54</f>
        <v>0</v>
      </c>
      <c r="Y54" s="131"/>
    </row>
    <row r="55" spans="2:25" ht="14.25" customHeight="1" x14ac:dyDescent="0.15">
      <c r="B55" s="1337"/>
      <c r="C55" s="1355"/>
      <c r="D55" s="1387" t="s">
        <v>384</v>
      </c>
      <c r="E55" s="1388"/>
      <c r="F55" s="1388"/>
      <c r="G55" s="1389"/>
      <c r="H55" s="1361"/>
      <c r="I55" s="470">
        <f>◎施設管理!R7</f>
        <v>300</v>
      </c>
      <c r="J55" s="1320"/>
      <c r="K55" s="1321"/>
      <c r="L55" s="1322"/>
      <c r="M55" s="1321"/>
      <c r="N55" s="1322"/>
      <c r="O55" s="1321"/>
      <c r="P55" s="1322"/>
      <c r="Q55" s="1321"/>
      <c r="R55" s="1322"/>
      <c r="S55" s="1321"/>
      <c r="T55" s="1322"/>
      <c r="U55" s="1323"/>
      <c r="V55" s="803">
        <f>SUM(J55+L55+N55+P55+R55+T55)</f>
        <v>0</v>
      </c>
      <c r="W55" s="22"/>
      <c r="X55" s="953">
        <f>V55*I55</f>
        <v>0</v>
      </c>
      <c r="Y55" s="841"/>
    </row>
    <row r="56" spans="2:25" ht="14.25" customHeight="1" thickBot="1" x14ac:dyDescent="0.2">
      <c r="B56" s="1338"/>
      <c r="C56" s="1356"/>
      <c r="D56" s="1370" t="s">
        <v>383</v>
      </c>
      <c r="E56" s="1371"/>
      <c r="F56" s="1371"/>
      <c r="G56" s="1372"/>
      <c r="H56" s="1362"/>
      <c r="I56" s="469">
        <f>◎施設管理!S7</f>
        <v>500</v>
      </c>
      <c r="J56" s="1414"/>
      <c r="K56" s="1415"/>
      <c r="L56" s="1416"/>
      <c r="M56" s="1415"/>
      <c r="N56" s="1416"/>
      <c r="O56" s="1415"/>
      <c r="P56" s="1416"/>
      <c r="Q56" s="1415"/>
      <c r="R56" s="1416"/>
      <c r="S56" s="1415"/>
      <c r="T56" s="1416"/>
      <c r="U56" s="1417"/>
      <c r="V56" s="804">
        <f>SUM(J56+L56+N56+P56+R56+T56)</f>
        <v>0</v>
      </c>
      <c r="W56" s="22"/>
      <c r="X56" s="953">
        <f>V56*I56</f>
        <v>0</v>
      </c>
      <c r="Y56" s="131"/>
    </row>
    <row r="57" spans="2:25" ht="13.5" customHeight="1" thickBot="1" x14ac:dyDescent="0.2">
      <c r="J57" s="805"/>
      <c r="K57" s="805"/>
      <c r="L57" s="805"/>
      <c r="M57" s="805"/>
      <c r="N57" s="805"/>
      <c r="O57" s="805"/>
      <c r="P57" s="805"/>
      <c r="Q57" s="805"/>
      <c r="R57" s="805"/>
      <c r="S57" s="805"/>
      <c r="T57" s="805"/>
      <c r="U57" s="805"/>
      <c r="V57" s="806"/>
      <c r="W57" s="2"/>
      <c r="X57" s="952"/>
      <c r="Y57" s="841"/>
    </row>
    <row r="58" spans="2:25" ht="14.25" customHeight="1" thickBot="1" x14ac:dyDescent="0.2">
      <c r="B58" s="1376" t="s">
        <v>382</v>
      </c>
      <c r="C58" s="1377"/>
      <c r="D58" s="1378" t="s">
        <v>381</v>
      </c>
      <c r="E58" s="1378"/>
      <c r="F58" s="1378"/>
      <c r="G58" s="1378"/>
      <c r="H58" s="1379"/>
      <c r="I58" s="465">
        <f>◎施設管理!H10</f>
        <v>350</v>
      </c>
      <c r="J58" s="1411">
        <f ca="1">IF(B4="県内",SUM(K13,K16,K18,K20),SUM(K36,K39,K41,K43))</f>
        <v>0</v>
      </c>
      <c r="K58" s="1410"/>
      <c r="L58" s="1409">
        <f ca="1">IF(B4="県内",SUM(M13,M16,M18,M20),SUM(M36,M39,M41,M43))</f>
        <v>0</v>
      </c>
      <c r="M58" s="1410"/>
      <c r="N58" s="1409">
        <f ca="1">IF(B4="県内",SUM(O13,O16,O18,O20),SUM(O36,O39,O41,O43))</f>
        <v>0</v>
      </c>
      <c r="O58" s="1410"/>
      <c r="P58" s="1409">
        <f ca="1">IF(B4="県内",SUM(Q13,Q16,Q18,Q20),SUM(Q36,Q39,Q41,Q43))</f>
        <v>0</v>
      </c>
      <c r="Q58" s="1410"/>
      <c r="R58" s="1409">
        <f ca="1">IF(B4="県内",SUM(S13,S16,S18,S20),SUM(S36,S39,S41,S43))</f>
        <v>0</v>
      </c>
      <c r="S58" s="1410"/>
      <c r="T58" s="1409">
        <f ca="1">IF(B4="県内",SUM(U13,U16,U18,U20),SUM(U36,U39,U41,U43))</f>
        <v>0</v>
      </c>
      <c r="U58" s="1410"/>
      <c r="V58" s="807">
        <f ca="1">SUM(J58+L58+N58+P58+R58)+T58</f>
        <v>0</v>
      </c>
      <c r="W58" s="779"/>
      <c r="X58" s="953">
        <f ca="1">I58*V58</f>
        <v>0</v>
      </c>
      <c r="Y58" s="131"/>
    </row>
    <row r="59" spans="2:25" ht="13.5" customHeight="1" thickBot="1" x14ac:dyDescent="0.2">
      <c r="B59" s="1336"/>
      <c r="C59" s="1336"/>
      <c r="D59" s="468"/>
      <c r="E59" s="468"/>
      <c r="F59" s="468"/>
      <c r="G59" s="468"/>
      <c r="H59" s="467"/>
      <c r="I59" s="466"/>
      <c r="J59" s="808"/>
      <c r="K59" s="808"/>
      <c r="L59" s="808"/>
      <c r="M59" s="808"/>
      <c r="N59" s="808"/>
      <c r="O59" s="808"/>
      <c r="P59" s="808"/>
      <c r="Q59" s="808"/>
      <c r="R59" s="808"/>
      <c r="S59" s="808"/>
      <c r="T59" s="808"/>
      <c r="U59" s="808"/>
      <c r="V59" s="809"/>
      <c r="W59" s="22"/>
      <c r="X59" s="952"/>
      <c r="Y59" s="842"/>
    </row>
    <row r="60" spans="2:25" ht="14.25" customHeight="1" thickBot="1" x14ac:dyDescent="0.2">
      <c r="B60" s="1376" t="s">
        <v>380</v>
      </c>
      <c r="C60" s="1377"/>
      <c r="D60" s="1378" t="s">
        <v>379</v>
      </c>
      <c r="E60" s="1378"/>
      <c r="F60" s="1378"/>
      <c r="G60" s="1378"/>
      <c r="H60" s="1379"/>
      <c r="I60" s="465">
        <f>◎施設管理!I10</f>
        <v>200</v>
      </c>
      <c r="J60" s="1411"/>
      <c r="K60" s="1410"/>
      <c r="L60" s="1412"/>
      <c r="M60" s="1410"/>
      <c r="N60" s="1412"/>
      <c r="O60" s="1410"/>
      <c r="P60" s="1412"/>
      <c r="Q60" s="1410"/>
      <c r="R60" s="1412"/>
      <c r="S60" s="1410"/>
      <c r="T60" s="1412"/>
      <c r="U60" s="1413"/>
      <c r="V60" s="807">
        <f>SUM(J60+L60+N60+P60+R60)+T60</f>
        <v>0</v>
      </c>
      <c r="W60" s="22"/>
      <c r="X60" s="953">
        <f>I60*V60</f>
        <v>0</v>
      </c>
      <c r="Y60" s="131"/>
    </row>
    <row r="61" spans="2:25" ht="13.5" customHeight="1" x14ac:dyDescent="0.15">
      <c r="J61" s="99"/>
      <c r="K61" s="99"/>
      <c r="L61" s="99"/>
      <c r="M61" s="99"/>
      <c r="N61" s="99"/>
      <c r="O61" s="99"/>
      <c r="P61" s="99"/>
      <c r="Q61" s="99"/>
      <c r="R61" s="99"/>
      <c r="S61" s="99"/>
      <c r="T61" s="99"/>
      <c r="U61" s="99"/>
      <c r="V61" s="99"/>
      <c r="W61" s="22"/>
      <c r="X61" s="952"/>
    </row>
    <row r="62" spans="2:25" ht="14.25" customHeight="1" x14ac:dyDescent="0.15">
      <c r="J62" s="99"/>
      <c r="K62" s="99"/>
      <c r="L62" s="99"/>
      <c r="M62" s="99"/>
      <c r="N62" s="99"/>
      <c r="O62" s="99"/>
      <c r="P62" s="99" t="s">
        <v>523</v>
      </c>
      <c r="Q62" s="99"/>
      <c r="R62" s="99"/>
      <c r="S62" s="99"/>
      <c r="T62" s="99"/>
      <c r="U62" s="99"/>
      <c r="V62" s="810">
        <f ca="1">X62</f>
        <v>0</v>
      </c>
      <c r="W62" s="22"/>
      <c r="X62" s="954">
        <f ca="1">SUM(X11:X60)</f>
        <v>0</v>
      </c>
    </row>
    <row r="63" spans="2:25" ht="13.5" customHeight="1" x14ac:dyDescent="0.15">
      <c r="J63" s="99"/>
      <c r="K63" s="99"/>
      <c r="L63" s="99"/>
      <c r="M63" s="99"/>
      <c r="N63" s="99"/>
      <c r="O63" s="99"/>
      <c r="P63" s="99"/>
      <c r="Q63" s="99"/>
      <c r="R63" s="99"/>
      <c r="S63" s="99"/>
      <c r="T63" s="99"/>
      <c r="U63" s="99"/>
      <c r="V63" s="811"/>
      <c r="W63" s="22"/>
      <c r="X63" s="952"/>
    </row>
    <row r="64" spans="2:25"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sheetData>
  <mergeCells count="166">
    <mergeCell ref="J56:K56"/>
    <mergeCell ref="L56:M56"/>
    <mergeCell ref="N56:O56"/>
    <mergeCell ref="P56:Q56"/>
    <mergeCell ref="R56:S56"/>
    <mergeCell ref="T56:U56"/>
    <mergeCell ref="J33:K33"/>
    <mergeCell ref="L33:M33"/>
    <mergeCell ref="N33:O33"/>
    <mergeCell ref="T33:U33"/>
    <mergeCell ref="J54:K54"/>
    <mergeCell ref="L54:M54"/>
    <mergeCell ref="N54:O54"/>
    <mergeCell ref="P54:Q54"/>
    <mergeCell ref="R54:S54"/>
    <mergeCell ref="T54:U54"/>
    <mergeCell ref="R33:S33"/>
    <mergeCell ref="T58:U58"/>
    <mergeCell ref="J60:K60"/>
    <mergeCell ref="L60:M60"/>
    <mergeCell ref="N60:O60"/>
    <mergeCell ref="P60:Q60"/>
    <mergeCell ref="R60:S60"/>
    <mergeCell ref="T60:U60"/>
    <mergeCell ref="J58:K58"/>
    <mergeCell ref="L58:M58"/>
    <mergeCell ref="N58:O58"/>
    <mergeCell ref="P58:Q58"/>
    <mergeCell ref="R58:S58"/>
    <mergeCell ref="T8:U8"/>
    <mergeCell ref="J9:K9"/>
    <mergeCell ref="L9:M9"/>
    <mergeCell ref="N9:O9"/>
    <mergeCell ref="P9:Q9"/>
    <mergeCell ref="R9:S9"/>
    <mergeCell ref="T9:U9"/>
    <mergeCell ref="I5:V6"/>
    <mergeCell ref="P31:Q31"/>
    <mergeCell ref="R31:S31"/>
    <mergeCell ref="D17:D18"/>
    <mergeCell ref="E17:G18"/>
    <mergeCell ref="H11:H20"/>
    <mergeCell ref="D19:D20"/>
    <mergeCell ref="E19:G20"/>
    <mergeCell ref="I21:I23"/>
    <mergeCell ref="D21:G21"/>
    <mergeCell ref="H21:H30"/>
    <mergeCell ref="I27:I28"/>
    <mergeCell ref="I29:I30"/>
    <mergeCell ref="I25:I26"/>
    <mergeCell ref="I11:I12"/>
    <mergeCell ref="B8:G10"/>
    <mergeCell ref="H8:H10"/>
    <mergeCell ref="I8:I10"/>
    <mergeCell ref="J8:K8"/>
    <mergeCell ref="L8:M8"/>
    <mergeCell ref="N8:O8"/>
    <mergeCell ref="P8:Q8"/>
    <mergeCell ref="R8:S8"/>
    <mergeCell ref="E15:G16"/>
    <mergeCell ref="B60:C60"/>
    <mergeCell ref="D60:H60"/>
    <mergeCell ref="D29:G30"/>
    <mergeCell ref="B11:B33"/>
    <mergeCell ref="C11:C20"/>
    <mergeCell ref="D11:D14"/>
    <mergeCell ref="E11:G11"/>
    <mergeCell ref="C31:C33"/>
    <mergeCell ref="D31:G31"/>
    <mergeCell ref="B58:C58"/>
    <mergeCell ref="D58:H58"/>
    <mergeCell ref="C21:C30"/>
    <mergeCell ref="D27:G28"/>
    <mergeCell ref="D50:G51"/>
    <mergeCell ref="D52:G53"/>
    <mergeCell ref="D25:G26"/>
    <mergeCell ref="D55:G55"/>
    <mergeCell ref="H31:H33"/>
    <mergeCell ref="D32:G32"/>
    <mergeCell ref="D33:G33"/>
    <mergeCell ref="D40:D41"/>
    <mergeCell ref="E40:G41"/>
    <mergeCell ref="E42:G43"/>
    <mergeCell ref="D15:D16"/>
    <mergeCell ref="B59:C59"/>
    <mergeCell ref="B34:B56"/>
    <mergeCell ref="C34:C43"/>
    <mergeCell ref="D34:D37"/>
    <mergeCell ref="E34:G34"/>
    <mergeCell ref="H34:H43"/>
    <mergeCell ref="C44:C53"/>
    <mergeCell ref="D44:G44"/>
    <mergeCell ref="H44:H53"/>
    <mergeCell ref="C54:C56"/>
    <mergeCell ref="D54:G54"/>
    <mergeCell ref="H54:H56"/>
    <mergeCell ref="D42:D43"/>
    <mergeCell ref="D48:G49"/>
    <mergeCell ref="D56:G56"/>
    <mergeCell ref="D38:D39"/>
    <mergeCell ref="E38:G39"/>
    <mergeCell ref="I3:I4"/>
    <mergeCell ref="R4:U4"/>
    <mergeCell ref="J55:K55"/>
    <mergeCell ref="L55:M55"/>
    <mergeCell ref="N55:O55"/>
    <mergeCell ref="P55:Q55"/>
    <mergeCell ref="R55:S55"/>
    <mergeCell ref="T55:U55"/>
    <mergeCell ref="I34:I35"/>
    <mergeCell ref="I50:I51"/>
    <mergeCell ref="I52:I53"/>
    <mergeCell ref="I44:I46"/>
    <mergeCell ref="I48:I49"/>
    <mergeCell ref="T31:U31"/>
    <mergeCell ref="J32:K32"/>
    <mergeCell ref="L32:M32"/>
    <mergeCell ref="N32:O32"/>
    <mergeCell ref="P32:Q32"/>
    <mergeCell ref="R32:S32"/>
    <mergeCell ref="T32:U32"/>
    <mergeCell ref="J31:K31"/>
    <mergeCell ref="L31:M31"/>
    <mergeCell ref="N31:O31"/>
    <mergeCell ref="P33:Q33"/>
    <mergeCell ref="Z8:Z11"/>
    <mergeCell ref="Z5:AG7"/>
    <mergeCell ref="AA20:AB20"/>
    <mergeCell ref="Z19:AC19"/>
    <mergeCell ref="AF18:AG19"/>
    <mergeCell ref="AE18:AE19"/>
    <mergeCell ref="Z12:Z13"/>
    <mergeCell ref="B2:D2"/>
    <mergeCell ref="D3:G3"/>
    <mergeCell ref="T7:V7"/>
    <mergeCell ref="C7:G7"/>
    <mergeCell ref="J2:L2"/>
    <mergeCell ref="M2:N2"/>
    <mergeCell ref="P2:R2"/>
    <mergeCell ref="S2:T2"/>
    <mergeCell ref="J3:L3"/>
    <mergeCell ref="M3:N3"/>
    <mergeCell ref="B4:D5"/>
    <mergeCell ref="G4:H4"/>
    <mergeCell ref="G5:H5"/>
    <mergeCell ref="E2:G2"/>
    <mergeCell ref="P3:R3"/>
    <mergeCell ref="S3:T3"/>
    <mergeCell ref="J4:P4"/>
    <mergeCell ref="AE24:AE25"/>
    <mergeCell ref="Z27:Z29"/>
    <mergeCell ref="Z30:Z32"/>
    <mergeCell ref="Z33:Z35"/>
    <mergeCell ref="AH36:AH37"/>
    <mergeCell ref="AF36:AG37"/>
    <mergeCell ref="AH39:AH40"/>
    <mergeCell ref="Z16:AA16"/>
    <mergeCell ref="Z17:AA17"/>
    <mergeCell ref="Z18:AA18"/>
    <mergeCell ref="AH18:AH19"/>
    <mergeCell ref="Z20:Z23"/>
    <mergeCell ref="AH24:AH25"/>
    <mergeCell ref="AF24:AG25"/>
    <mergeCell ref="AE36:AE37"/>
    <mergeCell ref="AF39:AG40"/>
    <mergeCell ref="AC39:AE40"/>
  </mergeCells>
  <phoneticPr fontId="1"/>
  <conditionalFormatting sqref="B4">
    <cfRule type="containsText" dxfId="57" priority="1" operator="containsText" text="県外">
      <formula>NOT(ISERROR(SEARCH("県外",B4)))</formula>
    </cfRule>
  </conditionalFormatting>
  <dataValidations count="2">
    <dataValidation imeMode="disabled" allowBlank="1" showInputMessage="1" showErrorMessage="1" sqref="AB16:AB17" xr:uid="{00000000-0002-0000-0100-000000000000}"/>
    <dataValidation type="list" allowBlank="1" showInputMessage="1" showErrorMessage="1" sqref="B4" xr:uid="{00000000-0002-0000-0100-000001000000}">
      <formula1>"県内,県外"</formula1>
    </dataValidation>
  </dataValidations>
  <pageMargins left="0.39370078740157483" right="0.39370078740157483"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99FF"/>
  </sheetPr>
  <dimension ref="A1:Q407"/>
  <sheetViews>
    <sheetView showGridLines="0" zoomScaleNormal="100" zoomScaleSheetLayoutView="100" workbookViewId="0">
      <selection activeCell="P8" sqref="P8:R8"/>
    </sheetView>
  </sheetViews>
  <sheetFormatPr defaultRowHeight="13.5" x14ac:dyDescent="0.15"/>
  <cols>
    <col min="1" max="1" width="3.75" style="48" customWidth="1"/>
    <col min="2" max="2" width="17.5" style="48" customWidth="1"/>
    <col min="3" max="3" width="10.5" style="48" customWidth="1"/>
    <col min="4" max="4" width="6.25" style="48" customWidth="1"/>
    <col min="5" max="10" width="8.25" style="48" customWidth="1"/>
    <col min="11" max="11" width="8.125" style="48" customWidth="1"/>
    <col min="12" max="12" width="15.625" style="48" customWidth="1"/>
    <col min="13" max="13" width="1.25" style="228" customWidth="1"/>
    <col min="14" max="15" width="10.625" style="48" customWidth="1"/>
    <col min="16" max="16" width="8.75" style="48" customWidth="1"/>
    <col min="17" max="16384" width="9" style="48"/>
  </cols>
  <sheetData>
    <row r="1" spans="1:17" ht="18.75" customHeight="1" x14ac:dyDescent="0.15">
      <c r="A1" s="1423" t="s">
        <v>299</v>
      </c>
      <c r="B1" s="1423"/>
      <c r="C1" s="249"/>
      <c r="D1" s="1422" t="s">
        <v>296</v>
      </c>
      <c r="E1" s="1422"/>
      <c r="F1" s="1424">
        <f>SUBTOTAL(3,D15:D209)</f>
        <v>195</v>
      </c>
      <c r="H1" s="1421" t="s">
        <v>298</v>
      </c>
      <c r="I1" s="1421"/>
      <c r="J1" s="251">
        <f>SUM(入力ページ!AC39,入力ページ!AE39)</f>
        <v>0</v>
      </c>
      <c r="K1" s="262"/>
    </row>
    <row r="2" spans="1:17" ht="18.75" customHeight="1" x14ac:dyDescent="0.15">
      <c r="A2" s="1423"/>
      <c r="B2" s="1423"/>
      <c r="C2" s="249"/>
      <c r="D2" s="1422"/>
      <c r="E2" s="1422"/>
      <c r="F2" s="1424"/>
      <c r="H2" s="1421" t="s">
        <v>297</v>
      </c>
      <c r="I2" s="1421"/>
      <c r="J2" s="252">
        <f>COUNTA(名簿入力!D15:D404)</f>
        <v>0</v>
      </c>
      <c r="K2" s="263"/>
    </row>
    <row r="3" spans="1:17" ht="7.5" customHeight="1" x14ac:dyDescent="0.15">
      <c r="A3" s="1425"/>
      <c r="B3" s="1425"/>
      <c r="C3" s="1425"/>
      <c r="E3" s="250"/>
      <c r="F3" s="250"/>
      <c r="G3" s="250"/>
      <c r="H3" s="250"/>
      <c r="I3" s="247"/>
    </row>
    <row r="4" spans="1:17" ht="22.5" customHeight="1" x14ac:dyDescent="0.15">
      <c r="A4" s="256"/>
      <c r="B4" s="257"/>
      <c r="C4" s="258"/>
      <c r="D4" s="255"/>
      <c r="E4" s="259"/>
      <c r="F4" s="259"/>
      <c r="G4" s="259"/>
      <c r="H4" s="259"/>
      <c r="I4" s="260"/>
      <c r="J4" s="260"/>
      <c r="K4" s="260"/>
      <c r="L4" s="253"/>
      <c r="M4" s="253"/>
      <c r="N4" s="254"/>
      <c r="O4" s="254"/>
    </row>
    <row r="5" spans="1:17" ht="22.5" customHeight="1" x14ac:dyDescent="0.15">
      <c r="A5" s="256"/>
      <c r="B5" s="257"/>
      <c r="C5" s="258"/>
      <c r="D5" s="255"/>
      <c r="E5" s="259"/>
      <c r="F5" s="259"/>
      <c r="G5" s="259"/>
      <c r="H5" s="259"/>
      <c r="I5" s="260"/>
      <c r="J5" s="260"/>
      <c r="K5" s="260"/>
      <c r="L5" s="253"/>
      <c r="M5" s="253"/>
      <c r="N5" s="254"/>
      <c r="O5" s="254"/>
    </row>
    <row r="6" spans="1:17" ht="22.5" customHeight="1" x14ac:dyDescent="0.15">
      <c r="A6" s="255"/>
      <c r="B6" s="257"/>
      <c r="C6" s="258"/>
      <c r="D6" s="255"/>
      <c r="E6" s="260"/>
      <c r="F6" s="260"/>
      <c r="G6" s="260"/>
      <c r="H6" s="260"/>
      <c r="I6" s="261"/>
      <c r="J6" s="261"/>
      <c r="K6" s="261"/>
      <c r="L6" s="253"/>
      <c r="M6" s="253"/>
      <c r="N6" s="254"/>
      <c r="O6" s="254"/>
    </row>
    <row r="7" spans="1:17" ht="30" customHeight="1" x14ac:dyDescent="0.15">
      <c r="A7" s="255"/>
      <c r="B7" s="257"/>
      <c r="C7" s="258"/>
      <c r="D7" s="255"/>
      <c r="E7" s="260"/>
      <c r="F7" s="260"/>
      <c r="G7" s="260"/>
      <c r="H7" s="260"/>
      <c r="I7" s="261"/>
      <c r="J7" s="261"/>
      <c r="K7" s="261"/>
      <c r="L7" s="253"/>
      <c r="M7" s="253"/>
      <c r="N7" s="254"/>
      <c r="O7" s="254"/>
    </row>
    <row r="8" spans="1:17" s="228" customFormat="1" ht="3.75" customHeight="1" x14ac:dyDescent="0.15">
      <c r="B8" s="1034"/>
      <c r="C8" s="1035"/>
      <c r="E8" s="1036"/>
      <c r="F8" s="1036"/>
      <c r="G8" s="1036"/>
      <c r="H8" s="1036"/>
      <c r="I8" s="1037"/>
      <c r="J8" s="1037"/>
      <c r="K8" s="1037"/>
      <c r="N8" s="254"/>
      <c r="O8" s="254"/>
    </row>
    <row r="9" spans="1:17" ht="37.5" customHeight="1" x14ac:dyDescent="0.15">
      <c r="A9" s="1426" t="s">
        <v>304</v>
      </c>
      <c r="B9" s="1426"/>
      <c r="C9" s="1426"/>
      <c r="D9" s="1426"/>
      <c r="E9" s="1426"/>
      <c r="F9" s="1427"/>
      <c r="G9" s="1427"/>
      <c r="H9" s="1427"/>
      <c r="I9" s="1427"/>
      <c r="J9" s="1427"/>
      <c r="K9" s="1427"/>
      <c r="L9" s="228"/>
      <c r="N9" s="254"/>
      <c r="O9" s="254"/>
    </row>
    <row r="10" spans="1:17" ht="26.25" customHeight="1" x14ac:dyDescent="0.15">
      <c r="A10" s="268"/>
      <c r="B10" s="1038" t="s">
        <v>306</v>
      </c>
      <c r="C10" s="1428" t="str">
        <f>IF(入力ページ!L22="","",DATE(入力ページ!G22,入力ページ!J22,入力ページ!L22))</f>
        <v/>
      </c>
      <c r="D10" s="1428"/>
      <c r="E10" s="1428"/>
      <c r="F10" s="1428"/>
      <c r="G10" s="1039" t="s">
        <v>578</v>
      </c>
      <c r="H10" s="1429" t="str">
        <f>IF(入力ページ!L22="","",入力ページ!K20+入力ページ!F21)</f>
        <v/>
      </c>
      <c r="I10" s="1429"/>
      <c r="J10" s="1429"/>
      <c r="K10" s="1429"/>
      <c r="L10" s="1015"/>
      <c r="M10" s="273"/>
      <c r="N10" s="254"/>
      <c r="O10" s="254"/>
    </row>
    <row r="11" spans="1:17" ht="26.25" customHeight="1" thickBot="1" x14ac:dyDescent="0.2">
      <c r="A11" s="268"/>
      <c r="B11" s="1038" t="s">
        <v>305</v>
      </c>
      <c r="C11" s="1430" t="str">
        <f>"　"&amp;入力ページ!F11</f>
        <v>　</v>
      </c>
      <c r="D11" s="1430"/>
      <c r="E11" s="1430"/>
      <c r="F11" s="1430"/>
      <c r="G11" s="1430"/>
      <c r="H11" s="1430"/>
      <c r="I11" s="1430"/>
      <c r="J11" s="1430"/>
      <c r="K11" s="1041"/>
      <c r="L11" s="276" t="s">
        <v>307</v>
      </c>
      <c r="M11" s="273"/>
      <c r="N11" s="254"/>
      <c r="O11" s="254"/>
      <c r="Q11" s="248"/>
    </row>
    <row r="12" spans="1:17" ht="11.25" customHeight="1" thickTop="1" x14ac:dyDescent="0.15">
      <c r="A12" s="268"/>
      <c r="B12" s="270"/>
      <c r="C12" s="274"/>
      <c r="D12" s="274"/>
      <c r="E12" s="274"/>
      <c r="F12" s="274"/>
      <c r="G12" s="274"/>
      <c r="H12" s="274"/>
      <c r="I12" s="274"/>
      <c r="J12" s="274"/>
      <c r="K12" s="1040"/>
      <c r="L12" s="1420">
        <f>名簿入力!BP4</f>
        <v>0</v>
      </c>
      <c r="M12" s="266"/>
      <c r="N12" s="254"/>
      <c r="O12" s="254"/>
    </row>
    <row r="13" spans="1:17" ht="26.25" customHeight="1" x14ac:dyDescent="0.15">
      <c r="A13" s="268"/>
      <c r="B13" s="268"/>
      <c r="C13" s="268"/>
      <c r="D13" s="267"/>
      <c r="E13" s="1016" t="str">
        <f>IF(入力ページ!I65=" ","／",入力ページ!I65)</f>
        <v/>
      </c>
      <c r="F13" s="1017" t="str">
        <f>IF(入力ページ!M65=" ","／",入力ページ!M65)</f>
        <v/>
      </c>
      <c r="G13" s="1017" t="str">
        <f>IF(入力ページ!Q65=" ","／",入力ページ!Q65)</f>
        <v/>
      </c>
      <c r="H13" s="1017" t="str">
        <f>IF(入力ページ!U65=" ","／",入力ページ!U65)</f>
        <v/>
      </c>
      <c r="I13" s="1017" t="str">
        <f>IF(入力ページ!Y65=" ","／",入力ページ!Y65)</f>
        <v/>
      </c>
      <c r="J13" s="1017" t="str">
        <f>IF(入力ページ!AC65=" ","／",入力ページ!AC65)</f>
        <v/>
      </c>
      <c r="K13" s="269"/>
      <c r="L13" s="1420"/>
      <c r="M13" s="266"/>
      <c r="N13" s="254"/>
      <c r="O13" s="254"/>
    </row>
    <row r="14" spans="1:17" s="248" customFormat="1" ht="30" customHeight="1" x14ac:dyDescent="0.15">
      <c r="A14" s="271" t="s">
        <v>287</v>
      </c>
      <c r="B14" s="1018" t="s">
        <v>294</v>
      </c>
      <c r="C14" s="1019" t="s">
        <v>579</v>
      </c>
      <c r="D14" s="1020" t="s">
        <v>295</v>
      </c>
      <c r="E14" s="1021" t="s">
        <v>288</v>
      </c>
      <c r="F14" s="1021" t="s">
        <v>289</v>
      </c>
      <c r="G14" s="1021" t="s">
        <v>290</v>
      </c>
      <c r="H14" s="1021" t="s">
        <v>291</v>
      </c>
      <c r="I14" s="1021" t="s">
        <v>292</v>
      </c>
      <c r="J14" s="1021" t="s">
        <v>293</v>
      </c>
      <c r="K14" s="275" t="s">
        <v>303</v>
      </c>
      <c r="L14" s="272" t="s">
        <v>302</v>
      </c>
      <c r="M14" s="264"/>
      <c r="N14" s="48"/>
      <c r="O14" s="48"/>
    </row>
    <row r="15" spans="1:17" ht="22.5" customHeight="1" x14ac:dyDescent="0.15">
      <c r="A15" s="246">
        <v>1</v>
      </c>
      <c r="B15" s="1022">
        <f>名簿入力!D15</f>
        <v>0</v>
      </c>
      <c r="C15" s="1023">
        <f>名簿入力!F15</f>
        <v>0</v>
      </c>
      <c r="D15" s="1024" t="str">
        <f>IF(名簿入力!H15="○","女",IF(名簿入力!G15="○","男",""))</f>
        <v/>
      </c>
      <c r="E15" s="1022">
        <f>名簿入力!I15</f>
        <v>0</v>
      </c>
      <c r="F15" s="1022">
        <f>名簿入力!M15</f>
        <v>0</v>
      </c>
      <c r="G15" s="1022">
        <f>名簿入力!R15</f>
        <v>0</v>
      </c>
      <c r="H15" s="1022">
        <f>名簿入力!W15</f>
        <v>0</v>
      </c>
      <c r="I15" s="1022">
        <f>名簿入力!AB15</f>
        <v>0</v>
      </c>
      <c r="J15" s="1022">
        <f>名簿入力!AG15</f>
        <v>0</v>
      </c>
      <c r="K15" s="1025">
        <f>名簿入力!AK15</f>
        <v>0</v>
      </c>
      <c r="L15" s="1026">
        <f>名簿入力!AK16</f>
        <v>0</v>
      </c>
      <c r="M15" s="265"/>
    </row>
    <row r="16" spans="1:17" ht="22.5" customHeight="1" x14ac:dyDescent="0.15">
      <c r="A16" s="246">
        <v>2</v>
      </c>
      <c r="B16" s="1027">
        <f>名簿入力!D17</f>
        <v>0</v>
      </c>
      <c r="C16" s="1028">
        <f>名簿入力!F17</f>
        <v>0</v>
      </c>
      <c r="D16" s="1029" t="str">
        <f>IF(名簿入力!H17="○","女",IF(名簿入力!G17="○","男",""))</f>
        <v/>
      </c>
      <c r="E16" s="1027">
        <f>名簿入力!I17</f>
        <v>0</v>
      </c>
      <c r="F16" s="1027">
        <f>名簿入力!M17</f>
        <v>0</v>
      </c>
      <c r="G16" s="1027">
        <f>名簿入力!R17</f>
        <v>0</v>
      </c>
      <c r="H16" s="1027">
        <f>名簿入力!W17</f>
        <v>0</v>
      </c>
      <c r="I16" s="1027">
        <f>名簿入力!AB17</f>
        <v>0</v>
      </c>
      <c r="J16" s="1027">
        <f>名簿入力!AG17</f>
        <v>0</v>
      </c>
      <c r="K16" s="1030">
        <f>名簿入力!AK17</f>
        <v>0</v>
      </c>
      <c r="L16" s="1031">
        <f>名簿入力!AK18</f>
        <v>0</v>
      </c>
      <c r="M16" s="265"/>
    </row>
    <row r="17" spans="1:16" ht="22.5" customHeight="1" x14ac:dyDescent="0.15">
      <c r="A17" s="246">
        <v>3</v>
      </c>
      <c r="B17" s="1022">
        <f>名簿入力!D19</f>
        <v>0</v>
      </c>
      <c r="C17" s="1023">
        <f>名簿入力!F19</f>
        <v>0</v>
      </c>
      <c r="D17" s="1024" t="str">
        <f>IF(名簿入力!H19="○","女",IF(名簿入力!G19="○","男",""))</f>
        <v/>
      </c>
      <c r="E17" s="1022">
        <f>名簿入力!I19</f>
        <v>0</v>
      </c>
      <c r="F17" s="1022">
        <f>名簿入力!M19</f>
        <v>0</v>
      </c>
      <c r="G17" s="1022">
        <f>名簿入力!R19</f>
        <v>0</v>
      </c>
      <c r="H17" s="1022">
        <f>名簿入力!W19</f>
        <v>0</v>
      </c>
      <c r="I17" s="1022">
        <f>名簿入力!AB19</f>
        <v>0</v>
      </c>
      <c r="J17" s="1022">
        <f>名簿入力!AG19</f>
        <v>0</v>
      </c>
      <c r="K17" s="1025">
        <f>名簿入力!AK19</f>
        <v>0</v>
      </c>
      <c r="L17" s="1026">
        <f>名簿入力!AK20</f>
        <v>0</v>
      </c>
      <c r="M17" s="265"/>
    </row>
    <row r="18" spans="1:16" ht="22.5" customHeight="1" x14ac:dyDescent="0.15">
      <c r="A18" s="246">
        <v>4</v>
      </c>
      <c r="B18" s="1027">
        <f>名簿入力!D21</f>
        <v>0</v>
      </c>
      <c r="C18" s="1028">
        <f>名簿入力!F21</f>
        <v>0</v>
      </c>
      <c r="D18" s="1029" t="str">
        <f>IF(名簿入力!H21="○","女",IF(名簿入力!G21="○","男",""))</f>
        <v/>
      </c>
      <c r="E18" s="1027">
        <f>名簿入力!I21</f>
        <v>0</v>
      </c>
      <c r="F18" s="1027">
        <f>名簿入力!M21</f>
        <v>0</v>
      </c>
      <c r="G18" s="1027">
        <f>名簿入力!R21</f>
        <v>0</v>
      </c>
      <c r="H18" s="1027">
        <f>名簿入力!W21</f>
        <v>0</v>
      </c>
      <c r="I18" s="1027">
        <f>名簿入力!AB21</f>
        <v>0</v>
      </c>
      <c r="J18" s="1027">
        <f>名簿入力!AG21</f>
        <v>0</v>
      </c>
      <c r="K18" s="1025">
        <f>名簿入力!AK21</f>
        <v>0</v>
      </c>
      <c r="L18" s="1032">
        <f>名簿入力!AK22</f>
        <v>0</v>
      </c>
      <c r="M18" s="265"/>
    </row>
    <row r="19" spans="1:16" ht="22.5" customHeight="1" x14ac:dyDescent="0.15">
      <c r="A19" s="246">
        <v>5</v>
      </c>
      <c r="B19" s="1022">
        <f>名簿入力!D23</f>
        <v>0</v>
      </c>
      <c r="C19" s="1023">
        <f>名簿入力!F23</f>
        <v>0</v>
      </c>
      <c r="D19" s="1024" t="str">
        <f>IF(名簿入力!H23="○","女",IF(名簿入力!G23="○","男",""))</f>
        <v/>
      </c>
      <c r="E19" s="1022">
        <f>名簿入力!I23</f>
        <v>0</v>
      </c>
      <c r="F19" s="1022">
        <f>名簿入力!M23</f>
        <v>0</v>
      </c>
      <c r="G19" s="1022">
        <f>名簿入力!R23</f>
        <v>0</v>
      </c>
      <c r="H19" s="1022">
        <f>名簿入力!W23</f>
        <v>0</v>
      </c>
      <c r="I19" s="1022">
        <f>名簿入力!AB23</f>
        <v>0</v>
      </c>
      <c r="J19" s="1022">
        <f>名簿入力!AG23</f>
        <v>0</v>
      </c>
      <c r="K19" s="1025">
        <f>名簿入力!AK23</f>
        <v>0</v>
      </c>
      <c r="L19" s="1032">
        <f>名簿入力!AK24</f>
        <v>0</v>
      </c>
      <c r="M19" s="265"/>
      <c r="P19" s="228"/>
    </row>
    <row r="20" spans="1:16" ht="22.5" customHeight="1" x14ac:dyDescent="0.15">
      <c r="A20" s="246">
        <v>6</v>
      </c>
      <c r="B20" s="1027">
        <f>名簿入力!D25</f>
        <v>0</v>
      </c>
      <c r="C20" s="1028">
        <f>名簿入力!F25</f>
        <v>0</v>
      </c>
      <c r="D20" s="1029" t="str">
        <f>IF(名簿入力!H25="○","女",IF(名簿入力!G25="○","男",""))</f>
        <v/>
      </c>
      <c r="E20" s="1027">
        <f>名簿入力!I25</f>
        <v>0</v>
      </c>
      <c r="F20" s="1027">
        <f>名簿入力!M25</f>
        <v>0</v>
      </c>
      <c r="G20" s="1027">
        <f>名簿入力!R25</f>
        <v>0</v>
      </c>
      <c r="H20" s="1027">
        <f>名簿入力!W25</f>
        <v>0</v>
      </c>
      <c r="I20" s="1027">
        <f>名簿入力!AB25</f>
        <v>0</v>
      </c>
      <c r="J20" s="1027">
        <f>名簿入力!AG25</f>
        <v>0</v>
      </c>
      <c r="K20" s="1025">
        <f>名簿入力!AK25</f>
        <v>0</v>
      </c>
      <c r="L20" s="1032">
        <f>名簿入力!AK26</f>
        <v>0</v>
      </c>
      <c r="M20" s="265"/>
    </row>
    <row r="21" spans="1:16" ht="22.5" customHeight="1" x14ac:dyDescent="0.15">
      <c r="A21" s="246">
        <v>7</v>
      </c>
      <c r="B21" s="1022">
        <f>名簿入力!D27</f>
        <v>0</v>
      </c>
      <c r="C21" s="1023">
        <f>名簿入力!F27</f>
        <v>0</v>
      </c>
      <c r="D21" s="1024" t="str">
        <f>IF(名簿入力!H27="○","女",IF(名簿入力!G27="○","男",""))</f>
        <v/>
      </c>
      <c r="E21" s="1022">
        <f>名簿入力!I27</f>
        <v>0</v>
      </c>
      <c r="F21" s="1022">
        <f>名簿入力!M27</f>
        <v>0</v>
      </c>
      <c r="G21" s="1022">
        <f>名簿入力!R27</f>
        <v>0</v>
      </c>
      <c r="H21" s="1022">
        <f>名簿入力!W27</f>
        <v>0</v>
      </c>
      <c r="I21" s="1022">
        <f>名簿入力!AB27</f>
        <v>0</v>
      </c>
      <c r="J21" s="1022">
        <f>名簿入力!AG27</f>
        <v>0</v>
      </c>
      <c r="K21" s="1025">
        <f>名簿入力!AK27</f>
        <v>0</v>
      </c>
      <c r="L21" s="1032">
        <f>名簿入力!AK28</f>
        <v>0</v>
      </c>
      <c r="M21" s="265"/>
    </row>
    <row r="22" spans="1:16" ht="22.5" customHeight="1" x14ac:dyDescent="0.15">
      <c r="A22" s="246">
        <v>8</v>
      </c>
      <c r="B22" s="1027">
        <f>名簿入力!D29</f>
        <v>0</v>
      </c>
      <c r="C22" s="1028">
        <f>名簿入力!F29</f>
        <v>0</v>
      </c>
      <c r="D22" s="1029" t="str">
        <f>IF(名簿入力!H29="○","女",IF(名簿入力!G29="○","男",""))</f>
        <v/>
      </c>
      <c r="E22" s="1027">
        <f>名簿入力!I29</f>
        <v>0</v>
      </c>
      <c r="F22" s="1027">
        <f>名簿入力!M29</f>
        <v>0</v>
      </c>
      <c r="G22" s="1027">
        <f>名簿入力!R29</f>
        <v>0</v>
      </c>
      <c r="H22" s="1027">
        <f>名簿入力!W29</f>
        <v>0</v>
      </c>
      <c r="I22" s="1027">
        <f>名簿入力!AB29</f>
        <v>0</v>
      </c>
      <c r="J22" s="1027">
        <f>名簿入力!AG29</f>
        <v>0</v>
      </c>
      <c r="K22" s="1025">
        <f>名簿入力!AK29</f>
        <v>0</v>
      </c>
      <c r="L22" s="1032">
        <f>名簿入力!AK30</f>
        <v>0</v>
      </c>
      <c r="M22" s="265"/>
    </row>
    <row r="23" spans="1:16" ht="22.5" customHeight="1" x14ac:dyDescent="0.15">
      <c r="A23" s="246">
        <v>9</v>
      </c>
      <c r="B23" s="1022">
        <f>名簿入力!D31</f>
        <v>0</v>
      </c>
      <c r="C23" s="1023">
        <f>名簿入力!F31</f>
        <v>0</v>
      </c>
      <c r="D23" s="1024" t="str">
        <f>IF(名簿入力!H31="○","女",IF(名簿入力!G31="○","男",""))</f>
        <v/>
      </c>
      <c r="E23" s="1022">
        <f>名簿入力!I31</f>
        <v>0</v>
      </c>
      <c r="F23" s="1022">
        <f>名簿入力!M31</f>
        <v>0</v>
      </c>
      <c r="G23" s="1022">
        <f>名簿入力!R31</f>
        <v>0</v>
      </c>
      <c r="H23" s="1022">
        <f>名簿入力!W31</f>
        <v>0</v>
      </c>
      <c r="I23" s="1022">
        <f>名簿入力!AB31</f>
        <v>0</v>
      </c>
      <c r="J23" s="1022">
        <f>名簿入力!AG31</f>
        <v>0</v>
      </c>
      <c r="K23" s="1025">
        <f>名簿入力!AK31</f>
        <v>0</v>
      </c>
      <c r="L23" s="1032">
        <f>名簿入力!AK32</f>
        <v>0</v>
      </c>
      <c r="M23" s="265"/>
    </row>
    <row r="24" spans="1:16" ht="22.5" customHeight="1" x14ac:dyDescent="0.15">
      <c r="A24" s="246">
        <v>10</v>
      </c>
      <c r="B24" s="1027">
        <f>名簿入力!D33</f>
        <v>0</v>
      </c>
      <c r="C24" s="1028">
        <f>名簿入力!F33</f>
        <v>0</v>
      </c>
      <c r="D24" s="1029" t="str">
        <f>IF(名簿入力!H33="○","女",IF(名簿入力!G33="○","男",""))</f>
        <v/>
      </c>
      <c r="E24" s="1027">
        <f>名簿入力!I33</f>
        <v>0</v>
      </c>
      <c r="F24" s="1027">
        <f>名簿入力!M33</f>
        <v>0</v>
      </c>
      <c r="G24" s="1027">
        <f>名簿入力!R33</f>
        <v>0</v>
      </c>
      <c r="H24" s="1027">
        <f>名簿入力!W33</f>
        <v>0</v>
      </c>
      <c r="I24" s="1027">
        <f>名簿入力!AB33</f>
        <v>0</v>
      </c>
      <c r="J24" s="1027">
        <f>名簿入力!AG33</f>
        <v>0</v>
      </c>
      <c r="K24" s="1025">
        <f>名簿入力!AK33</f>
        <v>0</v>
      </c>
      <c r="L24" s="1032">
        <f>名簿入力!AK34</f>
        <v>0</v>
      </c>
      <c r="M24" s="265"/>
    </row>
    <row r="25" spans="1:16" ht="22.5" customHeight="1" x14ac:dyDescent="0.15">
      <c r="A25" s="246">
        <v>11</v>
      </c>
      <c r="B25" s="1022">
        <f>名簿入力!D35</f>
        <v>0</v>
      </c>
      <c r="C25" s="1023">
        <f>名簿入力!F35</f>
        <v>0</v>
      </c>
      <c r="D25" s="1024" t="str">
        <f>IF(名簿入力!H35="○","女",IF(名簿入力!G35="○","男",""))</f>
        <v/>
      </c>
      <c r="E25" s="1022">
        <f>名簿入力!I35</f>
        <v>0</v>
      </c>
      <c r="F25" s="1022">
        <f>名簿入力!M35</f>
        <v>0</v>
      </c>
      <c r="G25" s="1022">
        <f>名簿入力!R35</f>
        <v>0</v>
      </c>
      <c r="H25" s="1022">
        <f>名簿入力!W35</f>
        <v>0</v>
      </c>
      <c r="I25" s="1022">
        <f>名簿入力!AB35</f>
        <v>0</v>
      </c>
      <c r="J25" s="1022">
        <f>名簿入力!AG35</f>
        <v>0</v>
      </c>
      <c r="K25" s="1025">
        <f>名簿入力!AK35</f>
        <v>0</v>
      </c>
      <c r="L25" s="1032">
        <f>名簿入力!AK36</f>
        <v>0</v>
      </c>
      <c r="M25" s="265"/>
    </row>
    <row r="26" spans="1:16" ht="22.5" customHeight="1" x14ac:dyDescent="0.15">
      <c r="A26" s="246">
        <v>12</v>
      </c>
      <c r="B26" s="1027">
        <f>名簿入力!D37</f>
        <v>0</v>
      </c>
      <c r="C26" s="1028">
        <f>名簿入力!F37</f>
        <v>0</v>
      </c>
      <c r="D26" s="1029" t="str">
        <f>IF(名簿入力!H37="○","女",IF(名簿入力!G37="○","男",""))</f>
        <v/>
      </c>
      <c r="E26" s="1027">
        <f>名簿入力!I37</f>
        <v>0</v>
      </c>
      <c r="F26" s="1027">
        <f>名簿入力!M37</f>
        <v>0</v>
      </c>
      <c r="G26" s="1027">
        <f>名簿入力!R37</f>
        <v>0</v>
      </c>
      <c r="H26" s="1027">
        <f>名簿入力!W37</f>
        <v>0</v>
      </c>
      <c r="I26" s="1027">
        <f>名簿入力!AB37</f>
        <v>0</v>
      </c>
      <c r="J26" s="1027">
        <f>名簿入力!AG37</f>
        <v>0</v>
      </c>
      <c r="K26" s="1025">
        <f>名簿入力!AK37</f>
        <v>0</v>
      </c>
      <c r="L26" s="1032">
        <f>名簿入力!AK38</f>
        <v>0</v>
      </c>
      <c r="M26" s="265"/>
    </row>
    <row r="27" spans="1:16" ht="22.5" customHeight="1" x14ac:dyDescent="0.15">
      <c r="A27" s="246">
        <v>13</v>
      </c>
      <c r="B27" s="1022">
        <f>名簿入力!D39</f>
        <v>0</v>
      </c>
      <c r="C27" s="1023">
        <f>名簿入力!F39</f>
        <v>0</v>
      </c>
      <c r="D27" s="1024" t="str">
        <f>IF(名簿入力!H39="○","女",IF(名簿入力!G39="○","男",""))</f>
        <v/>
      </c>
      <c r="E27" s="1022">
        <f>名簿入力!I39</f>
        <v>0</v>
      </c>
      <c r="F27" s="1022">
        <f>名簿入力!M39</f>
        <v>0</v>
      </c>
      <c r="G27" s="1022">
        <f>名簿入力!R39</f>
        <v>0</v>
      </c>
      <c r="H27" s="1022">
        <f>名簿入力!W39</f>
        <v>0</v>
      </c>
      <c r="I27" s="1022">
        <f>名簿入力!AB39</f>
        <v>0</v>
      </c>
      <c r="J27" s="1022">
        <f>名簿入力!AG39</f>
        <v>0</v>
      </c>
      <c r="K27" s="1025">
        <f>名簿入力!AK39</f>
        <v>0</v>
      </c>
      <c r="L27" s="1032">
        <f>名簿入力!AK40</f>
        <v>0</v>
      </c>
      <c r="M27" s="265"/>
    </row>
    <row r="28" spans="1:16" ht="22.5" customHeight="1" x14ac:dyDescent="0.15">
      <c r="A28" s="246">
        <v>14</v>
      </c>
      <c r="B28" s="1027">
        <f>名簿入力!D41</f>
        <v>0</v>
      </c>
      <c r="C28" s="1028">
        <f>名簿入力!F41</f>
        <v>0</v>
      </c>
      <c r="D28" s="1029" t="str">
        <f>IF(名簿入力!H41="○","女",IF(名簿入力!G41="○","男",""))</f>
        <v/>
      </c>
      <c r="E28" s="1027">
        <f>名簿入力!I41</f>
        <v>0</v>
      </c>
      <c r="F28" s="1027">
        <f>名簿入力!M41</f>
        <v>0</v>
      </c>
      <c r="G28" s="1027">
        <f>名簿入力!R41</f>
        <v>0</v>
      </c>
      <c r="H28" s="1027">
        <f>名簿入力!W41</f>
        <v>0</v>
      </c>
      <c r="I28" s="1027">
        <f>名簿入力!AB41</f>
        <v>0</v>
      </c>
      <c r="J28" s="1027">
        <f>名簿入力!AG41</f>
        <v>0</v>
      </c>
      <c r="K28" s="1025">
        <f>名簿入力!AK41</f>
        <v>0</v>
      </c>
      <c r="L28" s="1032">
        <f>名簿入力!AK42</f>
        <v>0</v>
      </c>
      <c r="M28" s="265"/>
    </row>
    <row r="29" spans="1:16" ht="22.5" customHeight="1" x14ac:dyDescent="0.15">
      <c r="A29" s="246">
        <v>15</v>
      </c>
      <c r="B29" s="1022">
        <f>名簿入力!D43</f>
        <v>0</v>
      </c>
      <c r="C29" s="1023">
        <f>名簿入力!F43</f>
        <v>0</v>
      </c>
      <c r="D29" s="1024" t="str">
        <f>IF(名簿入力!H43="○","女",IF(名簿入力!G43="○","男",""))</f>
        <v/>
      </c>
      <c r="E29" s="1022">
        <f>名簿入力!I43</f>
        <v>0</v>
      </c>
      <c r="F29" s="1022">
        <f>名簿入力!M43</f>
        <v>0</v>
      </c>
      <c r="G29" s="1022">
        <f>名簿入力!R43</f>
        <v>0</v>
      </c>
      <c r="H29" s="1022">
        <f>名簿入力!W43</f>
        <v>0</v>
      </c>
      <c r="I29" s="1022">
        <f>名簿入力!AB43</f>
        <v>0</v>
      </c>
      <c r="J29" s="1022">
        <f>名簿入力!AG43</f>
        <v>0</v>
      </c>
      <c r="K29" s="1025">
        <f>名簿入力!AK43</f>
        <v>0</v>
      </c>
      <c r="L29" s="1032">
        <f>名簿入力!AK44</f>
        <v>0</v>
      </c>
      <c r="M29" s="265"/>
    </row>
    <row r="30" spans="1:16" ht="22.5" customHeight="1" x14ac:dyDescent="0.15">
      <c r="A30" s="246">
        <v>16</v>
      </c>
      <c r="B30" s="1027">
        <f>名簿入力!D45</f>
        <v>0</v>
      </c>
      <c r="C30" s="1028">
        <f>名簿入力!F45</f>
        <v>0</v>
      </c>
      <c r="D30" s="1029" t="str">
        <f>IF(名簿入力!H45="○","女",IF(名簿入力!G45="○","男",""))</f>
        <v/>
      </c>
      <c r="E30" s="1027">
        <f>名簿入力!I45</f>
        <v>0</v>
      </c>
      <c r="F30" s="1027">
        <f>名簿入力!M45</f>
        <v>0</v>
      </c>
      <c r="G30" s="1027">
        <f>名簿入力!R45</f>
        <v>0</v>
      </c>
      <c r="H30" s="1027">
        <f>名簿入力!W45</f>
        <v>0</v>
      </c>
      <c r="I30" s="1027">
        <f>名簿入力!AB45</f>
        <v>0</v>
      </c>
      <c r="J30" s="1027">
        <f>名簿入力!AG45</f>
        <v>0</v>
      </c>
      <c r="K30" s="1025">
        <f>名簿入力!AK45</f>
        <v>0</v>
      </c>
      <c r="L30" s="1032">
        <f>名簿入力!AK46</f>
        <v>0</v>
      </c>
      <c r="M30" s="265"/>
    </row>
    <row r="31" spans="1:16" ht="22.5" customHeight="1" x14ac:dyDescent="0.15">
      <c r="A31" s="246">
        <v>17</v>
      </c>
      <c r="B31" s="1022">
        <f>名簿入力!D47</f>
        <v>0</v>
      </c>
      <c r="C31" s="1023">
        <f>名簿入力!F47</f>
        <v>0</v>
      </c>
      <c r="D31" s="1024" t="str">
        <f>IF(名簿入力!H47="○","女",IF(名簿入力!G47="○","男",""))</f>
        <v/>
      </c>
      <c r="E31" s="1022">
        <f>名簿入力!I47</f>
        <v>0</v>
      </c>
      <c r="F31" s="1022">
        <f>名簿入力!M47</f>
        <v>0</v>
      </c>
      <c r="G31" s="1022">
        <f>名簿入力!R47</f>
        <v>0</v>
      </c>
      <c r="H31" s="1022">
        <f>名簿入力!W47</f>
        <v>0</v>
      </c>
      <c r="I31" s="1022">
        <f>名簿入力!AB47</f>
        <v>0</v>
      </c>
      <c r="J31" s="1022">
        <f>名簿入力!AG47</f>
        <v>0</v>
      </c>
      <c r="K31" s="1025">
        <f>名簿入力!AK47</f>
        <v>0</v>
      </c>
      <c r="L31" s="1032">
        <f>名簿入力!AK48</f>
        <v>0</v>
      </c>
      <c r="M31" s="265"/>
    </row>
    <row r="32" spans="1:16" ht="22.5" customHeight="1" x14ac:dyDescent="0.15">
      <c r="A32" s="246">
        <v>18</v>
      </c>
      <c r="B32" s="1027">
        <f>名簿入力!D49</f>
        <v>0</v>
      </c>
      <c r="C32" s="1028">
        <f>名簿入力!F49</f>
        <v>0</v>
      </c>
      <c r="D32" s="1029" t="str">
        <f>IF(名簿入力!H49="○","女",IF(名簿入力!G49="○","男",""))</f>
        <v/>
      </c>
      <c r="E32" s="1027">
        <f>名簿入力!I49</f>
        <v>0</v>
      </c>
      <c r="F32" s="1027">
        <f>名簿入力!M49</f>
        <v>0</v>
      </c>
      <c r="G32" s="1027">
        <f>名簿入力!R49</f>
        <v>0</v>
      </c>
      <c r="H32" s="1027">
        <f>名簿入力!W49</f>
        <v>0</v>
      </c>
      <c r="I32" s="1027">
        <f>名簿入力!AB49</f>
        <v>0</v>
      </c>
      <c r="J32" s="1027">
        <f>名簿入力!AG49</f>
        <v>0</v>
      </c>
      <c r="K32" s="1025">
        <f>名簿入力!AK49</f>
        <v>0</v>
      </c>
      <c r="L32" s="1032">
        <f>名簿入力!AK50</f>
        <v>0</v>
      </c>
      <c r="M32" s="265"/>
    </row>
    <row r="33" spans="1:13" ht="22.5" customHeight="1" x14ac:dyDescent="0.15">
      <c r="A33" s="246">
        <v>19</v>
      </c>
      <c r="B33" s="1022">
        <f>名簿入力!D51</f>
        <v>0</v>
      </c>
      <c r="C33" s="1023">
        <f>名簿入力!F51</f>
        <v>0</v>
      </c>
      <c r="D33" s="1024" t="str">
        <f>IF(名簿入力!H51="○","女",IF(名簿入力!G51="○","男",""))</f>
        <v/>
      </c>
      <c r="E33" s="1022">
        <f>名簿入力!I51</f>
        <v>0</v>
      </c>
      <c r="F33" s="1022">
        <f>名簿入力!M51</f>
        <v>0</v>
      </c>
      <c r="G33" s="1022">
        <f>名簿入力!R51</f>
        <v>0</v>
      </c>
      <c r="H33" s="1022">
        <f>名簿入力!W51</f>
        <v>0</v>
      </c>
      <c r="I33" s="1022">
        <f>名簿入力!AB51</f>
        <v>0</v>
      </c>
      <c r="J33" s="1022">
        <f>名簿入力!AG51</f>
        <v>0</v>
      </c>
      <c r="K33" s="1025">
        <f>名簿入力!AK51</f>
        <v>0</v>
      </c>
      <c r="L33" s="1032">
        <f>名簿入力!AK52</f>
        <v>0</v>
      </c>
      <c r="M33" s="265"/>
    </row>
    <row r="34" spans="1:13" ht="22.5" customHeight="1" x14ac:dyDescent="0.15">
      <c r="A34" s="246">
        <v>20</v>
      </c>
      <c r="B34" s="1027">
        <f>名簿入力!D53</f>
        <v>0</v>
      </c>
      <c r="C34" s="1028">
        <f>名簿入力!F53</f>
        <v>0</v>
      </c>
      <c r="D34" s="1029" t="str">
        <f>IF(名簿入力!H53="○","女",IF(名簿入力!G53="○","男",""))</f>
        <v/>
      </c>
      <c r="E34" s="1027">
        <f>名簿入力!I53</f>
        <v>0</v>
      </c>
      <c r="F34" s="1027">
        <f>名簿入力!M53</f>
        <v>0</v>
      </c>
      <c r="G34" s="1027">
        <f>名簿入力!R53</f>
        <v>0</v>
      </c>
      <c r="H34" s="1027">
        <f>名簿入力!W53</f>
        <v>0</v>
      </c>
      <c r="I34" s="1027">
        <f>名簿入力!AB53</f>
        <v>0</v>
      </c>
      <c r="J34" s="1027">
        <f>名簿入力!AG53</f>
        <v>0</v>
      </c>
      <c r="K34" s="1025">
        <f>名簿入力!AK53</f>
        <v>0</v>
      </c>
      <c r="L34" s="1032">
        <f>名簿入力!AK54</f>
        <v>0</v>
      </c>
      <c r="M34" s="265"/>
    </row>
    <row r="35" spans="1:13" ht="22.5" customHeight="1" x14ac:dyDescent="0.15">
      <c r="A35" s="246">
        <v>21</v>
      </c>
      <c r="B35" s="1022">
        <f>名簿入力!D55</f>
        <v>0</v>
      </c>
      <c r="C35" s="1023">
        <f>名簿入力!F55</f>
        <v>0</v>
      </c>
      <c r="D35" s="1024" t="str">
        <f>IF(名簿入力!H55="○","女",IF(名簿入力!G55="○","男",""))</f>
        <v/>
      </c>
      <c r="E35" s="1022">
        <f>名簿入力!I55</f>
        <v>0</v>
      </c>
      <c r="F35" s="1022">
        <f>名簿入力!M55</f>
        <v>0</v>
      </c>
      <c r="G35" s="1022">
        <f>名簿入力!R55</f>
        <v>0</v>
      </c>
      <c r="H35" s="1022">
        <f>名簿入力!W55</f>
        <v>0</v>
      </c>
      <c r="I35" s="1022">
        <f>名簿入力!AB55</f>
        <v>0</v>
      </c>
      <c r="J35" s="1022">
        <f>名簿入力!AG55</f>
        <v>0</v>
      </c>
      <c r="K35" s="1025">
        <f>名簿入力!AK55</f>
        <v>0</v>
      </c>
      <c r="L35" s="1032">
        <f>名簿入力!AK56</f>
        <v>0</v>
      </c>
      <c r="M35" s="265"/>
    </row>
    <row r="36" spans="1:13" ht="22.5" customHeight="1" x14ac:dyDescent="0.15">
      <c r="A36" s="246">
        <v>22</v>
      </c>
      <c r="B36" s="1027">
        <f>名簿入力!D57</f>
        <v>0</v>
      </c>
      <c r="C36" s="1028">
        <f>名簿入力!F57</f>
        <v>0</v>
      </c>
      <c r="D36" s="1029" t="str">
        <f>IF(名簿入力!H57="○","女",IF(名簿入力!G57="○","男",""))</f>
        <v/>
      </c>
      <c r="E36" s="1027">
        <f>名簿入力!I57</f>
        <v>0</v>
      </c>
      <c r="F36" s="1027">
        <f>名簿入力!M57</f>
        <v>0</v>
      </c>
      <c r="G36" s="1027">
        <f>名簿入力!R57</f>
        <v>0</v>
      </c>
      <c r="H36" s="1027">
        <f>名簿入力!W57</f>
        <v>0</v>
      </c>
      <c r="I36" s="1027">
        <f>名簿入力!AB57</f>
        <v>0</v>
      </c>
      <c r="J36" s="1027">
        <f>名簿入力!AG57</f>
        <v>0</v>
      </c>
      <c r="K36" s="1025">
        <f>名簿入力!AK57</f>
        <v>0</v>
      </c>
      <c r="L36" s="1032">
        <f>名簿入力!AK58</f>
        <v>0</v>
      </c>
      <c r="M36" s="265"/>
    </row>
    <row r="37" spans="1:13" ht="22.5" customHeight="1" x14ac:dyDescent="0.15">
      <c r="A37" s="246">
        <v>23</v>
      </c>
      <c r="B37" s="1022">
        <f>名簿入力!D59</f>
        <v>0</v>
      </c>
      <c r="C37" s="1023">
        <f>名簿入力!F59</f>
        <v>0</v>
      </c>
      <c r="D37" s="1024" t="str">
        <f>IF(名簿入力!H59="○","女",IF(名簿入力!G59="○","男",""))</f>
        <v/>
      </c>
      <c r="E37" s="1022">
        <f>名簿入力!I59</f>
        <v>0</v>
      </c>
      <c r="F37" s="1022">
        <f>名簿入力!M59</f>
        <v>0</v>
      </c>
      <c r="G37" s="1022">
        <f>名簿入力!R59</f>
        <v>0</v>
      </c>
      <c r="H37" s="1022">
        <f>名簿入力!W59</f>
        <v>0</v>
      </c>
      <c r="I37" s="1022">
        <f>名簿入力!AB59</f>
        <v>0</v>
      </c>
      <c r="J37" s="1022">
        <f>名簿入力!AG59</f>
        <v>0</v>
      </c>
      <c r="K37" s="1025">
        <f>名簿入力!AK59</f>
        <v>0</v>
      </c>
      <c r="L37" s="1032">
        <f>名簿入力!AK60</f>
        <v>0</v>
      </c>
      <c r="M37" s="265"/>
    </row>
    <row r="38" spans="1:13" ht="22.5" customHeight="1" x14ac:dyDescent="0.15">
      <c r="A38" s="246">
        <v>24</v>
      </c>
      <c r="B38" s="1027">
        <f>名簿入力!D61</f>
        <v>0</v>
      </c>
      <c r="C38" s="1028">
        <f>名簿入力!F61</f>
        <v>0</v>
      </c>
      <c r="D38" s="1029" t="str">
        <f>IF(名簿入力!H61="○","女",IF(名簿入力!G61="○","男",""))</f>
        <v/>
      </c>
      <c r="E38" s="1027">
        <f>名簿入力!I61</f>
        <v>0</v>
      </c>
      <c r="F38" s="1027">
        <f>名簿入力!M61</f>
        <v>0</v>
      </c>
      <c r="G38" s="1027">
        <f>名簿入力!R61</f>
        <v>0</v>
      </c>
      <c r="H38" s="1027">
        <f>名簿入力!W61</f>
        <v>0</v>
      </c>
      <c r="I38" s="1027">
        <f>名簿入力!AB61</f>
        <v>0</v>
      </c>
      <c r="J38" s="1027">
        <f>名簿入力!AG61</f>
        <v>0</v>
      </c>
      <c r="K38" s="1025">
        <f>名簿入力!AK61</f>
        <v>0</v>
      </c>
      <c r="L38" s="1032">
        <f>名簿入力!AK62</f>
        <v>0</v>
      </c>
      <c r="M38" s="265"/>
    </row>
    <row r="39" spans="1:13" ht="22.5" customHeight="1" x14ac:dyDescent="0.15">
      <c r="A39" s="246">
        <v>25</v>
      </c>
      <c r="B39" s="1022">
        <f>名簿入力!D63</f>
        <v>0</v>
      </c>
      <c r="C39" s="1023">
        <f>名簿入力!F63</f>
        <v>0</v>
      </c>
      <c r="D39" s="1024" t="str">
        <f>IF(名簿入力!H63="○","女",IF(名簿入力!G63="○","男",""))</f>
        <v/>
      </c>
      <c r="E39" s="1022">
        <f>名簿入力!I63</f>
        <v>0</v>
      </c>
      <c r="F39" s="1022">
        <f>名簿入力!M63</f>
        <v>0</v>
      </c>
      <c r="G39" s="1022">
        <f>名簿入力!R63</f>
        <v>0</v>
      </c>
      <c r="H39" s="1022">
        <f>名簿入力!W63</f>
        <v>0</v>
      </c>
      <c r="I39" s="1022">
        <f>名簿入力!AB63</f>
        <v>0</v>
      </c>
      <c r="J39" s="1022">
        <f>名簿入力!AG63</f>
        <v>0</v>
      </c>
      <c r="K39" s="1025">
        <f>名簿入力!AK63</f>
        <v>0</v>
      </c>
      <c r="L39" s="1032">
        <f>名簿入力!AK64</f>
        <v>0</v>
      </c>
      <c r="M39" s="265"/>
    </row>
    <row r="40" spans="1:13" ht="22.5" customHeight="1" x14ac:dyDescent="0.15">
      <c r="A40" s="246">
        <v>26</v>
      </c>
      <c r="B40" s="1027">
        <f>名簿入力!D65</f>
        <v>0</v>
      </c>
      <c r="C40" s="1028">
        <f>名簿入力!F65</f>
        <v>0</v>
      </c>
      <c r="D40" s="1029" t="str">
        <f>IF(名簿入力!H65="○","女",IF(名簿入力!G65="○","男",""))</f>
        <v/>
      </c>
      <c r="E40" s="1027">
        <f>名簿入力!I65</f>
        <v>0</v>
      </c>
      <c r="F40" s="1027">
        <f>名簿入力!M65</f>
        <v>0</v>
      </c>
      <c r="G40" s="1027">
        <f>名簿入力!R65</f>
        <v>0</v>
      </c>
      <c r="H40" s="1027">
        <f>名簿入力!W65</f>
        <v>0</v>
      </c>
      <c r="I40" s="1027">
        <f>名簿入力!AB65</f>
        <v>0</v>
      </c>
      <c r="J40" s="1027">
        <f>名簿入力!AG65</f>
        <v>0</v>
      </c>
      <c r="K40" s="1025">
        <f>名簿入力!AK65</f>
        <v>0</v>
      </c>
      <c r="L40" s="1032">
        <f>名簿入力!AK66</f>
        <v>0</v>
      </c>
      <c r="M40" s="265"/>
    </row>
    <row r="41" spans="1:13" ht="22.5" customHeight="1" x14ac:dyDescent="0.15">
      <c r="A41" s="246">
        <v>27</v>
      </c>
      <c r="B41" s="1022">
        <f>名簿入力!D67</f>
        <v>0</v>
      </c>
      <c r="C41" s="1023">
        <f>名簿入力!F67</f>
        <v>0</v>
      </c>
      <c r="D41" s="1024" t="str">
        <f>IF(名簿入力!H67="○","女",IF(名簿入力!G67="○","男",""))</f>
        <v/>
      </c>
      <c r="E41" s="1022">
        <f>名簿入力!I67</f>
        <v>0</v>
      </c>
      <c r="F41" s="1022">
        <f>名簿入力!M67</f>
        <v>0</v>
      </c>
      <c r="G41" s="1022">
        <f>名簿入力!R67</f>
        <v>0</v>
      </c>
      <c r="H41" s="1022">
        <f>名簿入力!W67</f>
        <v>0</v>
      </c>
      <c r="I41" s="1022">
        <f>名簿入力!AB67</f>
        <v>0</v>
      </c>
      <c r="J41" s="1022">
        <f>名簿入力!AG67</f>
        <v>0</v>
      </c>
      <c r="K41" s="1025">
        <f>名簿入力!AK67</f>
        <v>0</v>
      </c>
      <c r="L41" s="1032">
        <f>名簿入力!AK68</f>
        <v>0</v>
      </c>
      <c r="M41" s="265"/>
    </row>
    <row r="42" spans="1:13" ht="22.5" customHeight="1" x14ac:dyDescent="0.15">
      <c r="A42" s="246">
        <v>28</v>
      </c>
      <c r="B42" s="1027">
        <f>名簿入力!D69</f>
        <v>0</v>
      </c>
      <c r="C42" s="1028">
        <f>名簿入力!F69</f>
        <v>0</v>
      </c>
      <c r="D42" s="1029" t="str">
        <f>IF(名簿入力!H69="○","女",IF(名簿入力!G69="○","男",""))</f>
        <v/>
      </c>
      <c r="E42" s="1027">
        <f>名簿入力!I69</f>
        <v>0</v>
      </c>
      <c r="F42" s="1027">
        <f>名簿入力!M69</f>
        <v>0</v>
      </c>
      <c r="G42" s="1027">
        <f>名簿入力!R69</f>
        <v>0</v>
      </c>
      <c r="H42" s="1027">
        <f>名簿入力!W69</f>
        <v>0</v>
      </c>
      <c r="I42" s="1027">
        <f>名簿入力!AB69</f>
        <v>0</v>
      </c>
      <c r="J42" s="1027">
        <f>名簿入力!AG69</f>
        <v>0</v>
      </c>
      <c r="K42" s="1025">
        <f>名簿入力!AK69</f>
        <v>0</v>
      </c>
      <c r="L42" s="1032">
        <f>名簿入力!AK70</f>
        <v>0</v>
      </c>
      <c r="M42" s="265"/>
    </row>
    <row r="43" spans="1:13" ht="22.5" customHeight="1" x14ac:dyDescent="0.15">
      <c r="A43" s="246">
        <v>29</v>
      </c>
      <c r="B43" s="1022">
        <f>名簿入力!D71</f>
        <v>0</v>
      </c>
      <c r="C43" s="1023">
        <f>名簿入力!F71</f>
        <v>0</v>
      </c>
      <c r="D43" s="1024" t="str">
        <f>IF(名簿入力!H71="○","女",IF(名簿入力!G71="○","男",""))</f>
        <v/>
      </c>
      <c r="E43" s="1022">
        <f>名簿入力!I71</f>
        <v>0</v>
      </c>
      <c r="F43" s="1022">
        <f>名簿入力!M71</f>
        <v>0</v>
      </c>
      <c r="G43" s="1022">
        <f>名簿入力!R71</f>
        <v>0</v>
      </c>
      <c r="H43" s="1022">
        <f>名簿入力!W71</f>
        <v>0</v>
      </c>
      <c r="I43" s="1022">
        <f>名簿入力!AB71</f>
        <v>0</v>
      </c>
      <c r="J43" s="1022">
        <f>名簿入力!AG71</f>
        <v>0</v>
      </c>
      <c r="K43" s="1025">
        <f>名簿入力!AK71</f>
        <v>0</v>
      </c>
      <c r="L43" s="1032">
        <f>名簿入力!AK72</f>
        <v>0</v>
      </c>
      <c r="M43" s="265"/>
    </row>
    <row r="44" spans="1:13" ht="22.5" customHeight="1" x14ac:dyDescent="0.15">
      <c r="A44" s="246">
        <v>30</v>
      </c>
      <c r="B44" s="1027">
        <f>名簿入力!D73</f>
        <v>0</v>
      </c>
      <c r="C44" s="1028">
        <f>名簿入力!F73</f>
        <v>0</v>
      </c>
      <c r="D44" s="1029" t="str">
        <f>IF(名簿入力!H73="○","女",IF(名簿入力!G73="○","男",""))</f>
        <v/>
      </c>
      <c r="E44" s="1027">
        <f>名簿入力!I73</f>
        <v>0</v>
      </c>
      <c r="F44" s="1027">
        <f>名簿入力!M73</f>
        <v>0</v>
      </c>
      <c r="G44" s="1027">
        <f>名簿入力!R73</f>
        <v>0</v>
      </c>
      <c r="H44" s="1027">
        <f>名簿入力!W73</f>
        <v>0</v>
      </c>
      <c r="I44" s="1027">
        <f>名簿入力!AB73</f>
        <v>0</v>
      </c>
      <c r="J44" s="1027">
        <f>名簿入力!AG73</f>
        <v>0</v>
      </c>
      <c r="K44" s="1025">
        <f>名簿入力!AK73</f>
        <v>0</v>
      </c>
      <c r="L44" s="1032">
        <f>名簿入力!AK74</f>
        <v>0</v>
      </c>
      <c r="M44" s="265"/>
    </row>
    <row r="45" spans="1:13" ht="22.5" customHeight="1" x14ac:dyDescent="0.15">
      <c r="A45" s="246">
        <v>31</v>
      </c>
      <c r="B45" s="1022">
        <f>名簿入力!D75</f>
        <v>0</v>
      </c>
      <c r="C45" s="1023">
        <f>名簿入力!F75</f>
        <v>0</v>
      </c>
      <c r="D45" s="1024" t="str">
        <f>IF(名簿入力!H75="○","女",IF(名簿入力!G75="○","男",""))</f>
        <v/>
      </c>
      <c r="E45" s="1022">
        <f>名簿入力!I75</f>
        <v>0</v>
      </c>
      <c r="F45" s="1022">
        <f>名簿入力!M75</f>
        <v>0</v>
      </c>
      <c r="G45" s="1022">
        <f>名簿入力!R75</f>
        <v>0</v>
      </c>
      <c r="H45" s="1022">
        <f>名簿入力!W75</f>
        <v>0</v>
      </c>
      <c r="I45" s="1022">
        <f>名簿入力!AB75</f>
        <v>0</v>
      </c>
      <c r="J45" s="1022">
        <f>名簿入力!AG75</f>
        <v>0</v>
      </c>
      <c r="K45" s="1025">
        <f>名簿入力!AK75</f>
        <v>0</v>
      </c>
      <c r="L45" s="1032">
        <f>名簿入力!AK76</f>
        <v>0</v>
      </c>
      <c r="M45" s="265"/>
    </row>
    <row r="46" spans="1:13" ht="22.5" customHeight="1" x14ac:dyDescent="0.15">
      <c r="A46" s="246">
        <v>32</v>
      </c>
      <c r="B46" s="1027">
        <f>名簿入力!D77</f>
        <v>0</v>
      </c>
      <c r="C46" s="1028">
        <f>名簿入力!F77</f>
        <v>0</v>
      </c>
      <c r="D46" s="1029" t="str">
        <f>IF(名簿入力!H77="○","女",IF(名簿入力!G77="○","男",""))</f>
        <v/>
      </c>
      <c r="E46" s="1027">
        <f>名簿入力!I77</f>
        <v>0</v>
      </c>
      <c r="F46" s="1027">
        <f>名簿入力!M77</f>
        <v>0</v>
      </c>
      <c r="G46" s="1027">
        <f>名簿入力!R77</f>
        <v>0</v>
      </c>
      <c r="H46" s="1027">
        <f>名簿入力!W77</f>
        <v>0</v>
      </c>
      <c r="I46" s="1027">
        <f>名簿入力!AB77</f>
        <v>0</v>
      </c>
      <c r="J46" s="1027">
        <f>名簿入力!AG77</f>
        <v>0</v>
      </c>
      <c r="K46" s="1025">
        <f>名簿入力!AK77</f>
        <v>0</v>
      </c>
      <c r="L46" s="1032">
        <f>名簿入力!AK78</f>
        <v>0</v>
      </c>
      <c r="M46" s="265"/>
    </row>
    <row r="47" spans="1:13" ht="22.5" customHeight="1" x14ac:dyDescent="0.15">
      <c r="A47" s="246">
        <v>33</v>
      </c>
      <c r="B47" s="1022">
        <f>名簿入力!D79</f>
        <v>0</v>
      </c>
      <c r="C47" s="1023">
        <f>名簿入力!F79</f>
        <v>0</v>
      </c>
      <c r="D47" s="1024" t="str">
        <f>IF(名簿入力!H79="○","女",IF(名簿入力!G79="○","男",""))</f>
        <v/>
      </c>
      <c r="E47" s="1022">
        <f>名簿入力!I79</f>
        <v>0</v>
      </c>
      <c r="F47" s="1022">
        <f>名簿入力!M79</f>
        <v>0</v>
      </c>
      <c r="G47" s="1022">
        <f>名簿入力!R79</f>
        <v>0</v>
      </c>
      <c r="H47" s="1022">
        <f>名簿入力!W79</f>
        <v>0</v>
      </c>
      <c r="I47" s="1022">
        <f>名簿入力!AB79</f>
        <v>0</v>
      </c>
      <c r="J47" s="1022">
        <f>名簿入力!AG79</f>
        <v>0</v>
      </c>
      <c r="K47" s="1025">
        <f>名簿入力!AK79</f>
        <v>0</v>
      </c>
      <c r="L47" s="1032">
        <f>名簿入力!AK80</f>
        <v>0</v>
      </c>
      <c r="M47" s="265"/>
    </row>
    <row r="48" spans="1:13" ht="22.5" customHeight="1" x14ac:dyDescent="0.15">
      <c r="A48" s="246">
        <v>34</v>
      </c>
      <c r="B48" s="1027">
        <f>名簿入力!D81</f>
        <v>0</v>
      </c>
      <c r="C48" s="1028">
        <f>名簿入力!F81</f>
        <v>0</v>
      </c>
      <c r="D48" s="1029" t="str">
        <f>IF(名簿入力!H81="○","女",IF(名簿入力!G81="○","男",""))</f>
        <v/>
      </c>
      <c r="E48" s="1027">
        <f>名簿入力!I81</f>
        <v>0</v>
      </c>
      <c r="F48" s="1027">
        <f>名簿入力!M81</f>
        <v>0</v>
      </c>
      <c r="G48" s="1027">
        <f>名簿入力!R81</f>
        <v>0</v>
      </c>
      <c r="H48" s="1027">
        <f>名簿入力!W81</f>
        <v>0</v>
      </c>
      <c r="I48" s="1027">
        <f>名簿入力!AB81</f>
        <v>0</v>
      </c>
      <c r="J48" s="1027">
        <f>名簿入力!AG81</f>
        <v>0</v>
      </c>
      <c r="K48" s="1025">
        <f>名簿入力!AK81</f>
        <v>0</v>
      </c>
      <c r="L48" s="1032">
        <f>名簿入力!AK82</f>
        <v>0</v>
      </c>
      <c r="M48" s="265"/>
    </row>
    <row r="49" spans="1:13" ht="22.5" customHeight="1" x14ac:dyDescent="0.15">
      <c r="A49" s="246">
        <v>35</v>
      </c>
      <c r="B49" s="1022">
        <f>名簿入力!D83</f>
        <v>0</v>
      </c>
      <c r="C49" s="1023">
        <f>名簿入力!F83</f>
        <v>0</v>
      </c>
      <c r="D49" s="1024" t="str">
        <f>IF(名簿入力!H83="○","女",IF(名簿入力!G83="○","男",""))</f>
        <v/>
      </c>
      <c r="E49" s="1022">
        <f>名簿入力!I83</f>
        <v>0</v>
      </c>
      <c r="F49" s="1022">
        <f>名簿入力!M83</f>
        <v>0</v>
      </c>
      <c r="G49" s="1022">
        <f>名簿入力!R83</f>
        <v>0</v>
      </c>
      <c r="H49" s="1022">
        <f>名簿入力!W83</f>
        <v>0</v>
      </c>
      <c r="I49" s="1022">
        <f>名簿入力!AB83</f>
        <v>0</v>
      </c>
      <c r="J49" s="1022">
        <f>名簿入力!AG83</f>
        <v>0</v>
      </c>
      <c r="K49" s="1025">
        <f>名簿入力!AK83</f>
        <v>0</v>
      </c>
      <c r="L49" s="1032">
        <f>名簿入力!AK84</f>
        <v>0</v>
      </c>
      <c r="M49" s="265"/>
    </row>
    <row r="50" spans="1:13" ht="22.5" customHeight="1" x14ac:dyDescent="0.15">
      <c r="A50" s="246">
        <v>36</v>
      </c>
      <c r="B50" s="1027">
        <f>名簿入力!D85</f>
        <v>0</v>
      </c>
      <c r="C50" s="1028">
        <f>名簿入力!F85</f>
        <v>0</v>
      </c>
      <c r="D50" s="1029" t="str">
        <f>IF(名簿入力!H85="○","女",IF(名簿入力!G85="○","男",""))</f>
        <v/>
      </c>
      <c r="E50" s="1027">
        <f>名簿入力!I85</f>
        <v>0</v>
      </c>
      <c r="F50" s="1027">
        <f>名簿入力!M85</f>
        <v>0</v>
      </c>
      <c r="G50" s="1027">
        <f>名簿入力!R85</f>
        <v>0</v>
      </c>
      <c r="H50" s="1027">
        <f>名簿入力!W85</f>
        <v>0</v>
      </c>
      <c r="I50" s="1027">
        <f>名簿入力!AB85</f>
        <v>0</v>
      </c>
      <c r="J50" s="1027">
        <f>名簿入力!AG85</f>
        <v>0</v>
      </c>
      <c r="K50" s="1025">
        <f>名簿入力!AK85</f>
        <v>0</v>
      </c>
      <c r="L50" s="1032">
        <f>名簿入力!AK86</f>
        <v>0</v>
      </c>
      <c r="M50" s="265"/>
    </row>
    <row r="51" spans="1:13" ht="22.5" customHeight="1" x14ac:dyDescent="0.15">
      <c r="A51" s="246">
        <v>37</v>
      </c>
      <c r="B51" s="1022">
        <f>名簿入力!D87</f>
        <v>0</v>
      </c>
      <c r="C51" s="1023">
        <f>名簿入力!F87</f>
        <v>0</v>
      </c>
      <c r="D51" s="1024" t="str">
        <f>IF(名簿入力!H87="○","女",IF(名簿入力!G87="○","男",""))</f>
        <v/>
      </c>
      <c r="E51" s="1022">
        <f>名簿入力!I87</f>
        <v>0</v>
      </c>
      <c r="F51" s="1022">
        <f>名簿入力!M87</f>
        <v>0</v>
      </c>
      <c r="G51" s="1022">
        <f>名簿入力!R87</f>
        <v>0</v>
      </c>
      <c r="H51" s="1022">
        <f>名簿入力!W87</f>
        <v>0</v>
      </c>
      <c r="I51" s="1022">
        <f>名簿入力!AB87</f>
        <v>0</v>
      </c>
      <c r="J51" s="1022">
        <f>名簿入力!AG87</f>
        <v>0</v>
      </c>
      <c r="K51" s="1025">
        <f>名簿入力!AK87</f>
        <v>0</v>
      </c>
      <c r="L51" s="1032">
        <f>名簿入力!AK88</f>
        <v>0</v>
      </c>
      <c r="M51" s="265"/>
    </row>
    <row r="52" spans="1:13" ht="22.5" customHeight="1" x14ac:dyDescent="0.15">
      <c r="A52" s="246">
        <v>38</v>
      </c>
      <c r="B52" s="1027">
        <f>名簿入力!D89</f>
        <v>0</v>
      </c>
      <c r="C52" s="1028">
        <f>名簿入力!F89</f>
        <v>0</v>
      </c>
      <c r="D52" s="1029" t="str">
        <f>IF(名簿入力!H89="○","女",IF(名簿入力!G89="○","男",""))</f>
        <v/>
      </c>
      <c r="E52" s="1027">
        <f>名簿入力!I89</f>
        <v>0</v>
      </c>
      <c r="F52" s="1027">
        <f>名簿入力!M89</f>
        <v>0</v>
      </c>
      <c r="G52" s="1027">
        <f>名簿入力!R89</f>
        <v>0</v>
      </c>
      <c r="H52" s="1027">
        <f>名簿入力!W89</f>
        <v>0</v>
      </c>
      <c r="I52" s="1027">
        <f>名簿入力!AB89</f>
        <v>0</v>
      </c>
      <c r="J52" s="1027">
        <f>名簿入力!AG89</f>
        <v>0</v>
      </c>
      <c r="K52" s="1025">
        <f>名簿入力!AK89</f>
        <v>0</v>
      </c>
      <c r="L52" s="1032">
        <f>名簿入力!AK90</f>
        <v>0</v>
      </c>
      <c r="M52" s="265"/>
    </row>
    <row r="53" spans="1:13" ht="22.5" customHeight="1" x14ac:dyDescent="0.15">
      <c r="A53" s="246">
        <v>39</v>
      </c>
      <c r="B53" s="1022">
        <f>名簿入力!D91</f>
        <v>0</v>
      </c>
      <c r="C53" s="1023">
        <f>名簿入力!F91</f>
        <v>0</v>
      </c>
      <c r="D53" s="1024" t="str">
        <f>IF(名簿入力!H91="○","女",IF(名簿入力!G91="○","男",""))</f>
        <v/>
      </c>
      <c r="E53" s="1022">
        <f>名簿入力!I91</f>
        <v>0</v>
      </c>
      <c r="F53" s="1022">
        <f>名簿入力!M91</f>
        <v>0</v>
      </c>
      <c r="G53" s="1022">
        <f>名簿入力!R91</f>
        <v>0</v>
      </c>
      <c r="H53" s="1022">
        <f>名簿入力!W91</f>
        <v>0</v>
      </c>
      <c r="I53" s="1022">
        <f>名簿入力!AB91</f>
        <v>0</v>
      </c>
      <c r="J53" s="1022">
        <f>名簿入力!AG91</f>
        <v>0</v>
      </c>
      <c r="K53" s="1025">
        <f>名簿入力!AK91</f>
        <v>0</v>
      </c>
      <c r="L53" s="1032">
        <f>名簿入力!AK92</f>
        <v>0</v>
      </c>
      <c r="M53" s="265"/>
    </row>
    <row r="54" spans="1:13" ht="22.5" customHeight="1" x14ac:dyDescent="0.15">
      <c r="A54" s="246">
        <v>40</v>
      </c>
      <c r="B54" s="1027">
        <f>名簿入力!D93</f>
        <v>0</v>
      </c>
      <c r="C54" s="1028">
        <f>名簿入力!F93</f>
        <v>0</v>
      </c>
      <c r="D54" s="1029" t="str">
        <f>IF(名簿入力!H93="○","女",IF(名簿入力!G93="○","男",""))</f>
        <v/>
      </c>
      <c r="E54" s="1027">
        <f>名簿入力!I93</f>
        <v>0</v>
      </c>
      <c r="F54" s="1027">
        <f>名簿入力!M93</f>
        <v>0</v>
      </c>
      <c r="G54" s="1027">
        <f>名簿入力!R93</f>
        <v>0</v>
      </c>
      <c r="H54" s="1027">
        <f>名簿入力!W93</f>
        <v>0</v>
      </c>
      <c r="I54" s="1027">
        <f>名簿入力!AB93</f>
        <v>0</v>
      </c>
      <c r="J54" s="1027">
        <f>名簿入力!AG93</f>
        <v>0</v>
      </c>
      <c r="K54" s="1025">
        <f>名簿入力!AK93</f>
        <v>0</v>
      </c>
      <c r="L54" s="1032">
        <f>名簿入力!AK94</f>
        <v>0</v>
      </c>
      <c r="M54" s="265"/>
    </row>
    <row r="55" spans="1:13" ht="22.5" customHeight="1" x14ac:dyDescent="0.15">
      <c r="A55" s="246">
        <v>41</v>
      </c>
      <c r="B55" s="1022">
        <f>名簿入力!D95</f>
        <v>0</v>
      </c>
      <c r="C55" s="1023">
        <f>名簿入力!F95</f>
        <v>0</v>
      </c>
      <c r="D55" s="1024" t="str">
        <f>IF(名簿入力!H95="○","女",IF(名簿入力!G95="○","男",""))</f>
        <v/>
      </c>
      <c r="E55" s="1022">
        <f>名簿入力!I95</f>
        <v>0</v>
      </c>
      <c r="F55" s="1022">
        <f>名簿入力!M95</f>
        <v>0</v>
      </c>
      <c r="G55" s="1022">
        <f>名簿入力!R95</f>
        <v>0</v>
      </c>
      <c r="H55" s="1022">
        <f>名簿入力!W95</f>
        <v>0</v>
      </c>
      <c r="I55" s="1022">
        <f>名簿入力!AB95</f>
        <v>0</v>
      </c>
      <c r="J55" s="1022">
        <f>名簿入力!AG95</f>
        <v>0</v>
      </c>
      <c r="K55" s="1025">
        <f>名簿入力!AK95</f>
        <v>0</v>
      </c>
      <c r="L55" s="1032">
        <f>名簿入力!AK96</f>
        <v>0</v>
      </c>
      <c r="M55" s="265"/>
    </row>
    <row r="56" spans="1:13" ht="22.5" customHeight="1" x14ac:dyDescent="0.15">
      <c r="A56" s="246">
        <v>42</v>
      </c>
      <c r="B56" s="1027">
        <f>名簿入力!D97</f>
        <v>0</v>
      </c>
      <c r="C56" s="1028">
        <f>名簿入力!F97</f>
        <v>0</v>
      </c>
      <c r="D56" s="1029" t="str">
        <f>IF(名簿入力!H97="○","女",IF(名簿入力!G97="○","男",""))</f>
        <v/>
      </c>
      <c r="E56" s="1027">
        <f>名簿入力!I97</f>
        <v>0</v>
      </c>
      <c r="F56" s="1027">
        <f>名簿入力!M97</f>
        <v>0</v>
      </c>
      <c r="G56" s="1027">
        <f>名簿入力!R97</f>
        <v>0</v>
      </c>
      <c r="H56" s="1027">
        <f>名簿入力!W97</f>
        <v>0</v>
      </c>
      <c r="I56" s="1027">
        <f>名簿入力!AB97</f>
        <v>0</v>
      </c>
      <c r="J56" s="1027">
        <f>名簿入力!AG97</f>
        <v>0</v>
      </c>
      <c r="K56" s="1025">
        <f>名簿入力!AK97</f>
        <v>0</v>
      </c>
      <c r="L56" s="1032">
        <f>名簿入力!AK98</f>
        <v>0</v>
      </c>
      <c r="M56" s="265"/>
    </row>
    <row r="57" spans="1:13" ht="22.5" customHeight="1" x14ac:dyDescent="0.15">
      <c r="A57" s="246">
        <v>43</v>
      </c>
      <c r="B57" s="1022">
        <f>名簿入力!D99</f>
        <v>0</v>
      </c>
      <c r="C57" s="1023">
        <f>名簿入力!F99</f>
        <v>0</v>
      </c>
      <c r="D57" s="1024" t="str">
        <f>IF(名簿入力!H99="○","女",IF(名簿入力!G99="○","男",""))</f>
        <v/>
      </c>
      <c r="E57" s="1022">
        <f>名簿入力!I99</f>
        <v>0</v>
      </c>
      <c r="F57" s="1022">
        <f>名簿入力!M99</f>
        <v>0</v>
      </c>
      <c r="G57" s="1022">
        <f>名簿入力!R99</f>
        <v>0</v>
      </c>
      <c r="H57" s="1022">
        <f>名簿入力!W99</f>
        <v>0</v>
      </c>
      <c r="I57" s="1022">
        <f>名簿入力!AB99</f>
        <v>0</v>
      </c>
      <c r="J57" s="1022">
        <f>名簿入力!AG99</f>
        <v>0</v>
      </c>
      <c r="K57" s="1025">
        <f>名簿入力!AK99</f>
        <v>0</v>
      </c>
      <c r="L57" s="1032">
        <f>名簿入力!AK100</f>
        <v>0</v>
      </c>
      <c r="M57" s="265"/>
    </row>
    <row r="58" spans="1:13" ht="22.5" customHeight="1" x14ac:dyDescent="0.15">
      <c r="A58" s="246">
        <v>44</v>
      </c>
      <c r="B58" s="1027">
        <f>名簿入力!D101</f>
        <v>0</v>
      </c>
      <c r="C58" s="1028">
        <f>名簿入力!F101</f>
        <v>0</v>
      </c>
      <c r="D58" s="1029" t="str">
        <f>IF(名簿入力!H101="○","女",IF(名簿入力!G101="○","男",""))</f>
        <v/>
      </c>
      <c r="E58" s="1027">
        <f>名簿入力!I101</f>
        <v>0</v>
      </c>
      <c r="F58" s="1027">
        <f>名簿入力!M101</f>
        <v>0</v>
      </c>
      <c r="G58" s="1027">
        <f>名簿入力!R101</f>
        <v>0</v>
      </c>
      <c r="H58" s="1027">
        <f>名簿入力!W101</f>
        <v>0</v>
      </c>
      <c r="I58" s="1027">
        <f>名簿入力!AB101</f>
        <v>0</v>
      </c>
      <c r="J58" s="1027">
        <f>名簿入力!AG101</f>
        <v>0</v>
      </c>
      <c r="K58" s="1025">
        <f>名簿入力!AK101</f>
        <v>0</v>
      </c>
      <c r="L58" s="1032">
        <f>名簿入力!AK102</f>
        <v>0</v>
      </c>
      <c r="M58" s="265"/>
    </row>
    <row r="59" spans="1:13" ht="22.5" customHeight="1" x14ac:dyDescent="0.15">
      <c r="A59" s="246">
        <v>45</v>
      </c>
      <c r="B59" s="1022">
        <f>名簿入力!D103</f>
        <v>0</v>
      </c>
      <c r="C59" s="1023">
        <f>名簿入力!F103</f>
        <v>0</v>
      </c>
      <c r="D59" s="1024" t="str">
        <f>IF(名簿入力!H103="○","女",IF(名簿入力!G103="○","男",""))</f>
        <v/>
      </c>
      <c r="E59" s="1022">
        <f>名簿入力!I103</f>
        <v>0</v>
      </c>
      <c r="F59" s="1022">
        <f>名簿入力!M103</f>
        <v>0</v>
      </c>
      <c r="G59" s="1022">
        <f>名簿入力!R103</f>
        <v>0</v>
      </c>
      <c r="H59" s="1022">
        <f>名簿入力!W103</f>
        <v>0</v>
      </c>
      <c r="I59" s="1022">
        <f>名簿入力!AB103</f>
        <v>0</v>
      </c>
      <c r="J59" s="1022">
        <f>名簿入力!AG103</f>
        <v>0</v>
      </c>
      <c r="K59" s="1025">
        <f>名簿入力!AK103</f>
        <v>0</v>
      </c>
      <c r="L59" s="1032">
        <f>名簿入力!AK104</f>
        <v>0</v>
      </c>
      <c r="M59" s="265"/>
    </row>
    <row r="60" spans="1:13" ht="22.5" customHeight="1" x14ac:dyDescent="0.15">
      <c r="A60" s="246">
        <v>46</v>
      </c>
      <c r="B60" s="1027">
        <f>名簿入力!D105</f>
        <v>0</v>
      </c>
      <c r="C60" s="1028">
        <f>名簿入力!F105</f>
        <v>0</v>
      </c>
      <c r="D60" s="1029" t="str">
        <f>IF(名簿入力!H105="○","女",IF(名簿入力!G105="○","男",""))</f>
        <v/>
      </c>
      <c r="E60" s="1027">
        <f>名簿入力!I105</f>
        <v>0</v>
      </c>
      <c r="F60" s="1027">
        <f>名簿入力!M105</f>
        <v>0</v>
      </c>
      <c r="G60" s="1027">
        <f>名簿入力!R105</f>
        <v>0</v>
      </c>
      <c r="H60" s="1027">
        <f>名簿入力!W105</f>
        <v>0</v>
      </c>
      <c r="I60" s="1027">
        <f>名簿入力!AB105</f>
        <v>0</v>
      </c>
      <c r="J60" s="1027">
        <f>名簿入力!AG105</f>
        <v>0</v>
      </c>
      <c r="K60" s="1025">
        <f>名簿入力!AK105</f>
        <v>0</v>
      </c>
      <c r="L60" s="1032">
        <f>名簿入力!AK106</f>
        <v>0</v>
      </c>
      <c r="M60" s="265"/>
    </row>
    <row r="61" spans="1:13" ht="22.5" customHeight="1" x14ac:dyDescent="0.15">
      <c r="A61" s="246">
        <v>47</v>
      </c>
      <c r="B61" s="1022">
        <f>名簿入力!D107</f>
        <v>0</v>
      </c>
      <c r="C61" s="1023">
        <f>名簿入力!F107</f>
        <v>0</v>
      </c>
      <c r="D61" s="1024" t="str">
        <f>IF(名簿入力!H107="○","女",IF(名簿入力!G107="○","男",""))</f>
        <v/>
      </c>
      <c r="E61" s="1022">
        <f>名簿入力!I107</f>
        <v>0</v>
      </c>
      <c r="F61" s="1022">
        <f>名簿入力!M107</f>
        <v>0</v>
      </c>
      <c r="G61" s="1022">
        <f>名簿入力!R107</f>
        <v>0</v>
      </c>
      <c r="H61" s="1022">
        <f>名簿入力!W107</f>
        <v>0</v>
      </c>
      <c r="I61" s="1022">
        <f>名簿入力!AB107</f>
        <v>0</v>
      </c>
      <c r="J61" s="1022">
        <f>名簿入力!AG107</f>
        <v>0</v>
      </c>
      <c r="K61" s="1025">
        <f>名簿入力!AK107</f>
        <v>0</v>
      </c>
      <c r="L61" s="1032">
        <f>名簿入力!AK108</f>
        <v>0</v>
      </c>
      <c r="M61" s="265"/>
    </row>
    <row r="62" spans="1:13" ht="22.5" customHeight="1" x14ac:dyDescent="0.15">
      <c r="A62" s="246">
        <v>48</v>
      </c>
      <c r="B62" s="1027">
        <f>名簿入力!D109</f>
        <v>0</v>
      </c>
      <c r="C62" s="1028">
        <f>名簿入力!F109</f>
        <v>0</v>
      </c>
      <c r="D62" s="1029" t="str">
        <f>IF(名簿入力!H109="○","女",IF(名簿入力!G109="○","男",""))</f>
        <v/>
      </c>
      <c r="E62" s="1027">
        <f>名簿入力!I109</f>
        <v>0</v>
      </c>
      <c r="F62" s="1027">
        <f>名簿入力!M109</f>
        <v>0</v>
      </c>
      <c r="G62" s="1027">
        <f>名簿入力!R109</f>
        <v>0</v>
      </c>
      <c r="H62" s="1027">
        <f>名簿入力!W109</f>
        <v>0</v>
      </c>
      <c r="I62" s="1027">
        <f>名簿入力!AB109</f>
        <v>0</v>
      </c>
      <c r="J62" s="1027">
        <f>名簿入力!AG109</f>
        <v>0</v>
      </c>
      <c r="K62" s="1025">
        <f>名簿入力!AK109</f>
        <v>0</v>
      </c>
      <c r="L62" s="1032">
        <f>名簿入力!AK110</f>
        <v>0</v>
      </c>
      <c r="M62" s="265"/>
    </row>
    <row r="63" spans="1:13" ht="22.5" customHeight="1" x14ac:dyDescent="0.15">
      <c r="A63" s="246">
        <v>49</v>
      </c>
      <c r="B63" s="1022">
        <f>名簿入力!D111</f>
        <v>0</v>
      </c>
      <c r="C63" s="1023">
        <f>名簿入力!F111</f>
        <v>0</v>
      </c>
      <c r="D63" s="1024" t="str">
        <f>IF(名簿入力!H111="○","女",IF(名簿入力!G111="○","男",""))</f>
        <v/>
      </c>
      <c r="E63" s="1022">
        <f>名簿入力!I111</f>
        <v>0</v>
      </c>
      <c r="F63" s="1022">
        <f>名簿入力!M111</f>
        <v>0</v>
      </c>
      <c r="G63" s="1022">
        <f>名簿入力!R111</f>
        <v>0</v>
      </c>
      <c r="H63" s="1022">
        <f>名簿入力!W111</f>
        <v>0</v>
      </c>
      <c r="I63" s="1022">
        <f>名簿入力!AB111</f>
        <v>0</v>
      </c>
      <c r="J63" s="1022">
        <f>名簿入力!AG111</f>
        <v>0</v>
      </c>
      <c r="K63" s="1025">
        <f>名簿入力!AK111</f>
        <v>0</v>
      </c>
      <c r="L63" s="1032">
        <f>名簿入力!AK112</f>
        <v>0</v>
      </c>
      <c r="M63" s="265"/>
    </row>
    <row r="64" spans="1:13" ht="22.5" customHeight="1" x14ac:dyDescent="0.15">
      <c r="A64" s="246">
        <v>50</v>
      </c>
      <c r="B64" s="1027">
        <f>名簿入力!D113</f>
        <v>0</v>
      </c>
      <c r="C64" s="1028">
        <f>名簿入力!F113</f>
        <v>0</v>
      </c>
      <c r="D64" s="1029" t="str">
        <f>IF(名簿入力!H113="○","女",IF(名簿入力!G113="○","男",""))</f>
        <v/>
      </c>
      <c r="E64" s="1027">
        <f>名簿入力!I113</f>
        <v>0</v>
      </c>
      <c r="F64" s="1027">
        <f>名簿入力!M113</f>
        <v>0</v>
      </c>
      <c r="G64" s="1027">
        <f>名簿入力!R113</f>
        <v>0</v>
      </c>
      <c r="H64" s="1027">
        <f>名簿入力!W113</f>
        <v>0</v>
      </c>
      <c r="I64" s="1027">
        <f>名簿入力!AB113</f>
        <v>0</v>
      </c>
      <c r="J64" s="1027">
        <f>名簿入力!AG113</f>
        <v>0</v>
      </c>
      <c r="K64" s="1025">
        <f>名簿入力!AK113</f>
        <v>0</v>
      </c>
      <c r="L64" s="1032">
        <f>名簿入力!AK114</f>
        <v>0</v>
      </c>
      <c r="M64" s="265"/>
    </row>
    <row r="65" spans="1:13" ht="22.5" customHeight="1" x14ac:dyDescent="0.15">
      <c r="A65" s="246">
        <v>51</v>
      </c>
      <c r="B65" s="1022">
        <f>名簿入力!D115</f>
        <v>0</v>
      </c>
      <c r="C65" s="1023">
        <f>名簿入力!F115</f>
        <v>0</v>
      </c>
      <c r="D65" s="1024" t="str">
        <f>IF(名簿入力!H115="○","女",IF(名簿入力!G115="○","男",""))</f>
        <v/>
      </c>
      <c r="E65" s="1022">
        <f>名簿入力!I115</f>
        <v>0</v>
      </c>
      <c r="F65" s="1022">
        <f>名簿入力!M115</f>
        <v>0</v>
      </c>
      <c r="G65" s="1022">
        <f>名簿入力!R115</f>
        <v>0</v>
      </c>
      <c r="H65" s="1022">
        <f>名簿入力!W115</f>
        <v>0</v>
      </c>
      <c r="I65" s="1022">
        <f>名簿入力!AB115</f>
        <v>0</v>
      </c>
      <c r="J65" s="1022">
        <f>名簿入力!AG115</f>
        <v>0</v>
      </c>
      <c r="K65" s="1025">
        <f>名簿入力!AK115</f>
        <v>0</v>
      </c>
      <c r="L65" s="1032">
        <f>名簿入力!AK116</f>
        <v>0</v>
      </c>
      <c r="M65" s="265"/>
    </row>
    <row r="66" spans="1:13" ht="22.5" customHeight="1" x14ac:dyDescent="0.15">
      <c r="A66" s="246">
        <v>52</v>
      </c>
      <c r="B66" s="1027">
        <f>名簿入力!D117</f>
        <v>0</v>
      </c>
      <c r="C66" s="1028">
        <f>名簿入力!F117</f>
        <v>0</v>
      </c>
      <c r="D66" s="1029" t="str">
        <f>IF(名簿入力!H117="○","女",IF(名簿入力!G117="○","男",""))</f>
        <v/>
      </c>
      <c r="E66" s="1027">
        <f>名簿入力!I117</f>
        <v>0</v>
      </c>
      <c r="F66" s="1027">
        <f>名簿入力!M117</f>
        <v>0</v>
      </c>
      <c r="G66" s="1027">
        <f>名簿入力!R117</f>
        <v>0</v>
      </c>
      <c r="H66" s="1027">
        <f>名簿入力!W117</f>
        <v>0</v>
      </c>
      <c r="I66" s="1027">
        <f>名簿入力!AB117</f>
        <v>0</v>
      </c>
      <c r="J66" s="1027">
        <f>名簿入力!AG117</f>
        <v>0</v>
      </c>
      <c r="K66" s="1025">
        <f>名簿入力!AK117</f>
        <v>0</v>
      </c>
      <c r="L66" s="1032">
        <f>名簿入力!AK118</f>
        <v>0</v>
      </c>
      <c r="M66" s="265"/>
    </row>
    <row r="67" spans="1:13" ht="22.5" customHeight="1" x14ac:dyDescent="0.15">
      <c r="A67" s="246">
        <v>53</v>
      </c>
      <c r="B67" s="1022">
        <f>名簿入力!D119</f>
        <v>0</v>
      </c>
      <c r="C67" s="1023">
        <f>名簿入力!F119</f>
        <v>0</v>
      </c>
      <c r="D67" s="1024" t="str">
        <f>IF(名簿入力!H119="○","女",IF(名簿入力!G119="○","男",""))</f>
        <v/>
      </c>
      <c r="E67" s="1022">
        <f>名簿入力!I119</f>
        <v>0</v>
      </c>
      <c r="F67" s="1022">
        <f>名簿入力!M119</f>
        <v>0</v>
      </c>
      <c r="G67" s="1022">
        <f>名簿入力!R119</f>
        <v>0</v>
      </c>
      <c r="H67" s="1022">
        <f>名簿入力!W119</f>
        <v>0</v>
      </c>
      <c r="I67" s="1022">
        <f>名簿入力!AB119</f>
        <v>0</v>
      </c>
      <c r="J67" s="1022">
        <f>名簿入力!AG119</f>
        <v>0</v>
      </c>
      <c r="K67" s="1025">
        <f>名簿入力!AK119</f>
        <v>0</v>
      </c>
      <c r="L67" s="1032">
        <f>名簿入力!AK120</f>
        <v>0</v>
      </c>
      <c r="M67" s="265"/>
    </row>
    <row r="68" spans="1:13" ht="22.5" customHeight="1" x14ac:dyDescent="0.15">
      <c r="A68" s="246">
        <v>54</v>
      </c>
      <c r="B68" s="1027">
        <f>名簿入力!D121</f>
        <v>0</v>
      </c>
      <c r="C68" s="1028">
        <f>名簿入力!F121</f>
        <v>0</v>
      </c>
      <c r="D68" s="1029" t="str">
        <f>IF(名簿入力!H121="○","女",IF(名簿入力!G121="○","男",""))</f>
        <v/>
      </c>
      <c r="E68" s="1027">
        <f>名簿入力!I121</f>
        <v>0</v>
      </c>
      <c r="F68" s="1027">
        <f>名簿入力!M121</f>
        <v>0</v>
      </c>
      <c r="G68" s="1027">
        <f>名簿入力!R121</f>
        <v>0</v>
      </c>
      <c r="H68" s="1027">
        <f>名簿入力!W121</f>
        <v>0</v>
      </c>
      <c r="I68" s="1027">
        <f>名簿入力!AB121</f>
        <v>0</v>
      </c>
      <c r="J68" s="1027">
        <f>名簿入力!AG121</f>
        <v>0</v>
      </c>
      <c r="K68" s="1025">
        <f>名簿入力!AK121</f>
        <v>0</v>
      </c>
      <c r="L68" s="1032">
        <f>名簿入力!AK122</f>
        <v>0</v>
      </c>
      <c r="M68" s="265"/>
    </row>
    <row r="69" spans="1:13" ht="22.5" customHeight="1" x14ac:dyDescent="0.15">
      <c r="A69" s="246">
        <v>55</v>
      </c>
      <c r="B69" s="1022">
        <f>名簿入力!D123</f>
        <v>0</v>
      </c>
      <c r="C69" s="1023">
        <f>名簿入力!F123</f>
        <v>0</v>
      </c>
      <c r="D69" s="1024" t="str">
        <f>IF(名簿入力!H123="○","女",IF(名簿入力!G123="○","男",""))</f>
        <v/>
      </c>
      <c r="E69" s="1022">
        <f>名簿入力!I123</f>
        <v>0</v>
      </c>
      <c r="F69" s="1022">
        <f>名簿入力!M123</f>
        <v>0</v>
      </c>
      <c r="G69" s="1022">
        <f>名簿入力!R123</f>
        <v>0</v>
      </c>
      <c r="H69" s="1022">
        <f>名簿入力!W123</f>
        <v>0</v>
      </c>
      <c r="I69" s="1022">
        <f>名簿入力!AB123</f>
        <v>0</v>
      </c>
      <c r="J69" s="1022">
        <f>名簿入力!AG123</f>
        <v>0</v>
      </c>
      <c r="K69" s="1025">
        <f>名簿入力!AK123</f>
        <v>0</v>
      </c>
      <c r="L69" s="1032">
        <f>名簿入力!AK124</f>
        <v>0</v>
      </c>
      <c r="M69" s="265"/>
    </row>
    <row r="70" spans="1:13" ht="22.5" customHeight="1" x14ac:dyDescent="0.15">
      <c r="A70" s="246">
        <v>56</v>
      </c>
      <c r="B70" s="1027">
        <f>名簿入力!D125</f>
        <v>0</v>
      </c>
      <c r="C70" s="1028">
        <f>名簿入力!F125</f>
        <v>0</v>
      </c>
      <c r="D70" s="1029" t="str">
        <f>IF(名簿入力!H125="○","女",IF(名簿入力!G125="○","男",""))</f>
        <v/>
      </c>
      <c r="E70" s="1027">
        <f>名簿入力!I125</f>
        <v>0</v>
      </c>
      <c r="F70" s="1027">
        <f>名簿入力!M125</f>
        <v>0</v>
      </c>
      <c r="G70" s="1027">
        <f>名簿入力!R125</f>
        <v>0</v>
      </c>
      <c r="H70" s="1027">
        <f>名簿入力!W125</f>
        <v>0</v>
      </c>
      <c r="I70" s="1027">
        <f>名簿入力!AB125</f>
        <v>0</v>
      </c>
      <c r="J70" s="1027">
        <f>名簿入力!AG125</f>
        <v>0</v>
      </c>
      <c r="K70" s="1025">
        <f>名簿入力!AK125</f>
        <v>0</v>
      </c>
      <c r="L70" s="1032">
        <f>名簿入力!AK126</f>
        <v>0</v>
      </c>
      <c r="M70" s="265"/>
    </row>
    <row r="71" spans="1:13" ht="22.5" customHeight="1" x14ac:dyDescent="0.15">
      <c r="A71" s="246">
        <v>57</v>
      </c>
      <c r="B71" s="1022">
        <f>名簿入力!D127</f>
        <v>0</v>
      </c>
      <c r="C71" s="1023">
        <f>名簿入力!F127</f>
        <v>0</v>
      </c>
      <c r="D71" s="1024" t="str">
        <f>IF(名簿入力!H127="○","女",IF(名簿入力!G127="○","男",""))</f>
        <v/>
      </c>
      <c r="E71" s="1022">
        <f>名簿入力!I127</f>
        <v>0</v>
      </c>
      <c r="F71" s="1022">
        <f>名簿入力!M127</f>
        <v>0</v>
      </c>
      <c r="G71" s="1022">
        <f>名簿入力!R127</f>
        <v>0</v>
      </c>
      <c r="H71" s="1022">
        <f>名簿入力!W127</f>
        <v>0</v>
      </c>
      <c r="I71" s="1022">
        <f>名簿入力!AB127</f>
        <v>0</v>
      </c>
      <c r="J71" s="1022">
        <f>名簿入力!AG127</f>
        <v>0</v>
      </c>
      <c r="K71" s="1025">
        <f>名簿入力!AK127</f>
        <v>0</v>
      </c>
      <c r="L71" s="1032">
        <f>名簿入力!AK128</f>
        <v>0</v>
      </c>
      <c r="M71" s="265"/>
    </row>
    <row r="72" spans="1:13" ht="22.5" customHeight="1" x14ac:dyDescent="0.15">
      <c r="A72" s="246">
        <v>58</v>
      </c>
      <c r="B72" s="1027">
        <f>名簿入力!D129</f>
        <v>0</v>
      </c>
      <c r="C72" s="1028">
        <f>名簿入力!F129</f>
        <v>0</v>
      </c>
      <c r="D72" s="1029" t="str">
        <f>IF(名簿入力!H129="○","女",IF(名簿入力!G129="○","男",""))</f>
        <v/>
      </c>
      <c r="E72" s="1027">
        <f>名簿入力!I129</f>
        <v>0</v>
      </c>
      <c r="F72" s="1027">
        <f>名簿入力!M129</f>
        <v>0</v>
      </c>
      <c r="G72" s="1027">
        <f>名簿入力!R129</f>
        <v>0</v>
      </c>
      <c r="H72" s="1027">
        <f>名簿入力!W129</f>
        <v>0</v>
      </c>
      <c r="I72" s="1027">
        <f>名簿入力!AB129</f>
        <v>0</v>
      </c>
      <c r="J72" s="1027">
        <f>名簿入力!AG129</f>
        <v>0</v>
      </c>
      <c r="K72" s="1025">
        <f>名簿入力!AK129</f>
        <v>0</v>
      </c>
      <c r="L72" s="1032">
        <f>名簿入力!AK130</f>
        <v>0</v>
      </c>
      <c r="M72" s="265"/>
    </row>
    <row r="73" spans="1:13" ht="22.5" customHeight="1" x14ac:dyDescent="0.15">
      <c r="A73" s="246">
        <v>59</v>
      </c>
      <c r="B73" s="1022">
        <f>名簿入力!D131</f>
        <v>0</v>
      </c>
      <c r="C73" s="1023">
        <f>名簿入力!F131</f>
        <v>0</v>
      </c>
      <c r="D73" s="1024" t="str">
        <f>IF(名簿入力!H131="○","女",IF(名簿入力!G131="○","男",""))</f>
        <v/>
      </c>
      <c r="E73" s="1022">
        <f>名簿入力!I131</f>
        <v>0</v>
      </c>
      <c r="F73" s="1022">
        <f>名簿入力!M131</f>
        <v>0</v>
      </c>
      <c r="G73" s="1022">
        <f>名簿入力!R131</f>
        <v>0</v>
      </c>
      <c r="H73" s="1022">
        <f>名簿入力!W131</f>
        <v>0</v>
      </c>
      <c r="I73" s="1022">
        <f>名簿入力!AB131</f>
        <v>0</v>
      </c>
      <c r="J73" s="1022">
        <f>名簿入力!AG131</f>
        <v>0</v>
      </c>
      <c r="K73" s="1025">
        <f>名簿入力!AK131</f>
        <v>0</v>
      </c>
      <c r="L73" s="1032">
        <f>名簿入力!AK132</f>
        <v>0</v>
      </c>
      <c r="M73" s="265"/>
    </row>
    <row r="74" spans="1:13" ht="22.5" customHeight="1" x14ac:dyDescent="0.15">
      <c r="A74" s="246">
        <v>60</v>
      </c>
      <c r="B74" s="1027">
        <f>名簿入力!D133</f>
        <v>0</v>
      </c>
      <c r="C74" s="1028">
        <f>名簿入力!F133</f>
        <v>0</v>
      </c>
      <c r="D74" s="1029" t="str">
        <f>IF(名簿入力!H133="○","女",IF(名簿入力!G133="○","男",""))</f>
        <v/>
      </c>
      <c r="E74" s="1027">
        <f>名簿入力!I133</f>
        <v>0</v>
      </c>
      <c r="F74" s="1027">
        <f>名簿入力!M133</f>
        <v>0</v>
      </c>
      <c r="G74" s="1027">
        <f>名簿入力!R133</f>
        <v>0</v>
      </c>
      <c r="H74" s="1027">
        <f>名簿入力!W133</f>
        <v>0</v>
      </c>
      <c r="I74" s="1027">
        <f>名簿入力!AB133</f>
        <v>0</v>
      </c>
      <c r="J74" s="1027">
        <f>名簿入力!AG133</f>
        <v>0</v>
      </c>
      <c r="K74" s="1025">
        <f>名簿入力!AK133</f>
        <v>0</v>
      </c>
      <c r="L74" s="1032">
        <f>名簿入力!AK134</f>
        <v>0</v>
      </c>
      <c r="M74" s="265"/>
    </row>
    <row r="75" spans="1:13" ht="22.5" customHeight="1" x14ac:dyDescent="0.15">
      <c r="A75" s="246">
        <v>61</v>
      </c>
      <c r="B75" s="1022">
        <f>名簿入力!D135</f>
        <v>0</v>
      </c>
      <c r="C75" s="1023">
        <f>名簿入力!F135</f>
        <v>0</v>
      </c>
      <c r="D75" s="1024" t="str">
        <f>IF(名簿入力!H135="○","女",IF(名簿入力!G135="○","男",""))</f>
        <v/>
      </c>
      <c r="E75" s="1022">
        <f>名簿入力!I135</f>
        <v>0</v>
      </c>
      <c r="F75" s="1022">
        <f>名簿入力!M135</f>
        <v>0</v>
      </c>
      <c r="G75" s="1022">
        <f>名簿入力!R135</f>
        <v>0</v>
      </c>
      <c r="H75" s="1022">
        <f>名簿入力!W135</f>
        <v>0</v>
      </c>
      <c r="I75" s="1022">
        <f>名簿入力!AB135</f>
        <v>0</v>
      </c>
      <c r="J75" s="1022">
        <f>名簿入力!AG135</f>
        <v>0</v>
      </c>
      <c r="K75" s="1025">
        <f>名簿入力!AK135</f>
        <v>0</v>
      </c>
      <c r="L75" s="1032">
        <f>名簿入力!AK136</f>
        <v>0</v>
      </c>
      <c r="M75" s="265"/>
    </row>
    <row r="76" spans="1:13" ht="22.5" customHeight="1" x14ac:dyDescent="0.15">
      <c r="A76" s="246">
        <v>62</v>
      </c>
      <c r="B76" s="1027">
        <f>名簿入力!D137</f>
        <v>0</v>
      </c>
      <c r="C76" s="1028">
        <f>名簿入力!F137</f>
        <v>0</v>
      </c>
      <c r="D76" s="1029" t="str">
        <f>IF(名簿入力!H137="○","女",IF(名簿入力!G137="○","男",""))</f>
        <v/>
      </c>
      <c r="E76" s="1027">
        <f>名簿入力!I137</f>
        <v>0</v>
      </c>
      <c r="F76" s="1027">
        <f>名簿入力!M137</f>
        <v>0</v>
      </c>
      <c r="G76" s="1027">
        <f>名簿入力!R137</f>
        <v>0</v>
      </c>
      <c r="H76" s="1027">
        <f>名簿入力!W137</f>
        <v>0</v>
      </c>
      <c r="I76" s="1027">
        <f>名簿入力!AB137</f>
        <v>0</v>
      </c>
      <c r="J76" s="1027">
        <f>名簿入力!AG137</f>
        <v>0</v>
      </c>
      <c r="K76" s="1025">
        <f>名簿入力!AK137</f>
        <v>0</v>
      </c>
      <c r="L76" s="1032">
        <f>名簿入力!AK138</f>
        <v>0</v>
      </c>
      <c r="M76" s="265"/>
    </row>
    <row r="77" spans="1:13" ht="22.5" customHeight="1" x14ac:dyDescent="0.15">
      <c r="A77" s="246">
        <v>63</v>
      </c>
      <c r="B77" s="1022">
        <f>名簿入力!D139</f>
        <v>0</v>
      </c>
      <c r="C77" s="1023">
        <f>名簿入力!F139</f>
        <v>0</v>
      </c>
      <c r="D77" s="1024" t="str">
        <f>IF(名簿入力!H139="○","女",IF(名簿入力!G139="○","男",""))</f>
        <v/>
      </c>
      <c r="E77" s="1022">
        <f>名簿入力!I139</f>
        <v>0</v>
      </c>
      <c r="F77" s="1022">
        <f>名簿入力!M139</f>
        <v>0</v>
      </c>
      <c r="G77" s="1022">
        <f>名簿入力!R139</f>
        <v>0</v>
      </c>
      <c r="H77" s="1022">
        <f>名簿入力!W139</f>
        <v>0</v>
      </c>
      <c r="I77" s="1022">
        <f>名簿入力!AB139</f>
        <v>0</v>
      </c>
      <c r="J77" s="1022">
        <f>名簿入力!AG139</f>
        <v>0</v>
      </c>
      <c r="K77" s="1025">
        <f>名簿入力!AK139</f>
        <v>0</v>
      </c>
      <c r="L77" s="1032">
        <f>名簿入力!AK140</f>
        <v>0</v>
      </c>
      <c r="M77" s="265"/>
    </row>
    <row r="78" spans="1:13" ht="22.5" customHeight="1" x14ac:dyDescent="0.15">
      <c r="A78" s="246">
        <v>64</v>
      </c>
      <c r="B78" s="1027">
        <f>名簿入力!D141</f>
        <v>0</v>
      </c>
      <c r="C78" s="1028">
        <f>名簿入力!F141</f>
        <v>0</v>
      </c>
      <c r="D78" s="1029" t="str">
        <f>IF(名簿入力!H141="○","女",IF(名簿入力!G141="○","男",""))</f>
        <v/>
      </c>
      <c r="E78" s="1027">
        <f>名簿入力!I141</f>
        <v>0</v>
      </c>
      <c r="F78" s="1027">
        <f>名簿入力!M141</f>
        <v>0</v>
      </c>
      <c r="G78" s="1027">
        <f>名簿入力!R141</f>
        <v>0</v>
      </c>
      <c r="H78" s="1027">
        <f>名簿入力!W141</f>
        <v>0</v>
      </c>
      <c r="I78" s="1027">
        <f>名簿入力!AB141</f>
        <v>0</v>
      </c>
      <c r="J78" s="1027">
        <f>名簿入力!AG141</f>
        <v>0</v>
      </c>
      <c r="K78" s="1025">
        <f>名簿入力!AK141</f>
        <v>0</v>
      </c>
      <c r="L78" s="1032">
        <f>名簿入力!AK142</f>
        <v>0</v>
      </c>
      <c r="M78" s="265"/>
    </row>
    <row r="79" spans="1:13" ht="22.5" customHeight="1" x14ac:dyDescent="0.15">
      <c r="A79" s="246">
        <v>65</v>
      </c>
      <c r="B79" s="1022">
        <f>名簿入力!D143</f>
        <v>0</v>
      </c>
      <c r="C79" s="1023">
        <f>名簿入力!F143</f>
        <v>0</v>
      </c>
      <c r="D79" s="1024" t="str">
        <f>IF(名簿入力!H143="○","女",IF(名簿入力!G143="○","男",""))</f>
        <v/>
      </c>
      <c r="E79" s="1022">
        <f>名簿入力!I143</f>
        <v>0</v>
      </c>
      <c r="F79" s="1022">
        <f>名簿入力!M143</f>
        <v>0</v>
      </c>
      <c r="G79" s="1022">
        <f>名簿入力!R143</f>
        <v>0</v>
      </c>
      <c r="H79" s="1022">
        <f>名簿入力!W143</f>
        <v>0</v>
      </c>
      <c r="I79" s="1022">
        <f>名簿入力!AB143</f>
        <v>0</v>
      </c>
      <c r="J79" s="1022">
        <f>名簿入力!AG143</f>
        <v>0</v>
      </c>
      <c r="K79" s="1025">
        <f>名簿入力!AK143</f>
        <v>0</v>
      </c>
      <c r="L79" s="1032">
        <f>名簿入力!AK144</f>
        <v>0</v>
      </c>
      <c r="M79" s="265"/>
    </row>
    <row r="80" spans="1:13" ht="22.5" customHeight="1" x14ac:dyDescent="0.15">
      <c r="A80" s="246">
        <v>66</v>
      </c>
      <c r="B80" s="1027">
        <f>名簿入力!D145</f>
        <v>0</v>
      </c>
      <c r="C80" s="1028">
        <f>名簿入力!F145</f>
        <v>0</v>
      </c>
      <c r="D80" s="1029" t="str">
        <f>IF(名簿入力!H145="○","女",IF(名簿入力!G145="○","男",""))</f>
        <v/>
      </c>
      <c r="E80" s="1027">
        <f>名簿入力!I145</f>
        <v>0</v>
      </c>
      <c r="F80" s="1027">
        <f>名簿入力!M145</f>
        <v>0</v>
      </c>
      <c r="G80" s="1027">
        <f>名簿入力!R145</f>
        <v>0</v>
      </c>
      <c r="H80" s="1027">
        <f>名簿入力!W145</f>
        <v>0</v>
      </c>
      <c r="I80" s="1027">
        <f>名簿入力!AB145</f>
        <v>0</v>
      </c>
      <c r="J80" s="1027">
        <f>名簿入力!AG145</f>
        <v>0</v>
      </c>
      <c r="K80" s="1025">
        <f>名簿入力!AK145</f>
        <v>0</v>
      </c>
      <c r="L80" s="1032">
        <f>名簿入力!AK146</f>
        <v>0</v>
      </c>
      <c r="M80" s="265"/>
    </row>
    <row r="81" spans="1:13" ht="22.5" customHeight="1" x14ac:dyDescent="0.15">
      <c r="A81" s="246">
        <v>67</v>
      </c>
      <c r="B81" s="1022">
        <f>名簿入力!D147</f>
        <v>0</v>
      </c>
      <c r="C81" s="1023">
        <f>名簿入力!F147</f>
        <v>0</v>
      </c>
      <c r="D81" s="1024" t="str">
        <f>IF(名簿入力!H147="○","女",IF(名簿入力!G147="○","男",""))</f>
        <v/>
      </c>
      <c r="E81" s="1022">
        <f>名簿入力!I147</f>
        <v>0</v>
      </c>
      <c r="F81" s="1022">
        <f>名簿入力!M147</f>
        <v>0</v>
      </c>
      <c r="G81" s="1022">
        <f>名簿入力!R147</f>
        <v>0</v>
      </c>
      <c r="H81" s="1022">
        <f>名簿入力!W147</f>
        <v>0</v>
      </c>
      <c r="I81" s="1022">
        <f>名簿入力!AB147</f>
        <v>0</v>
      </c>
      <c r="J81" s="1022">
        <f>名簿入力!AG147</f>
        <v>0</v>
      </c>
      <c r="K81" s="1025">
        <f>名簿入力!AK147</f>
        <v>0</v>
      </c>
      <c r="L81" s="1032">
        <f>名簿入力!AK148</f>
        <v>0</v>
      </c>
      <c r="M81" s="265"/>
    </row>
    <row r="82" spans="1:13" ht="22.5" customHeight="1" x14ac:dyDescent="0.15">
      <c r="A82" s="246">
        <v>68</v>
      </c>
      <c r="B82" s="1027">
        <f>名簿入力!D149</f>
        <v>0</v>
      </c>
      <c r="C82" s="1028">
        <f>名簿入力!F149</f>
        <v>0</v>
      </c>
      <c r="D82" s="1029" t="str">
        <f>IF(名簿入力!H149="○","女",IF(名簿入力!G149="○","男",""))</f>
        <v/>
      </c>
      <c r="E82" s="1027">
        <f>名簿入力!I149</f>
        <v>0</v>
      </c>
      <c r="F82" s="1027">
        <f>名簿入力!M149</f>
        <v>0</v>
      </c>
      <c r="G82" s="1027">
        <f>名簿入力!R149</f>
        <v>0</v>
      </c>
      <c r="H82" s="1027">
        <f>名簿入力!W149</f>
        <v>0</v>
      </c>
      <c r="I82" s="1027">
        <f>名簿入力!AB149</f>
        <v>0</v>
      </c>
      <c r="J82" s="1027">
        <f>名簿入力!AG149</f>
        <v>0</v>
      </c>
      <c r="K82" s="1025">
        <f>名簿入力!AK149</f>
        <v>0</v>
      </c>
      <c r="L82" s="1032">
        <f>名簿入力!AK150</f>
        <v>0</v>
      </c>
      <c r="M82" s="265"/>
    </row>
    <row r="83" spans="1:13" ht="22.5" customHeight="1" x14ac:dyDescent="0.15">
      <c r="A83" s="246">
        <v>69</v>
      </c>
      <c r="B83" s="1022">
        <f>名簿入力!D151</f>
        <v>0</v>
      </c>
      <c r="C83" s="1023">
        <f>名簿入力!F151</f>
        <v>0</v>
      </c>
      <c r="D83" s="1024" t="str">
        <f>IF(名簿入力!H151="○","女",IF(名簿入力!G151="○","男",""))</f>
        <v/>
      </c>
      <c r="E83" s="1022">
        <f>名簿入力!I151</f>
        <v>0</v>
      </c>
      <c r="F83" s="1022">
        <f>名簿入力!M151</f>
        <v>0</v>
      </c>
      <c r="G83" s="1022">
        <f>名簿入力!R151</f>
        <v>0</v>
      </c>
      <c r="H83" s="1022">
        <f>名簿入力!W151</f>
        <v>0</v>
      </c>
      <c r="I83" s="1022">
        <f>名簿入力!AB151</f>
        <v>0</v>
      </c>
      <c r="J83" s="1022">
        <f>名簿入力!AG151</f>
        <v>0</v>
      </c>
      <c r="K83" s="1025">
        <f>名簿入力!AK151</f>
        <v>0</v>
      </c>
      <c r="L83" s="1032">
        <f>名簿入力!AK152</f>
        <v>0</v>
      </c>
      <c r="M83" s="265"/>
    </row>
    <row r="84" spans="1:13" ht="22.5" customHeight="1" x14ac:dyDescent="0.15">
      <c r="A84" s="246">
        <v>70</v>
      </c>
      <c r="B84" s="1027">
        <f>名簿入力!D153</f>
        <v>0</v>
      </c>
      <c r="C84" s="1028">
        <f>名簿入力!F153</f>
        <v>0</v>
      </c>
      <c r="D84" s="1029" t="str">
        <f>IF(名簿入力!H153="○","女",IF(名簿入力!G153="○","男",""))</f>
        <v/>
      </c>
      <c r="E84" s="1027">
        <f>名簿入力!I153</f>
        <v>0</v>
      </c>
      <c r="F84" s="1027">
        <f>名簿入力!M153</f>
        <v>0</v>
      </c>
      <c r="G84" s="1027">
        <f>名簿入力!R153</f>
        <v>0</v>
      </c>
      <c r="H84" s="1027">
        <f>名簿入力!W153</f>
        <v>0</v>
      </c>
      <c r="I84" s="1027">
        <f>名簿入力!AB153</f>
        <v>0</v>
      </c>
      <c r="J84" s="1027">
        <f>名簿入力!AG153</f>
        <v>0</v>
      </c>
      <c r="K84" s="1025">
        <f>名簿入力!AK153</f>
        <v>0</v>
      </c>
      <c r="L84" s="1032">
        <f>名簿入力!AK154</f>
        <v>0</v>
      </c>
      <c r="M84" s="265"/>
    </row>
    <row r="85" spans="1:13" ht="22.5" customHeight="1" x14ac:dyDescent="0.15">
      <c r="A85" s="246">
        <v>71</v>
      </c>
      <c r="B85" s="1022">
        <f>名簿入力!D155</f>
        <v>0</v>
      </c>
      <c r="C85" s="1023">
        <f>名簿入力!F155</f>
        <v>0</v>
      </c>
      <c r="D85" s="1024" t="str">
        <f>IF(名簿入力!H155="○","女",IF(名簿入力!G155="○","男",""))</f>
        <v/>
      </c>
      <c r="E85" s="1022">
        <f>名簿入力!I155</f>
        <v>0</v>
      </c>
      <c r="F85" s="1022">
        <f>名簿入力!M155</f>
        <v>0</v>
      </c>
      <c r="G85" s="1022">
        <f>名簿入力!R155</f>
        <v>0</v>
      </c>
      <c r="H85" s="1022">
        <f>名簿入力!W155</f>
        <v>0</v>
      </c>
      <c r="I85" s="1022">
        <f>名簿入力!AB155</f>
        <v>0</v>
      </c>
      <c r="J85" s="1022">
        <f>名簿入力!AG155</f>
        <v>0</v>
      </c>
      <c r="K85" s="1025">
        <f>名簿入力!AK155</f>
        <v>0</v>
      </c>
      <c r="L85" s="1032">
        <f>名簿入力!AK156</f>
        <v>0</v>
      </c>
      <c r="M85" s="265"/>
    </row>
    <row r="86" spans="1:13" ht="22.5" customHeight="1" x14ac:dyDescent="0.15">
      <c r="A86" s="246">
        <v>72</v>
      </c>
      <c r="B86" s="1027">
        <f>名簿入力!D157</f>
        <v>0</v>
      </c>
      <c r="C86" s="1028">
        <f>名簿入力!F157</f>
        <v>0</v>
      </c>
      <c r="D86" s="1029" t="str">
        <f>IF(名簿入力!H157="○","女",IF(名簿入力!G157="○","男",""))</f>
        <v/>
      </c>
      <c r="E86" s="1027">
        <f>名簿入力!I157</f>
        <v>0</v>
      </c>
      <c r="F86" s="1027">
        <f>名簿入力!M157</f>
        <v>0</v>
      </c>
      <c r="G86" s="1027">
        <f>名簿入力!R157</f>
        <v>0</v>
      </c>
      <c r="H86" s="1027">
        <f>名簿入力!W157</f>
        <v>0</v>
      </c>
      <c r="I86" s="1027">
        <f>名簿入力!AB157</f>
        <v>0</v>
      </c>
      <c r="J86" s="1027">
        <f>名簿入力!AG157</f>
        <v>0</v>
      </c>
      <c r="K86" s="1025">
        <f>名簿入力!AK157</f>
        <v>0</v>
      </c>
      <c r="L86" s="1032">
        <f>名簿入力!AK158</f>
        <v>0</v>
      </c>
      <c r="M86" s="265"/>
    </row>
    <row r="87" spans="1:13" ht="22.5" customHeight="1" x14ac:dyDescent="0.15">
      <c r="A87" s="246">
        <v>73</v>
      </c>
      <c r="B87" s="1022">
        <f>名簿入力!D159</f>
        <v>0</v>
      </c>
      <c r="C87" s="1023">
        <f>名簿入力!F159</f>
        <v>0</v>
      </c>
      <c r="D87" s="1024" t="str">
        <f>IF(名簿入力!H159="○","女",IF(名簿入力!G159="○","男",""))</f>
        <v/>
      </c>
      <c r="E87" s="1022">
        <f>名簿入力!I159</f>
        <v>0</v>
      </c>
      <c r="F87" s="1022">
        <f>名簿入力!M159</f>
        <v>0</v>
      </c>
      <c r="G87" s="1022">
        <f>名簿入力!R159</f>
        <v>0</v>
      </c>
      <c r="H87" s="1022">
        <f>名簿入力!W159</f>
        <v>0</v>
      </c>
      <c r="I87" s="1022">
        <f>名簿入力!AB159</f>
        <v>0</v>
      </c>
      <c r="J87" s="1022">
        <f>名簿入力!AG159</f>
        <v>0</v>
      </c>
      <c r="K87" s="1025">
        <f>名簿入力!AK159</f>
        <v>0</v>
      </c>
      <c r="L87" s="1032">
        <f>名簿入力!AK160</f>
        <v>0</v>
      </c>
      <c r="M87" s="265"/>
    </row>
    <row r="88" spans="1:13" ht="22.5" customHeight="1" x14ac:dyDescent="0.15">
      <c r="A88" s="246">
        <v>74</v>
      </c>
      <c r="B88" s="1027">
        <f>名簿入力!D161</f>
        <v>0</v>
      </c>
      <c r="C88" s="1028">
        <f>名簿入力!F161</f>
        <v>0</v>
      </c>
      <c r="D88" s="1029" t="str">
        <f>IF(名簿入力!H161="○","女",IF(名簿入力!G161="○","男",""))</f>
        <v/>
      </c>
      <c r="E88" s="1027">
        <f>名簿入力!I161</f>
        <v>0</v>
      </c>
      <c r="F88" s="1027">
        <f>名簿入力!M161</f>
        <v>0</v>
      </c>
      <c r="G88" s="1027">
        <f>名簿入力!R161</f>
        <v>0</v>
      </c>
      <c r="H88" s="1027">
        <f>名簿入力!W161</f>
        <v>0</v>
      </c>
      <c r="I88" s="1027">
        <f>名簿入力!AB161</f>
        <v>0</v>
      </c>
      <c r="J88" s="1027">
        <f>名簿入力!AG161</f>
        <v>0</v>
      </c>
      <c r="K88" s="1025">
        <f>名簿入力!AK161</f>
        <v>0</v>
      </c>
      <c r="L88" s="1032">
        <f>名簿入力!AK162</f>
        <v>0</v>
      </c>
      <c r="M88" s="265"/>
    </row>
    <row r="89" spans="1:13" ht="22.5" customHeight="1" x14ac:dyDescent="0.15">
      <c r="A89" s="246">
        <v>75</v>
      </c>
      <c r="B89" s="1022">
        <f>名簿入力!D163</f>
        <v>0</v>
      </c>
      <c r="C89" s="1023">
        <f>名簿入力!F163</f>
        <v>0</v>
      </c>
      <c r="D89" s="1024" t="str">
        <f>IF(名簿入力!H163="○","女",IF(名簿入力!G163="○","男",""))</f>
        <v/>
      </c>
      <c r="E89" s="1022">
        <f>名簿入力!I163</f>
        <v>0</v>
      </c>
      <c r="F89" s="1022">
        <f>名簿入力!M163</f>
        <v>0</v>
      </c>
      <c r="G89" s="1022">
        <f>名簿入力!R163</f>
        <v>0</v>
      </c>
      <c r="H89" s="1022">
        <f>名簿入力!W163</f>
        <v>0</v>
      </c>
      <c r="I89" s="1022">
        <f>名簿入力!AB163</f>
        <v>0</v>
      </c>
      <c r="J89" s="1022">
        <f>名簿入力!AG163</f>
        <v>0</v>
      </c>
      <c r="K89" s="1025">
        <f>名簿入力!AK163</f>
        <v>0</v>
      </c>
      <c r="L89" s="1032">
        <f>名簿入力!AK164</f>
        <v>0</v>
      </c>
      <c r="M89" s="265"/>
    </row>
    <row r="90" spans="1:13" ht="22.5" customHeight="1" x14ac:dyDescent="0.15">
      <c r="A90" s="246">
        <v>76</v>
      </c>
      <c r="B90" s="1027">
        <f>名簿入力!D165</f>
        <v>0</v>
      </c>
      <c r="C90" s="1028">
        <f>名簿入力!F165</f>
        <v>0</v>
      </c>
      <c r="D90" s="1029" t="str">
        <f>IF(名簿入力!H165="○","女",IF(名簿入力!G165="○","男",""))</f>
        <v/>
      </c>
      <c r="E90" s="1027">
        <f>名簿入力!I165</f>
        <v>0</v>
      </c>
      <c r="F90" s="1027">
        <f>名簿入力!M165</f>
        <v>0</v>
      </c>
      <c r="G90" s="1027">
        <f>名簿入力!R165</f>
        <v>0</v>
      </c>
      <c r="H90" s="1027">
        <f>名簿入力!W165</f>
        <v>0</v>
      </c>
      <c r="I90" s="1027">
        <f>名簿入力!AB165</f>
        <v>0</v>
      </c>
      <c r="J90" s="1027">
        <f>名簿入力!AG165</f>
        <v>0</v>
      </c>
      <c r="K90" s="1025">
        <f>名簿入力!AK165</f>
        <v>0</v>
      </c>
      <c r="L90" s="1032">
        <f>名簿入力!AK166</f>
        <v>0</v>
      </c>
      <c r="M90" s="265"/>
    </row>
    <row r="91" spans="1:13" ht="22.5" customHeight="1" x14ac:dyDescent="0.15">
      <c r="A91" s="246">
        <v>77</v>
      </c>
      <c r="B91" s="1022">
        <f>名簿入力!D167</f>
        <v>0</v>
      </c>
      <c r="C91" s="1023">
        <f>名簿入力!F167</f>
        <v>0</v>
      </c>
      <c r="D91" s="1024" t="str">
        <f>IF(名簿入力!H167="○","女",IF(名簿入力!G167="○","男",""))</f>
        <v/>
      </c>
      <c r="E91" s="1022">
        <f>名簿入力!I167</f>
        <v>0</v>
      </c>
      <c r="F91" s="1022">
        <f>名簿入力!M167</f>
        <v>0</v>
      </c>
      <c r="G91" s="1022">
        <f>名簿入力!R167</f>
        <v>0</v>
      </c>
      <c r="H91" s="1022">
        <f>名簿入力!W167</f>
        <v>0</v>
      </c>
      <c r="I91" s="1022">
        <f>名簿入力!AB167</f>
        <v>0</v>
      </c>
      <c r="J91" s="1022">
        <f>名簿入力!AG167</f>
        <v>0</v>
      </c>
      <c r="K91" s="1025">
        <f>名簿入力!AK167</f>
        <v>0</v>
      </c>
      <c r="L91" s="1032">
        <f>名簿入力!AK168</f>
        <v>0</v>
      </c>
      <c r="M91" s="265"/>
    </row>
    <row r="92" spans="1:13" ht="22.5" customHeight="1" x14ac:dyDescent="0.15">
      <c r="A92" s="246">
        <v>78</v>
      </c>
      <c r="B92" s="1027">
        <f>名簿入力!D169</f>
        <v>0</v>
      </c>
      <c r="C92" s="1028">
        <f>名簿入力!F169</f>
        <v>0</v>
      </c>
      <c r="D92" s="1029" t="str">
        <f>IF(名簿入力!H169="○","女",IF(名簿入力!G169="○","男",""))</f>
        <v/>
      </c>
      <c r="E92" s="1027">
        <f>名簿入力!I169</f>
        <v>0</v>
      </c>
      <c r="F92" s="1027">
        <f>名簿入力!M169</f>
        <v>0</v>
      </c>
      <c r="G92" s="1027">
        <f>名簿入力!R169</f>
        <v>0</v>
      </c>
      <c r="H92" s="1027">
        <f>名簿入力!W169</f>
        <v>0</v>
      </c>
      <c r="I92" s="1027">
        <f>名簿入力!AB169</f>
        <v>0</v>
      </c>
      <c r="J92" s="1027">
        <f>名簿入力!AG169</f>
        <v>0</v>
      </c>
      <c r="K92" s="1025">
        <f>名簿入力!AK169</f>
        <v>0</v>
      </c>
      <c r="L92" s="1032">
        <f>名簿入力!AK170</f>
        <v>0</v>
      </c>
      <c r="M92" s="265"/>
    </row>
    <row r="93" spans="1:13" ht="22.5" customHeight="1" x14ac:dyDescent="0.15">
      <c r="A93" s="246">
        <v>79</v>
      </c>
      <c r="B93" s="1022">
        <f>名簿入力!D171</f>
        <v>0</v>
      </c>
      <c r="C93" s="1023">
        <f>名簿入力!F171</f>
        <v>0</v>
      </c>
      <c r="D93" s="1024" t="str">
        <f>IF(名簿入力!H171="○","女",IF(名簿入力!G171="○","男",""))</f>
        <v/>
      </c>
      <c r="E93" s="1022">
        <f>名簿入力!I171</f>
        <v>0</v>
      </c>
      <c r="F93" s="1022">
        <f>名簿入力!M171</f>
        <v>0</v>
      </c>
      <c r="G93" s="1022">
        <f>名簿入力!R171</f>
        <v>0</v>
      </c>
      <c r="H93" s="1022">
        <f>名簿入力!W171</f>
        <v>0</v>
      </c>
      <c r="I93" s="1022">
        <f>名簿入力!AB171</f>
        <v>0</v>
      </c>
      <c r="J93" s="1022">
        <f>名簿入力!AG171</f>
        <v>0</v>
      </c>
      <c r="K93" s="1025">
        <f>名簿入力!AK171</f>
        <v>0</v>
      </c>
      <c r="L93" s="1032">
        <f>名簿入力!AK172</f>
        <v>0</v>
      </c>
      <c r="M93" s="265"/>
    </row>
    <row r="94" spans="1:13" ht="22.5" customHeight="1" x14ac:dyDescent="0.15">
      <c r="A94" s="246">
        <v>80</v>
      </c>
      <c r="B94" s="1027">
        <f>名簿入力!D173</f>
        <v>0</v>
      </c>
      <c r="C94" s="1028">
        <f>名簿入力!F173</f>
        <v>0</v>
      </c>
      <c r="D94" s="1029" t="str">
        <f>IF(名簿入力!H173="○","女",IF(名簿入力!G173="○","男",""))</f>
        <v/>
      </c>
      <c r="E94" s="1027">
        <f>名簿入力!I173</f>
        <v>0</v>
      </c>
      <c r="F94" s="1027">
        <f>名簿入力!M173</f>
        <v>0</v>
      </c>
      <c r="G94" s="1027">
        <f>名簿入力!R173</f>
        <v>0</v>
      </c>
      <c r="H94" s="1027">
        <f>名簿入力!W173</f>
        <v>0</v>
      </c>
      <c r="I94" s="1027">
        <f>名簿入力!AB173</f>
        <v>0</v>
      </c>
      <c r="J94" s="1027">
        <f>名簿入力!AG173</f>
        <v>0</v>
      </c>
      <c r="K94" s="1025">
        <f>名簿入力!AK173</f>
        <v>0</v>
      </c>
      <c r="L94" s="1032">
        <f>名簿入力!AK174</f>
        <v>0</v>
      </c>
      <c r="M94" s="265"/>
    </row>
    <row r="95" spans="1:13" ht="22.5" customHeight="1" x14ac:dyDescent="0.15">
      <c r="A95" s="246">
        <v>81</v>
      </c>
      <c r="B95" s="1022">
        <f>名簿入力!D175</f>
        <v>0</v>
      </c>
      <c r="C95" s="1023">
        <f>名簿入力!F175</f>
        <v>0</v>
      </c>
      <c r="D95" s="1024" t="str">
        <f>IF(名簿入力!H175="○","女",IF(名簿入力!G175="○","男",""))</f>
        <v/>
      </c>
      <c r="E95" s="1022">
        <f>名簿入力!I175</f>
        <v>0</v>
      </c>
      <c r="F95" s="1022">
        <f>名簿入力!M175</f>
        <v>0</v>
      </c>
      <c r="G95" s="1022">
        <f>名簿入力!R175</f>
        <v>0</v>
      </c>
      <c r="H95" s="1022">
        <f>名簿入力!W175</f>
        <v>0</v>
      </c>
      <c r="I95" s="1022">
        <f>名簿入力!AB175</f>
        <v>0</v>
      </c>
      <c r="J95" s="1022">
        <f>名簿入力!AG175</f>
        <v>0</v>
      </c>
      <c r="K95" s="1025">
        <f>名簿入力!AK175</f>
        <v>0</v>
      </c>
      <c r="L95" s="1032">
        <f>名簿入力!AK176</f>
        <v>0</v>
      </c>
      <c r="M95" s="265"/>
    </row>
    <row r="96" spans="1:13" ht="22.5" customHeight="1" x14ac:dyDescent="0.15">
      <c r="A96" s="246">
        <v>82</v>
      </c>
      <c r="B96" s="1027">
        <f>名簿入力!D177</f>
        <v>0</v>
      </c>
      <c r="C96" s="1028">
        <f>名簿入力!F177</f>
        <v>0</v>
      </c>
      <c r="D96" s="1029" t="str">
        <f>IF(名簿入力!H177="○","女",IF(名簿入力!G177="○","男",""))</f>
        <v/>
      </c>
      <c r="E96" s="1027">
        <f>名簿入力!I177</f>
        <v>0</v>
      </c>
      <c r="F96" s="1027">
        <f>名簿入力!M177</f>
        <v>0</v>
      </c>
      <c r="G96" s="1027">
        <f>名簿入力!R177</f>
        <v>0</v>
      </c>
      <c r="H96" s="1027">
        <f>名簿入力!W177</f>
        <v>0</v>
      </c>
      <c r="I96" s="1027">
        <f>名簿入力!AB177</f>
        <v>0</v>
      </c>
      <c r="J96" s="1027">
        <f>名簿入力!AG177</f>
        <v>0</v>
      </c>
      <c r="K96" s="1025">
        <f>名簿入力!AK177</f>
        <v>0</v>
      </c>
      <c r="L96" s="1032">
        <f>名簿入力!AK178</f>
        <v>0</v>
      </c>
      <c r="M96" s="265"/>
    </row>
    <row r="97" spans="1:13" ht="22.5" customHeight="1" x14ac:dyDescent="0.15">
      <c r="A97" s="246">
        <v>83</v>
      </c>
      <c r="B97" s="1022">
        <f>名簿入力!D179</f>
        <v>0</v>
      </c>
      <c r="C97" s="1023">
        <f>名簿入力!F179</f>
        <v>0</v>
      </c>
      <c r="D97" s="1024" t="str">
        <f>IF(名簿入力!H179="○","女",IF(名簿入力!G179="○","男",""))</f>
        <v/>
      </c>
      <c r="E97" s="1022">
        <f>名簿入力!I179</f>
        <v>0</v>
      </c>
      <c r="F97" s="1022">
        <f>名簿入力!M179</f>
        <v>0</v>
      </c>
      <c r="G97" s="1022">
        <f>名簿入力!R179</f>
        <v>0</v>
      </c>
      <c r="H97" s="1022">
        <f>名簿入力!W179</f>
        <v>0</v>
      </c>
      <c r="I97" s="1022">
        <f>名簿入力!AB179</f>
        <v>0</v>
      </c>
      <c r="J97" s="1022">
        <f>名簿入力!AG179</f>
        <v>0</v>
      </c>
      <c r="K97" s="1025">
        <f>名簿入力!AK179</f>
        <v>0</v>
      </c>
      <c r="L97" s="1032">
        <f>名簿入力!AK180</f>
        <v>0</v>
      </c>
      <c r="M97" s="265"/>
    </row>
    <row r="98" spans="1:13" ht="22.5" customHeight="1" x14ac:dyDescent="0.15">
      <c r="A98" s="246">
        <v>84</v>
      </c>
      <c r="B98" s="1027">
        <f>名簿入力!D181</f>
        <v>0</v>
      </c>
      <c r="C98" s="1028">
        <f>名簿入力!F181</f>
        <v>0</v>
      </c>
      <c r="D98" s="1029" t="str">
        <f>IF(名簿入力!H181="○","女",IF(名簿入力!G181="○","男",""))</f>
        <v/>
      </c>
      <c r="E98" s="1027">
        <f>名簿入力!I181</f>
        <v>0</v>
      </c>
      <c r="F98" s="1027">
        <f>名簿入力!M181</f>
        <v>0</v>
      </c>
      <c r="G98" s="1027">
        <f>名簿入力!R181</f>
        <v>0</v>
      </c>
      <c r="H98" s="1027">
        <f>名簿入力!W181</f>
        <v>0</v>
      </c>
      <c r="I98" s="1027">
        <f>名簿入力!AB181</f>
        <v>0</v>
      </c>
      <c r="J98" s="1027">
        <f>名簿入力!AG181</f>
        <v>0</v>
      </c>
      <c r="K98" s="1025">
        <f>名簿入力!AK181</f>
        <v>0</v>
      </c>
      <c r="L98" s="1032">
        <f>名簿入力!AK182</f>
        <v>0</v>
      </c>
      <c r="M98" s="265"/>
    </row>
    <row r="99" spans="1:13" ht="22.5" customHeight="1" x14ac:dyDescent="0.15">
      <c r="A99" s="246">
        <v>85</v>
      </c>
      <c r="B99" s="1022">
        <f>名簿入力!D183</f>
        <v>0</v>
      </c>
      <c r="C99" s="1023">
        <f>名簿入力!F183</f>
        <v>0</v>
      </c>
      <c r="D99" s="1024" t="str">
        <f>IF(名簿入力!H183="○","女",IF(名簿入力!G183="○","男",""))</f>
        <v/>
      </c>
      <c r="E99" s="1022">
        <f>名簿入力!I183</f>
        <v>0</v>
      </c>
      <c r="F99" s="1022">
        <f>名簿入力!M183</f>
        <v>0</v>
      </c>
      <c r="G99" s="1022">
        <f>名簿入力!R183</f>
        <v>0</v>
      </c>
      <c r="H99" s="1022">
        <f>名簿入力!W183</f>
        <v>0</v>
      </c>
      <c r="I99" s="1022">
        <f>名簿入力!AB183</f>
        <v>0</v>
      </c>
      <c r="J99" s="1022">
        <f>名簿入力!AG183</f>
        <v>0</v>
      </c>
      <c r="K99" s="1025">
        <f>名簿入力!AK183</f>
        <v>0</v>
      </c>
      <c r="L99" s="1032">
        <f>名簿入力!AK184</f>
        <v>0</v>
      </c>
      <c r="M99" s="265"/>
    </row>
    <row r="100" spans="1:13" ht="22.5" customHeight="1" x14ac:dyDescent="0.15">
      <c r="A100" s="246">
        <v>86</v>
      </c>
      <c r="B100" s="1027">
        <f>名簿入力!D185</f>
        <v>0</v>
      </c>
      <c r="C100" s="1028">
        <f>名簿入力!F185</f>
        <v>0</v>
      </c>
      <c r="D100" s="1029" t="str">
        <f>IF(名簿入力!H185="○","女",IF(名簿入力!G185="○","男",""))</f>
        <v/>
      </c>
      <c r="E100" s="1027">
        <f>名簿入力!I185</f>
        <v>0</v>
      </c>
      <c r="F100" s="1027">
        <f>名簿入力!M185</f>
        <v>0</v>
      </c>
      <c r="G100" s="1027">
        <f>名簿入力!R185</f>
        <v>0</v>
      </c>
      <c r="H100" s="1027">
        <f>名簿入力!W185</f>
        <v>0</v>
      </c>
      <c r="I100" s="1027">
        <f>名簿入力!AB185</f>
        <v>0</v>
      </c>
      <c r="J100" s="1027">
        <f>名簿入力!AG185</f>
        <v>0</v>
      </c>
      <c r="K100" s="1025">
        <f>名簿入力!AK185</f>
        <v>0</v>
      </c>
      <c r="L100" s="1032">
        <f>名簿入力!AK186</f>
        <v>0</v>
      </c>
      <c r="M100" s="265"/>
    </row>
    <row r="101" spans="1:13" ht="22.5" customHeight="1" x14ac:dyDescent="0.15">
      <c r="A101" s="246">
        <v>87</v>
      </c>
      <c r="B101" s="1022">
        <f>名簿入力!D187</f>
        <v>0</v>
      </c>
      <c r="C101" s="1023">
        <f>名簿入力!F187</f>
        <v>0</v>
      </c>
      <c r="D101" s="1024" t="str">
        <f>IF(名簿入力!H187="○","女",IF(名簿入力!G187="○","男",""))</f>
        <v/>
      </c>
      <c r="E101" s="1022">
        <f>名簿入力!I187</f>
        <v>0</v>
      </c>
      <c r="F101" s="1022">
        <f>名簿入力!M187</f>
        <v>0</v>
      </c>
      <c r="G101" s="1022">
        <f>名簿入力!R187</f>
        <v>0</v>
      </c>
      <c r="H101" s="1022">
        <f>名簿入力!W187</f>
        <v>0</v>
      </c>
      <c r="I101" s="1022">
        <f>名簿入力!AB187</f>
        <v>0</v>
      </c>
      <c r="J101" s="1022">
        <f>名簿入力!AG187</f>
        <v>0</v>
      </c>
      <c r="K101" s="1025">
        <f>名簿入力!AK187</f>
        <v>0</v>
      </c>
      <c r="L101" s="1032">
        <f>名簿入力!AK188</f>
        <v>0</v>
      </c>
      <c r="M101" s="265"/>
    </row>
    <row r="102" spans="1:13" ht="22.5" customHeight="1" x14ac:dyDescent="0.15">
      <c r="A102" s="246">
        <v>88</v>
      </c>
      <c r="B102" s="1027">
        <f>名簿入力!D189</f>
        <v>0</v>
      </c>
      <c r="C102" s="1028">
        <f>名簿入力!F189</f>
        <v>0</v>
      </c>
      <c r="D102" s="1029" t="str">
        <f>IF(名簿入力!H189="○","女",IF(名簿入力!G189="○","男",""))</f>
        <v/>
      </c>
      <c r="E102" s="1027">
        <f>名簿入力!I189</f>
        <v>0</v>
      </c>
      <c r="F102" s="1027">
        <f>名簿入力!M189</f>
        <v>0</v>
      </c>
      <c r="G102" s="1027">
        <f>名簿入力!R189</f>
        <v>0</v>
      </c>
      <c r="H102" s="1027">
        <f>名簿入力!W189</f>
        <v>0</v>
      </c>
      <c r="I102" s="1027">
        <f>名簿入力!AB189</f>
        <v>0</v>
      </c>
      <c r="J102" s="1027">
        <f>名簿入力!AG189</f>
        <v>0</v>
      </c>
      <c r="K102" s="1025">
        <f>名簿入力!AK189</f>
        <v>0</v>
      </c>
      <c r="L102" s="1032">
        <f>名簿入力!AK190</f>
        <v>0</v>
      </c>
      <c r="M102" s="265"/>
    </row>
    <row r="103" spans="1:13" ht="22.5" customHeight="1" x14ac:dyDescent="0.15">
      <c r="A103" s="246">
        <v>89</v>
      </c>
      <c r="B103" s="1022">
        <f>名簿入力!D191</f>
        <v>0</v>
      </c>
      <c r="C103" s="1023">
        <f>名簿入力!F191</f>
        <v>0</v>
      </c>
      <c r="D103" s="1024" t="str">
        <f>IF(名簿入力!H191="○","女",IF(名簿入力!G191="○","男",""))</f>
        <v/>
      </c>
      <c r="E103" s="1022">
        <f>名簿入力!I191</f>
        <v>0</v>
      </c>
      <c r="F103" s="1022">
        <f>名簿入力!M191</f>
        <v>0</v>
      </c>
      <c r="G103" s="1022">
        <f>名簿入力!R191</f>
        <v>0</v>
      </c>
      <c r="H103" s="1022">
        <f>名簿入力!W191</f>
        <v>0</v>
      </c>
      <c r="I103" s="1022">
        <f>名簿入力!AB191</f>
        <v>0</v>
      </c>
      <c r="J103" s="1022">
        <f>名簿入力!AG191</f>
        <v>0</v>
      </c>
      <c r="K103" s="1025">
        <f>名簿入力!AK191</f>
        <v>0</v>
      </c>
      <c r="L103" s="1032">
        <f>名簿入力!AK192</f>
        <v>0</v>
      </c>
      <c r="M103" s="265"/>
    </row>
    <row r="104" spans="1:13" ht="22.5" customHeight="1" x14ac:dyDescent="0.15">
      <c r="A104" s="246">
        <v>90</v>
      </c>
      <c r="B104" s="1027">
        <f>名簿入力!D193</f>
        <v>0</v>
      </c>
      <c r="C104" s="1028">
        <f>名簿入力!F193</f>
        <v>0</v>
      </c>
      <c r="D104" s="1029" t="str">
        <f>IF(名簿入力!H193="○","女",IF(名簿入力!G193="○","男",""))</f>
        <v/>
      </c>
      <c r="E104" s="1027">
        <f>名簿入力!I193</f>
        <v>0</v>
      </c>
      <c r="F104" s="1027">
        <f>名簿入力!M193</f>
        <v>0</v>
      </c>
      <c r="G104" s="1027">
        <f>名簿入力!R193</f>
        <v>0</v>
      </c>
      <c r="H104" s="1027">
        <f>名簿入力!W193</f>
        <v>0</v>
      </c>
      <c r="I104" s="1027">
        <f>名簿入力!AB193</f>
        <v>0</v>
      </c>
      <c r="J104" s="1027">
        <f>名簿入力!AG193</f>
        <v>0</v>
      </c>
      <c r="K104" s="1025">
        <f>名簿入力!AK193</f>
        <v>0</v>
      </c>
      <c r="L104" s="1032">
        <f>名簿入力!AK194</f>
        <v>0</v>
      </c>
      <c r="M104" s="265"/>
    </row>
    <row r="105" spans="1:13" ht="22.5" customHeight="1" x14ac:dyDescent="0.15">
      <c r="A105" s="246">
        <v>91</v>
      </c>
      <c r="B105" s="1022">
        <f>名簿入力!D195</f>
        <v>0</v>
      </c>
      <c r="C105" s="1023">
        <f>名簿入力!F195</f>
        <v>0</v>
      </c>
      <c r="D105" s="1024" t="str">
        <f>IF(名簿入力!H195="○","女",IF(名簿入力!G195="○","男",""))</f>
        <v/>
      </c>
      <c r="E105" s="1022">
        <f>名簿入力!I195</f>
        <v>0</v>
      </c>
      <c r="F105" s="1022">
        <f>名簿入力!M195</f>
        <v>0</v>
      </c>
      <c r="G105" s="1022">
        <f>名簿入力!R195</f>
        <v>0</v>
      </c>
      <c r="H105" s="1022">
        <f>名簿入力!W195</f>
        <v>0</v>
      </c>
      <c r="I105" s="1022">
        <f>名簿入力!AB195</f>
        <v>0</v>
      </c>
      <c r="J105" s="1022">
        <f>名簿入力!AG195</f>
        <v>0</v>
      </c>
      <c r="K105" s="1025">
        <f>名簿入力!AK195</f>
        <v>0</v>
      </c>
      <c r="L105" s="1032">
        <f>名簿入力!AK196</f>
        <v>0</v>
      </c>
      <c r="M105" s="265"/>
    </row>
    <row r="106" spans="1:13" ht="22.5" customHeight="1" x14ac:dyDescent="0.15">
      <c r="A106" s="246">
        <v>92</v>
      </c>
      <c r="B106" s="1027">
        <f>名簿入力!D197</f>
        <v>0</v>
      </c>
      <c r="C106" s="1028">
        <f>名簿入力!F197</f>
        <v>0</v>
      </c>
      <c r="D106" s="1029" t="str">
        <f>IF(名簿入力!H197="○","女",IF(名簿入力!G197="○","男",""))</f>
        <v/>
      </c>
      <c r="E106" s="1027">
        <f>名簿入力!I197</f>
        <v>0</v>
      </c>
      <c r="F106" s="1027">
        <f>名簿入力!M197</f>
        <v>0</v>
      </c>
      <c r="G106" s="1027">
        <f>名簿入力!R197</f>
        <v>0</v>
      </c>
      <c r="H106" s="1027">
        <f>名簿入力!W197</f>
        <v>0</v>
      </c>
      <c r="I106" s="1027">
        <f>名簿入力!AB197</f>
        <v>0</v>
      </c>
      <c r="J106" s="1027">
        <f>名簿入力!AG197</f>
        <v>0</v>
      </c>
      <c r="K106" s="1025">
        <f>名簿入力!AK197</f>
        <v>0</v>
      </c>
      <c r="L106" s="1032">
        <f>名簿入力!AK198</f>
        <v>0</v>
      </c>
      <c r="M106" s="265"/>
    </row>
    <row r="107" spans="1:13" ht="22.5" customHeight="1" x14ac:dyDescent="0.15">
      <c r="A107" s="246">
        <v>93</v>
      </c>
      <c r="B107" s="1022">
        <f>名簿入力!D199</f>
        <v>0</v>
      </c>
      <c r="C107" s="1023">
        <f>名簿入力!F199</f>
        <v>0</v>
      </c>
      <c r="D107" s="1024" t="str">
        <f>IF(名簿入力!H199="○","女",IF(名簿入力!G199="○","男",""))</f>
        <v/>
      </c>
      <c r="E107" s="1022">
        <f>名簿入力!I199</f>
        <v>0</v>
      </c>
      <c r="F107" s="1022">
        <f>名簿入力!M199</f>
        <v>0</v>
      </c>
      <c r="G107" s="1022">
        <f>名簿入力!R199</f>
        <v>0</v>
      </c>
      <c r="H107" s="1022">
        <f>名簿入力!W199</f>
        <v>0</v>
      </c>
      <c r="I107" s="1022">
        <f>名簿入力!AB199</f>
        <v>0</v>
      </c>
      <c r="J107" s="1022">
        <f>名簿入力!AG199</f>
        <v>0</v>
      </c>
      <c r="K107" s="1025">
        <f>名簿入力!AK199</f>
        <v>0</v>
      </c>
      <c r="L107" s="1032">
        <f>名簿入力!AK200</f>
        <v>0</v>
      </c>
      <c r="M107" s="265"/>
    </row>
    <row r="108" spans="1:13" ht="22.5" customHeight="1" x14ac:dyDescent="0.15">
      <c r="A108" s="246">
        <v>94</v>
      </c>
      <c r="B108" s="1027">
        <f>名簿入力!D201</f>
        <v>0</v>
      </c>
      <c r="C108" s="1028">
        <f>名簿入力!F201</f>
        <v>0</v>
      </c>
      <c r="D108" s="1029" t="str">
        <f>IF(名簿入力!H201="○","女",IF(名簿入力!G201="○","男",""))</f>
        <v/>
      </c>
      <c r="E108" s="1027">
        <f>名簿入力!I201</f>
        <v>0</v>
      </c>
      <c r="F108" s="1027">
        <f>名簿入力!M201</f>
        <v>0</v>
      </c>
      <c r="G108" s="1027">
        <f>名簿入力!R201</f>
        <v>0</v>
      </c>
      <c r="H108" s="1027">
        <f>名簿入力!W201</f>
        <v>0</v>
      </c>
      <c r="I108" s="1027">
        <f>名簿入力!AB201</f>
        <v>0</v>
      </c>
      <c r="J108" s="1027">
        <f>名簿入力!AG201</f>
        <v>0</v>
      </c>
      <c r="K108" s="1025">
        <f>名簿入力!AK201</f>
        <v>0</v>
      </c>
      <c r="L108" s="1032">
        <f>名簿入力!AK202</f>
        <v>0</v>
      </c>
      <c r="M108" s="265"/>
    </row>
    <row r="109" spans="1:13" ht="22.5" customHeight="1" x14ac:dyDescent="0.15">
      <c r="A109" s="246">
        <v>95</v>
      </c>
      <c r="B109" s="1022">
        <f>名簿入力!D203</f>
        <v>0</v>
      </c>
      <c r="C109" s="1023">
        <f>名簿入力!F203</f>
        <v>0</v>
      </c>
      <c r="D109" s="1024" t="str">
        <f>IF(名簿入力!H203="○","女",IF(名簿入力!G203="○","男",""))</f>
        <v/>
      </c>
      <c r="E109" s="1022">
        <f>名簿入力!I203</f>
        <v>0</v>
      </c>
      <c r="F109" s="1022">
        <f>名簿入力!M203</f>
        <v>0</v>
      </c>
      <c r="G109" s="1022">
        <f>名簿入力!R203</f>
        <v>0</v>
      </c>
      <c r="H109" s="1022">
        <f>名簿入力!W203</f>
        <v>0</v>
      </c>
      <c r="I109" s="1022">
        <f>名簿入力!AB203</f>
        <v>0</v>
      </c>
      <c r="J109" s="1022">
        <f>名簿入力!AG203</f>
        <v>0</v>
      </c>
      <c r="K109" s="1025">
        <f>名簿入力!AK203</f>
        <v>0</v>
      </c>
      <c r="L109" s="1032">
        <f>名簿入力!AK204</f>
        <v>0</v>
      </c>
      <c r="M109" s="265"/>
    </row>
    <row r="110" spans="1:13" ht="22.5" customHeight="1" x14ac:dyDescent="0.15">
      <c r="A110" s="246">
        <v>96</v>
      </c>
      <c r="B110" s="1027">
        <f>名簿入力!D205</f>
        <v>0</v>
      </c>
      <c r="C110" s="1028">
        <f>名簿入力!F205</f>
        <v>0</v>
      </c>
      <c r="D110" s="1029" t="str">
        <f>IF(名簿入力!H205="○","女",IF(名簿入力!G205="○","男",""))</f>
        <v/>
      </c>
      <c r="E110" s="1027">
        <f>名簿入力!I205</f>
        <v>0</v>
      </c>
      <c r="F110" s="1027">
        <f>名簿入力!M205</f>
        <v>0</v>
      </c>
      <c r="G110" s="1027">
        <f>名簿入力!R205</f>
        <v>0</v>
      </c>
      <c r="H110" s="1027">
        <f>名簿入力!W205</f>
        <v>0</v>
      </c>
      <c r="I110" s="1027">
        <f>名簿入力!AB205</f>
        <v>0</v>
      </c>
      <c r="J110" s="1027">
        <f>名簿入力!AG205</f>
        <v>0</v>
      </c>
      <c r="K110" s="1025">
        <f>名簿入力!AK205</f>
        <v>0</v>
      </c>
      <c r="L110" s="1032">
        <f>名簿入力!AK206</f>
        <v>0</v>
      </c>
      <c r="M110" s="265"/>
    </row>
    <row r="111" spans="1:13" ht="22.5" customHeight="1" x14ac:dyDescent="0.15">
      <c r="A111" s="246">
        <v>97</v>
      </c>
      <c r="B111" s="1022">
        <f>名簿入力!D207</f>
        <v>0</v>
      </c>
      <c r="C111" s="1023">
        <f>名簿入力!F207</f>
        <v>0</v>
      </c>
      <c r="D111" s="1024" t="str">
        <f>IF(名簿入力!H207="○","女",IF(名簿入力!G207="○","男",""))</f>
        <v/>
      </c>
      <c r="E111" s="1022">
        <f>名簿入力!I207</f>
        <v>0</v>
      </c>
      <c r="F111" s="1022">
        <f>名簿入力!M207</f>
        <v>0</v>
      </c>
      <c r="G111" s="1022">
        <f>名簿入力!R207</f>
        <v>0</v>
      </c>
      <c r="H111" s="1022">
        <f>名簿入力!W207</f>
        <v>0</v>
      </c>
      <c r="I111" s="1022">
        <f>名簿入力!AB207</f>
        <v>0</v>
      </c>
      <c r="J111" s="1022">
        <f>名簿入力!AG207</f>
        <v>0</v>
      </c>
      <c r="K111" s="1025">
        <f>名簿入力!AK207</f>
        <v>0</v>
      </c>
      <c r="L111" s="1032">
        <f>名簿入力!AK208</f>
        <v>0</v>
      </c>
      <c r="M111" s="265"/>
    </row>
    <row r="112" spans="1:13" ht="22.5" customHeight="1" x14ac:dyDescent="0.15">
      <c r="A112" s="246">
        <v>98</v>
      </c>
      <c r="B112" s="1027">
        <f>名簿入力!D209</f>
        <v>0</v>
      </c>
      <c r="C112" s="1028">
        <f>名簿入力!F209</f>
        <v>0</v>
      </c>
      <c r="D112" s="1029" t="str">
        <f>IF(名簿入力!H209="○","女",IF(名簿入力!G209="○","男",""))</f>
        <v/>
      </c>
      <c r="E112" s="1027">
        <f>名簿入力!I209</f>
        <v>0</v>
      </c>
      <c r="F112" s="1027">
        <f>名簿入力!M209</f>
        <v>0</v>
      </c>
      <c r="G112" s="1027">
        <f>名簿入力!R209</f>
        <v>0</v>
      </c>
      <c r="H112" s="1027">
        <f>名簿入力!W209</f>
        <v>0</v>
      </c>
      <c r="I112" s="1027">
        <f>名簿入力!AB209</f>
        <v>0</v>
      </c>
      <c r="J112" s="1027">
        <f>名簿入力!AG209</f>
        <v>0</v>
      </c>
      <c r="K112" s="1025">
        <f>名簿入力!AK209</f>
        <v>0</v>
      </c>
      <c r="L112" s="1032">
        <f>名簿入力!AK210</f>
        <v>0</v>
      </c>
      <c r="M112" s="265"/>
    </row>
    <row r="113" spans="1:15" ht="22.5" customHeight="1" x14ac:dyDescent="0.15">
      <c r="A113" s="246">
        <v>99</v>
      </c>
      <c r="B113" s="1022">
        <f>名簿入力!D211</f>
        <v>0</v>
      </c>
      <c r="C113" s="1023">
        <f>名簿入力!F211</f>
        <v>0</v>
      </c>
      <c r="D113" s="1024" t="str">
        <f>IF(名簿入力!H211="○","女",IF(名簿入力!G211="○","男",""))</f>
        <v/>
      </c>
      <c r="E113" s="1022">
        <f>名簿入力!I211</f>
        <v>0</v>
      </c>
      <c r="F113" s="1022">
        <f>名簿入力!M211</f>
        <v>0</v>
      </c>
      <c r="G113" s="1022">
        <f>名簿入力!R211</f>
        <v>0</v>
      </c>
      <c r="H113" s="1022">
        <f>名簿入力!W211</f>
        <v>0</v>
      </c>
      <c r="I113" s="1022">
        <f>名簿入力!AB211</f>
        <v>0</v>
      </c>
      <c r="J113" s="1022">
        <f>名簿入力!AG211</f>
        <v>0</v>
      </c>
      <c r="K113" s="1025">
        <f>名簿入力!AK211</f>
        <v>0</v>
      </c>
      <c r="L113" s="1032">
        <f>名簿入力!AK212</f>
        <v>0</v>
      </c>
      <c r="M113" s="265"/>
    </row>
    <row r="114" spans="1:15" ht="22.5" customHeight="1" x14ac:dyDescent="0.15">
      <c r="A114" s="246">
        <v>100</v>
      </c>
      <c r="B114" s="1027">
        <f>名簿入力!D213</f>
        <v>0</v>
      </c>
      <c r="C114" s="1028">
        <f>名簿入力!F213</f>
        <v>0</v>
      </c>
      <c r="D114" s="1029" t="str">
        <f>IF(名簿入力!H213="○","女",IF(名簿入力!G213="○","男",""))</f>
        <v/>
      </c>
      <c r="E114" s="1027">
        <f>名簿入力!I213</f>
        <v>0</v>
      </c>
      <c r="F114" s="1027">
        <f>名簿入力!M213</f>
        <v>0</v>
      </c>
      <c r="G114" s="1027">
        <f>名簿入力!R213</f>
        <v>0</v>
      </c>
      <c r="H114" s="1027">
        <f>名簿入力!W213</f>
        <v>0</v>
      </c>
      <c r="I114" s="1027">
        <f>名簿入力!AB213</f>
        <v>0</v>
      </c>
      <c r="J114" s="1027">
        <f>名簿入力!AG213</f>
        <v>0</v>
      </c>
      <c r="K114" s="1025">
        <f>名簿入力!AK213</f>
        <v>0</v>
      </c>
      <c r="L114" s="1032">
        <f>名簿入力!AK214</f>
        <v>0</v>
      </c>
      <c r="M114" s="265"/>
    </row>
    <row r="115" spans="1:15" ht="22.5" customHeight="1" x14ac:dyDescent="0.15">
      <c r="A115" s="246">
        <v>101</v>
      </c>
      <c r="B115" s="1022">
        <f>名簿入力!D215</f>
        <v>0</v>
      </c>
      <c r="C115" s="1023">
        <f>名簿入力!F215</f>
        <v>0</v>
      </c>
      <c r="D115" s="1024" t="str">
        <f>IF(名簿入力!H215="○","女",IF(名簿入力!G215="○","男",""))</f>
        <v/>
      </c>
      <c r="E115" s="1022">
        <f>名簿入力!I215</f>
        <v>0</v>
      </c>
      <c r="F115" s="1022">
        <f>名簿入力!M215</f>
        <v>0</v>
      </c>
      <c r="G115" s="1022">
        <f>名簿入力!R215</f>
        <v>0</v>
      </c>
      <c r="H115" s="1022">
        <f>名簿入力!W215</f>
        <v>0</v>
      </c>
      <c r="I115" s="1022">
        <f>名簿入力!AB215</f>
        <v>0</v>
      </c>
      <c r="J115" s="1022">
        <f>名簿入力!AG215</f>
        <v>0</v>
      </c>
      <c r="K115" s="1025">
        <f>名簿入力!AK215</f>
        <v>0</v>
      </c>
      <c r="L115" s="1032">
        <f>名簿入力!AK216</f>
        <v>0</v>
      </c>
      <c r="M115" s="265"/>
    </row>
    <row r="116" spans="1:15" ht="22.5" customHeight="1" x14ac:dyDescent="0.15">
      <c r="A116" s="246">
        <v>102</v>
      </c>
      <c r="B116" s="1027">
        <f>名簿入力!D217</f>
        <v>0</v>
      </c>
      <c r="C116" s="1028">
        <f>名簿入力!F217</f>
        <v>0</v>
      </c>
      <c r="D116" s="1029" t="str">
        <f>IF(名簿入力!H217="○","女",IF(名簿入力!G217="○","男",""))</f>
        <v/>
      </c>
      <c r="E116" s="1027">
        <f>名簿入力!I217</f>
        <v>0</v>
      </c>
      <c r="F116" s="1027">
        <f>名簿入力!M217</f>
        <v>0</v>
      </c>
      <c r="G116" s="1027">
        <f>名簿入力!R217</f>
        <v>0</v>
      </c>
      <c r="H116" s="1027">
        <f>名簿入力!W217</f>
        <v>0</v>
      </c>
      <c r="I116" s="1027">
        <f>名簿入力!AB217</f>
        <v>0</v>
      </c>
      <c r="J116" s="1027">
        <f>名簿入力!AG217</f>
        <v>0</v>
      </c>
      <c r="K116" s="1025">
        <f>名簿入力!AK217</f>
        <v>0</v>
      </c>
      <c r="L116" s="1032">
        <f>名簿入力!AK218</f>
        <v>0</v>
      </c>
      <c r="M116" s="265"/>
    </row>
    <row r="117" spans="1:15" ht="22.5" customHeight="1" x14ac:dyDescent="0.15">
      <c r="A117" s="246">
        <v>103</v>
      </c>
      <c r="B117" s="1022">
        <f>名簿入力!D219</f>
        <v>0</v>
      </c>
      <c r="C117" s="1023">
        <f>名簿入力!F219</f>
        <v>0</v>
      </c>
      <c r="D117" s="1024" t="str">
        <f>IF(名簿入力!H219="○","女",IF(名簿入力!G219="○","男",""))</f>
        <v/>
      </c>
      <c r="E117" s="1022">
        <f>名簿入力!I219</f>
        <v>0</v>
      </c>
      <c r="F117" s="1022">
        <f>名簿入力!M219</f>
        <v>0</v>
      </c>
      <c r="G117" s="1022">
        <f>名簿入力!R219</f>
        <v>0</v>
      </c>
      <c r="H117" s="1022">
        <f>名簿入力!W219</f>
        <v>0</v>
      </c>
      <c r="I117" s="1022">
        <f>名簿入力!AB219</f>
        <v>0</v>
      </c>
      <c r="J117" s="1022">
        <f>名簿入力!AG219</f>
        <v>0</v>
      </c>
      <c r="K117" s="1025">
        <f>名簿入力!AK219</f>
        <v>0</v>
      </c>
      <c r="L117" s="1032">
        <f>名簿入力!AK220</f>
        <v>0</v>
      </c>
      <c r="M117" s="265"/>
    </row>
    <row r="118" spans="1:15" ht="22.5" customHeight="1" x14ac:dyDescent="0.15">
      <c r="A118" s="246">
        <v>104</v>
      </c>
      <c r="B118" s="1027">
        <f>名簿入力!D221</f>
        <v>0</v>
      </c>
      <c r="C118" s="1028">
        <f>名簿入力!F221</f>
        <v>0</v>
      </c>
      <c r="D118" s="1029" t="str">
        <f>IF(名簿入力!H221="○","女",IF(名簿入力!G221="○","男",""))</f>
        <v/>
      </c>
      <c r="E118" s="1027">
        <f>名簿入力!I221</f>
        <v>0</v>
      </c>
      <c r="F118" s="1027">
        <f>名簿入力!M221</f>
        <v>0</v>
      </c>
      <c r="G118" s="1027">
        <f>名簿入力!R221</f>
        <v>0</v>
      </c>
      <c r="H118" s="1027">
        <f>名簿入力!W221</f>
        <v>0</v>
      </c>
      <c r="I118" s="1027">
        <f>名簿入力!AB221</f>
        <v>0</v>
      </c>
      <c r="J118" s="1027">
        <f>名簿入力!AG221</f>
        <v>0</v>
      </c>
      <c r="K118" s="1025">
        <f>名簿入力!AK221</f>
        <v>0</v>
      </c>
      <c r="L118" s="1032">
        <f>名簿入力!AK222</f>
        <v>0</v>
      </c>
      <c r="M118" s="265"/>
    </row>
    <row r="119" spans="1:15" ht="22.5" customHeight="1" x14ac:dyDescent="0.15">
      <c r="A119" s="246">
        <v>105</v>
      </c>
      <c r="B119" s="1022">
        <f>名簿入力!D223</f>
        <v>0</v>
      </c>
      <c r="C119" s="1023">
        <f>名簿入力!F223</f>
        <v>0</v>
      </c>
      <c r="D119" s="1024" t="str">
        <f>IF(名簿入力!H223="○","女",IF(名簿入力!G223="○","男",""))</f>
        <v/>
      </c>
      <c r="E119" s="1022">
        <f>名簿入力!I223</f>
        <v>0</v>
      </c>
      <c r="F119" s="1022">
        <f>名簿入力!M223</f>
        <v>0</v>
      </c>
      <c r="G119" s="1022">
        <f>名簿入力!R223</f>
        <v>0</v>
      </c>
      <c r="H119" s="1022">
        <f>名簿入力!W223</f>
        <v>0</v>
      </c>
      <c r="I119" s="1022">
        <f>名簿入力!AB223</f>
        <v>0</v>
      </c>
      <c r="J119" s="1022">
        <f>名簿入力!AG223</f>
        <v>0</v>
      </c>
      <c r="K119" s="1025">
        <f>名簿入力!AK223</f>
        <v>0</v>
      </c>
      <c r="L119" s="1032">
        <f>名簿入力!AK224</f>
        <v>0</v>
      </c>
      <c r="M119" s="265"/>
    </row>
    <row r="120" spans="1:15" ht="22.5" customHeight="1" x14ac:dyDescent="0.15">
      <c r="A120" s="246">
        <v>106</v>
      </c>
      <c r="B120" s="1027">
        <f>名簿入力!D225</f>
        <v>0</v>
      </c>
      <c r="C120" s="1028">
        <f>名簿入力!F225</f>
        <v>0</v>
      </c>
      <c r="D120" s="1029" t="str">
        <f>IF(名簿入力!H225="○","女",IF(名簿入力!G225="○","男",""))</f>
        <v/>
      </c>
      <c r="E120" s="1027">
        <f>名簿入力!I225</f>
        <v>0</v>
      </c>
      <c r="F120" s="1027">
        <f>名簿入力!M225</f>
        <v>0</v>
      </c>
      <c r="G120" s="1027">
        <f>名簿入力!R225</f>
        <v>0</v>
      </c>
      <c r="H120" s="1027">
        <f>名簿入力!W225</f>
        <v>0</v>
      </c>
      <c r="I120" s="1027">
        <f>名簿入力!AB225</f>
        <v>0</v>
      </c>
      <c r="J120" s="1027">
        <f>名簿入力!AG225</f>
        <v>0</v>
      </c>
      <c r="K120" s="1025">
        <f>名簿入力!AK225</f>
        <v>0</v>
      </c>
      <c r="L120" s="1032">
        <f>名簿入力!AK226</f>
        <v>0</v>
      </c>
      <c r="M120" s="265"/>
    </row>
    <row r="121" spans="1:15" ht="22.5" customHeight="1" x14ac:dyDescent="0.15">
      <c r="A121" s="246">
        <v>107</v>
      </c>
      <c r="B121" s="1022">
        <f>名簿入力!D227</f>
        <v>0</v>
      </c>
      <c r="C121" s="1023">
        <f>名簿入力!F227</f>
        <v>0</v>
      </c>
      <c r="D121" s="1024" t="str">
        <f>IF(名簿入力!H227="○","女",IF(名簿入力!G227="○","男",""))</f>
        <v/>
      </c>
      <c r="E121" s="1022">
        <f>名簿入力!I227</f>
        <v>0</v>
      </c>
      <c r="F121" s="1022">
        <f>名簿入力!M227</f>
        <v>0</v>
      </c>
      <c r="G121" s="1022">
        <f>名簿入力!R227</f>
        <v>0</v>
      </c>
      <c r="H121" s="1022">
        <f>名簿入力!W227</f>
        <v>0</v>
      </c>
      <c r="I121" s="1022">
        <f>名簿入力!AB227</f>
        <v>0</v>
      </c>
      <c r="J121" s="1022">
        <f>名簿入力!AG227</f>
        <v>0</v>
      </c>
      <c r="K121" s="1025">
        <f>名簿入力!AK227</f>
        <v>0</v>
      </c>
      <c r="L121" s="1032">
        <f>名簿入力!AK228</f>
        <v>0</v>
      </c>
      <c r="M121" s="265"/>
    </row>
    <row r="122" spans="1:15" ht="22.5" customHeight="1" x14ac:dyDescent="0.15">
      <c r="A122" s="246">
        <v>108</v>
      </c>
      <c r="B122" s="1027">
        <f>名簿入力!D229</f>
        <v>0</v>
      </c>
      <c r="C122" s="1028">
        <f>名簿入力!F229</f>
        <v>0</v>
      </c>
      <c r="D122" s="1029" t="str">
        <f>IF(名簿入力!H229="○","女",IF(名簿入力!G229="○","男",""))</f>
        <v/>
      </c>
      <c r="E122" s="1027">
        <f>名簿入力!I229</f>
        <v>0</v>
      </c>
      <c r="F122" s="1027">
        <f>名簿入力!M229</f>
        <v>0</v>
      </c>
      <c r="G122" s="1027">
        <f>名簿入力!R229</f>
        <v>0</v>
      </c>
      <c r="H122" s="1027">
        <f>名簿入力!W229</f>
        <v>0</v>
      </c>
      <c r="I122" s="1027">
        <f>名簿入力!AB229</f>
        <v>0</v>
      </c>
      <c r="J122" s="1027">
        <f>名簿入力!AG229</f>
        <v>0</v>
      </c>
      <c r="K122" s="1025">
        <f>名簿入力!AK229</f>
        <v>0</v>
      </c>
      <c r="L122" s="1032">
        <f>名簿入力!AK230</f>
        <v>0</v>
      </c>
      <c r="M122" s="265"/>
    </row>
    <row r="123" spans="1:15" ht="22.5" customHeight="1" x14ac:dyDescent="0.15">
      <c r="A123" s="246">
        <v>109</v>
      </c>
      <c r="B123" s="1022">
        <f>名簿入力!D231</f>
        <v>0</v>
      </c>
      <c r="C123" s="1023">
        <f>名簿入力!F231</f>
        <v>0</v>
      </c>
      <c r="D123" s="1024" t="str">
        <f>IF(名簿入力!H231="○","女",IF(名簿入力!G231="○","男",""))</f>
        <v/>
      </c>
      <c r="E123" s="1022">
        <f>名簿入力!I231</f>
        <v>0</v>
      </c>
      <c r="F123" s="1022">
        <f>名簿入力!M231</f>
        <v>0</v>
      </c>
      <c r="G123" s="1022">
        <f>名簿入力!R231</f>
        <v>0</v>
      </c>
      <c r="H123" s="1022">
        <f>名簿入力!W231</f>
        <v>0</v>
      </c>
      <c r="I123" s="1022">
        <f>名簿入力!AB231</f>
        <v>0</v>
      </c>
      <c r="J123" s="1022">
        <f>名簿入力!AG231</f>
        <v>0</v>
      </c>
      <c r="K123" s="1025">
        <f>名簿入力!AK231</f>
        <v>0</v>
      </c>
      <c r="L123" s="1032">
        <f>名簿入力!AK232</f>
        <v>0</v>
      </c>
      <c r="M123" s="265"/>
    </row>
    <row r="124" spans="1:15" ht="22.5" customHeight="1" x14ac:dyDescent="0.15">
      <c r="A124" s="246">
        <v>110</v>
      </c>
      <c r="B124" s="1027">
        <f>名簿入力!D233</f>
        <v>0</v>
      </c>
      <c r="C124" s="1028">
        <f>名簿入力!F233</f>
        <v>0</v>
      </c>
      <c r="D124" s="1029" t="str">
        <f>IF(名簿入力!H233="○","女",IF(名簿入力!G233="○","男",""))</f>
        <v/>
      </c>
      <c r="E124" s="1027">
        <f>名簿入力!I233</f>
        <v>0</v>
      </c>
      <c r="F124" s="1027">
        <f>名簿入力!M233</f>
        <v>0</v>
      </c>
      <c r="G124" s="1027">
        <f>名簿入力!R233</f>
        <v>0</v>
      </c>
      <c r="H124" s="1027">
        <f>名簿入力!W233</f>
        <v>0</v>
      </c>
      <c r="I124" s="1027">
        <f>名簿入力!AB233</f>
        <v>0</v>
      </c>
      <c r="J124" s="1027">
        <f>名簿入力!AG233</f>
        <v>0</v>
      </c>
      <c r="K124" s="1025">
        <f>名簿入力!AK233</f>
        <v>0</v>
      </c>
      <c r="L124" s="1032">
        <f>名簿入力!AK234</f>
        <v>0</v>
      </c>
      <c r="M124" s="265"/>
    </row>
    <row r="125" spans="1:15" ht="22.5" customHeight="1" x14ac:dyDescent="0.15">
      <c r="A125" s="246">
        <v>111</v>
      </c>
      <c r="B125" s="1022">
        <f>名簿入力!D235</f>
        <v>0</v>
      </c>
      <c r="C125" s="1023">
        <f>名簿入力!F235</f>
        <v>0</v>
      </c>
      <c r="D125" s="1024" t="str">
        <f>IF(名簿入力!H235="○","女",IF(名簿入力!G235="○","男",""))</f>
        <v/>
      </c>
      <c r="E125" s="1022">
        <f>名簿入力!I235</f>
        <v>0</v>
      </c>
      <c r="F125" s="1022">
        <f>名簿入力!M235</f>
        <v>0</v>
      </c>
      <c r="G125" s="1022">
        <f>名簿入力!R235</f>
        <v>0</v>
      </c>
      <c r="H125" s="1022">
        <f>名簿入力!W235</f>
        <v>0</v>
      </c>
      <c r="I125" s="1022">
        <f>名簿入力!AB235</f>
        <v>0</v>
      </c>
      <c r="J125" s="1022">
        <f>名簿入力!AG235</f>
        <v>0</v>
      </c>
      <c r="K125" s="1025">
        <f>名簿入力!AK235</f>
        <v>0</v>
      </c>
      <c r="L125" s="1032">
        <f>名簿入力!AK236</f>
        <v>0</v>
      </c>
      <c r="M125" s="265"/>
    </row>
    <row r="126" spans="1:15" ht="22.5" customHeight="1" x14ac:dyDescent="0.15">
      <c r="A126" s="246">
        <v>112</v>
      </c>
      <c r="B126" s="1027">
        <f>名簿入力!D237</f>
        <v>0</v>
      </c>
      <c r="C126" s="1028">
        <f>名簿入力!F237</f>
        <v>0</v>
      </c>
      <c r="D126" s="1029" t="str">
        <f>IF(名簿入力!H237="○","女",IF(名簿入力!G237="○","男",""))</f>
        <v/>
      </c>
      <c r="E126" s="1027">
        <f>名簿入力!I237</f>
        <v>0</v>
      </c>
      <c r="F126" s="1027">
        <f>名簿入力!M237</f>
        <v>0</v>
      </c>
      <c r="G126" s="1027">
        <f>名簿入力!R237</f>
        <v>0</v>
      </c>
      <c r="H126" s="1027">
        <f>名簿入力!W237</f>
        <v>0</v>
      </c>
      <c r="I126" s="1027">
        <f>名簿入力!AB237</f>
        <v>0</v>
      </c>
      <c r="J126" s="1027">
        <f>名簿入力!AG237</f>
        <v>0</v>
      </c>
      <c r="K126" s="1025">
        <f>名簿入力!AK237</f>
        <v>0</v>
      </c>
      <c r="L126" s="1032">
        <f>名簿入力!AK238</f>
        <v>0</v>
      </c>
      <c r="M126" s="265"/>
      <c r="O126" s="228"/>
    </row>
    <row r="127" spans="1:15" ht="22.5" customHeight="1" x14ac:dyDescent="0.15">
      <c r="A127" s="246">
        <v>113</v>
      </c>
      <c r="B127" s="1022">
        <f>名簿入力!D239</f>
        <v>0</v>
      </c>
      <c r="C127" s="1023">
        <f>名簿入力!F239</f>
        <v>0</v>
      </c>
      <c r="D127" s="1024" t="str">
        <f>IF(名簿入力!H239="○","女",IF(名簿入力!G239="○","男",""))</f>
        <v/>
      </c>
      <c r="E127" s="1022">
        <f>名簿入力!I239</f>
        <v>0</v>
      </c>
      <c r="F127" s="1022">
        <f>名簿入力!M239</f>
        <v>0</v>
      </c>
      <c r="G127" s="1022">
        <f>名簿入力!R239</f>
        <v>0</v>
      </c>
      <c r="H127" s="1022">
        <f>名簿入力!W239</f>
        <v>0</v>
      </c>
      <c r="I127" s="1022">
        <f>名簿入力!AB239</f>
        <v>0</v>
      </c>
      <c r="J127" s="1022">
        <f>名簿入力!AG239</f>
        <v>0</v>
      </c>
      <c r="K127" s="1025">
        <f>名簿入力!AK239</f>
        <v>0</v>
      </c>
      <c r="L127" s="1032">
        <f>名簿入力!AK240</f>
        <v>0</v>
      </c>
      <c r="M127" s="265"/>
    </row>
    <row r="128" spans="1:15" ht="22.5" customHeight="1" x14ac:dyDescent="0.15">
      <c r="A128" s="246">
        <v>114</v>
      </c>
      <c r="B128" s="1027">
        <f>名簿入力!D241</f>
        <v>0</v>
      </c>
      <c r="C128" s="1028">
        <f>名簿入力!F241</f>
        <v>0</v>
      </c>
      <c r="D128" s="1029" t="str">
        <f>IF(名簿入力!H241="○","女",IF(名簿入力!G241="○","男",""))</f>
        <v/>
      </c>
      <c r="E128" s="1027">
        <f>名簿入力!I241</f>
        <v>0</v>
      </c>
      <c r="F128" s="1027">
        <f>名簿入力!M241</f>
        <v>0</v>
      </c>
      <c r="G128" s="1027">
        <f>名簿入力!R241</f>
        <v>0</v>
      </c>
      <c r="H128" s="1027">
        <f>名簿入力!W241</f>
        <v>0</v>
      </c>
      <c r="I128" s="1027">
        <f>名簿入力!AB241</f>
        <v>0</v>
      </c>
      <c r="J128" s="1027">
        <f>名簿入力!AG241</f>
        <v>0</v>
      </c>
      <c r="K128" s="1025">
        <f>名簿入力!AK241</f>
        <v>0</v>
      </c>
      <c r="L128" s="1032">
        <f>名簿入力!AK242</f>
        <v>0</v>
      </c>
      <c r="M128" s="265"/>
    </row>
    <row r="129" spans="1:13" ht="22.5" customHeight="1" x14ac:dyDescent="0.15">
      <c r="A129" s="246">
        <v>115</v>
      </c>
      <c r="B129" s="1022">
        <f>名簿入力!D243</f>
        <v>0</v>
      </c>
      <c r="C129" s="1023">
        <f>名簿入力!F243</f>
        <v>0</v>
      </c>
      <c r="D129" s="1024" t="str">
        <f>IF(名簿入力!H243="○","女",IF(名簿入力!G243="○","男",""))</f>
        <v/>
      </c>
      <c r="E129" s="1022">
        <f>名簿入力!I243</f>
        <v>0</v>
      </c>
      <c r="F129" s="1022">
        <f>名簿入力!M243</f>
        <v>0</v>
      </c>
      <c r="G129" s="1022">
        <f>名簿入力!R243</f>
        <v>0</v>
      </c>
      <c r="H129" s="1022">
        <f>名簿入力!W243</f>
        <v>0</v>
      </c>
      <c r="I129" s="1022">
        <f>名簿入力!AB243</f>
        <v>0</v>
      </c>
      <c r="J129" s="1022">
        <f>名簿入力!AG243</f>
        <v>0</v>
      </c>
      <c r="K129" s="1025">
        <f>名簿入力!AK243</f>
        <v>0</v>
      </c>
      <c r="L129" s="1032">
        <f>名簿入力!AK244</f>
        <v>0</v>
      </c>
      <c r="M129" s="265"/>
    </row>
    <row r="130" spans="1:13" ht="22.5" customHeight="1" x14ac:dyDescent="0.15">
      <c r="A130" s="246">
        <v>116</v>
      </c>
      <c r="B130" s="1027">
        <f>名簿入力!D245</f>
        <v>0</v>
      </c>
      <c r="C130" s="1028">
        <f>名簿入力!F245</f>
        <v>0</v>
      </c>
      <c r="D130" s="1029" t="str">
        <f>IF(名簿入力!H245="○","女",IF(名簿入力!G245="○","男",""))</f>
        <v/>
      </c>
      <c r="E130" s="1027">
        <f>名簿入力!I245</f>
        <v>0</v>
      </c>
      <c r="F130" s="1027">
        <f>名簿入力!M245</f>
        <v>0</v>
      </c>
      <c r="G130" s="1027">
        <f>名簿入力!R245</f>
        <v>0</v>
      </c>
      <c r="H130" s="1027">
        <f>名簿入力!W245</f>
        <v>0</v>
      </c>
      <c r="I130" s="1027">
        <f>名簿入力!AB245</f>
        <v>0</v>
      </c>
      <c r="J130" s="1027">
        <f>名簿入力!AG245</f>
        <v>0</v>
      </c>
      <c r="K130" s="1025">
        <f>名簿入力!AK245</f>
        <v>0</v>
      </c>
      <c r="L130" s="1032">
        <f>名簿入力!AK246</f>
        <v>0</v>
      </c>
      <c r="M130" s="265"/>
    </row>
    <row r="131" spans="1:13" ht="22.5" customHeight="1" x14ac:dyDescent="0.15">
      <c r="A131" s="246">
        <v>117</v>
      </c>
      <c r="B131" s="1022">
        <f>名簿入力!D247</f>
        <v>0</v>
      </c>
      <c r="C131" s="1023">
        <f>名簿入力!F247</f>
        <v>0</v>
      </c>
      <c r="D131" s="1024" t="str">
        <f>IF(名簿入力!H247="○","女",IF(名簿入力!G247="○","男",""))</f>
        <v/>
      </c>
      <c r="E131" s="1022">
        <f>名簿入力!I247</f>
        <v>0</v>
      </c>
      <c r="F131" s="1022">
        <f>名簿入力!M247</f>
        <v>0</v>
      </c>
      <c r="G131" s="1022">
        <f>名簿入力!R247</f>
        <v>0</v>
      </c>
      <c r="H131" s="1022">
        <f>名簿入力!W247</f>
        <v>0</v>
      </c>
      <c r="I131" s="1022">
        <f>名簿入力!AB247</f>
        <v>0</v>
      </c>
      <c r="J131" s="1022">
        <f>名簿入力!AG247</f>
        <v>0</v>
      </c>
      <c r="K131" s="1025">
        <f>名簿入力!AK247</f>
        <v>0</v>
      </c>
      <c r="L131" s="1032">
        <f>名簿入力!AK248</f>
        <v>0</v>
      </c>
      <c r="M131" s="265"/>
    </row>
    <row r="132" spans="1:13" ht="22.5" customHeight="1" x14ac:dyDescent="0.15">
      <c r="A132" s="246">
        <v>118</v>
      </c>
      <c r="B132" s="1027">
        <f>名簿入力!D249</f>
        <v>0</v>
      </c>
      <c r="C132" s="1028">
        <f>名簿入力!F249</f>
        <v>0</v>
      </c>
      <c r="D132" s="1029" t="str">
        <f>IF(名簿入力!H249="○","女",IF(名簿入力!G249="○","男",""))</f>
        <v/>
      </c>
      <c r="E132" s="1027">
        <f>名簿入力!I249</f>
        <v>0</v>
      </c>
      <c r="F132" s="1027">
        <f>名簿入力!M249</f>
        <v>0</v>
      </c>
      <c r="G132" s="1027">
        <f>名簿入力!R249</f>
        <v>0</v>
      </c>
      <c r="H132" s="1027">
        <f>名簿入力!W249</f>
        <v>0</v>
      </c>
      <c r="I132" s="1027">
        <f>名簿入力!AB249</f>
        <v>0</v>
      </c>
      <c r="J132" s="1027">
        <f>名簿入力!AG249</f>
        <v>0</v>
      </c>
      <c r="K132" s="1025">
        <f>名簿入力!AK249</f>
        <v>0</v>
      </c>
      <c r="L132" s="1032">
        <f>名簿入力!AK250</f>
        <v>0</v>
      </c>
      <c r="M132" s="265"/>
    </row>
    <row r="133" spans="1:13" ht="22.5" customHeight="1" x14ac:dyDescent="0.15">
      <c r="A133" s="246">
        <v>119</v>
      </c>
      <c r="B133" s="1022">
        <f>名簿入力!D251</f>
        <v>0</v>
      </c>
      <c r="C133" s="1023">
        <f>名簿入力!F251</f>
        <v>0</v>
      </c>
      <c r="D133" s="1024" t="str">
        <f>IF(名簿入力!H251="○","女",IF(名簿入力!G251="○","男",""))</f>
        <v/>
      </c>
      <c r="E133" s="1022">
        <f>名簿入力!I251</f>
        <v>0</v>
      </c>
      <c r="F133" s="1022">
        <f>名簿入力!M251</f>
        <v>0</v>
      </c>
      <c r="G133" s="1022">
        <f>名簿入力!R251</f>
        <v>0</v>
      </c>
      <c r="H133" s="1022">
        <f>名簿入力!W251</f>
        <v>0</v>
      </c>
      <c r="I133" s="1022">
        <f>名簿入力!AB251</f>
        <v>0</v>
      </c>
      <c r="J133" s="1022">
        <f>名簿入力!AG251</f>
        <v>0</v>
      </c>
      <c r="K133" s="1025">
        <f>名簿入力!AK251</f>
        <v>0</v>
      </c>
      <c r="L133" s="1032">
        <f>名簿入力!AK252</f>
        <v>0</v>
      </c>
      <c r="M133" s="265"/>
    </row>
    <row r="134" spans="1:13" ht="22.5" customHeight="1" x14ac:dyDescent="0.15">
      <c r="A134" s="246">
        <v>120</v>
      </c>
      <c r="B134" s="1027">
        <f>名簿入力!D253</f>
        <v>0</v>
      </c>
      <c r="C134" s="1028">
        <f>名簿入力!F253</f>
        <v>0</v>
      </c>
      <c r="D134" s="1029" t="str">
        <f>IF(名簿入力!H253="○","女",IF(名簿入力!G253="○","男",""))</f>
        <v/>
      </c>
      <c r="E134" s="1027">
        <f>名簿入力!I253</f>
        <v>0</v>
      </c>
      <c r="F134" s="1027">
        <f>名簿入力!M253</f>
        <v>0</v>
      </c>
      <c r="G134" s="1027">
        <f>名簿入力!R253</f>
        <v>0</v>
      </c>
      <c r="H134" s="1027">
        <f>名簿入力!W253</f>
        <v>0</v>
      </c>
      <c r="I134" s="1027">
        <f>名簿入力!AB253</f>
        <v>0</v>
      </c>
      <c r="J134" s="1027">
        <f>名簿入力!AG253</f>
        <v>0</v>
      </c>
      <c r="K134" s="1025">
        <f>名簿入力!AK253</f>
        <v>0</v>
      </c>
      <c r="L134" s="1032">
        <f>名簿入力!AK254</f>
        <v>0</v>
      </c>
      <c r="M134" s="265"/>
    </row>
    <row r="135" spans="1:13" ht="22.5" customHeight="1" x14ac:dyDescent="0.15">
      <c r="A135" s="246">
        <v>121</v>
      </c>
      <c r="B135" s="1022">
        <f>名簿入力!D255</f>
        <v>0</v>
      </c>
      <c r="C135" s="1023">
        <f>名簿入力!F255</f>
        <v>0</v>
      </c>
      <c r="D135" s="1024" t="str">
        <f>IF(名簿入力!H255="○","女",IF(名簿入力!G255="○","男",""))</f>
        <v/>
      </c>
      <c r="E135" s="1022">
        <f>名簿入力!I255</f>
        <v>0</v>
      </c>
      <c r="F135" s="1022">
        <f>名簿入力!M255</f>
        <v>0</v>
      </c>
      <c r="G135" s="1022">
        <f>名簿入力!R255</f>
        <v>0</v>
      </c>
      <c r="H135" s="1022">
        <f>名簿入力!W255</f>
        <v>0</v>
      </c>
      <c r="I135" s="1022">
        <f>名簿入力!AB255</f>
        <v>0</v>
      </c>
      <c r="J135" s="1022">
        <f>名簿入力!AG255</f>
        <v>0</v>
      </c>
      <c r="K135" s="1025">
        <f>名簿入力!AK255</f>
        <v>0</v>
      </c>
      <c r="L135" s="1032">
        <f>名簿入力!AK256</f>
        <v>0</v>
      </c>
      <c r="M135" s="265"/>
    </row>
    <row r="136" spans="1:13" ht="22.5" customHeight="1" x14ac:dyDescent="0.15">
      <c r="A136" s="246">
        <v>122</v>
      </c>
      <c r="B136" s="1027">
        <f>名簿入力!D257</f>
        <v>0</v>
      </c>
      <c r="C136" s="1028">
        <f>名簿入力!F257</f>
        <v>0</v>
      </c>
      <c r="D136" s="1029" t="str">
        <f>IF(名簿入力!H257="○","女",IF(名簿入力!G257="○","男",""))</f>
        <v/>
      </c>
      <c r="E136" s="1027">
        <f>名簿入力!I257</f>
        <v>0</v>
      </c>
      <c r="F136" s="1027">
        <f>名簿入力!M257</f>
        <v>0</v>
      </c>
      <c r="G136" s="1027">
        <f>名簿入力!R257</f>
        <v>0</v>
      </c>
      <c r="H136" s="1027">
        <f>名簿入力!W257</f>
        <v>0</v>
      </c>
      <c r="I136" s="1027">
        <f>名簿入力!AB257</f>
        <v>0</v>
      </c>
      <c r="J136" s="1027">
        <f>名簿入力!AG257</f>
        <v>0</v>
      </c>
      <c r="K136" s="1025">
        <f>名簿入力!AK257</f>
        <v>0</v>
      </c>
      <c r="L136" s="1032">
        <f>名簿入力!AK258</f>
        <v>0</v>
      </c>
      <c r="M136" s="265"/>
    </row>
    <row r="137" spans="1:13" ht="22.5" customHeight="1" x14ac:dyDescent="0.15">
      <c r="A137" s="246">
        <v>123</v>
      </c>
      <c r="B137" s="1022">
        <f>名簿入力!D259</f>
        <v>0</v>
      </c>
      <c r="C137" s="1023">
        <f>名簿入力!F259</f>
        <v>0</v>
      </c>
      <c r="D137" s="1024" t="str">
        <f>IF(名簿入力!H259="○","女",IF(名簿入力!G259="○","男",""))</f>
        <v/>
      </c>
      <c r="E137" s="1022">
        <f>名簿入力!I259</f>
        <v>0</v>
      </c>
      <c r="F137" s="1022">
        <f>名簿入力!M259</f>
        <v>0</v>
      </c>
      <c r="G137" s="1022">
        <f>名簿入力!R259</f>
        <v>0</v>
      </c>
      <c r="H137" s="1022">
        <f>名簿入力!W259</f>
        <v>0</v>
      </c>
      <c r="I137" s="1022">
        <f>名簿入力!AB259</f>
        <v>0</v>
      </c>
      <c r="J137" s="1022">
        <f>名簿入力!AG259</f>
        <v>0</v>
      </c>
      <c r="K137" s="1025">
        <f>名簿入力!AK259</f>
        <v>0</v>
      </c>
      <c r="L137" s="1032">
        <f>名簿入力!AK260</f>
        <v>0</v>
      </c>
      <c r="M137" s="265"/>
    </row>
    <row r="138" spans="1:13" ht="22.5" customHeight="1" x14ac:dyDescent="0.15">
      <c r="A138" s="246">
        <v>124</v>
      </c>
      <c r="B138" s="1027">
        <f>名簿入力!D261</f>
        <v>0</v>
      </c>
      <c r="C138" s="1028">
        <f>名簿入力!F261</f>
        <v>0</v>
      </c>
      <c r="D138" s="1029" t="str">
        <f>IF(名簿入力!H261="○","女",IF(名簿入力!G261="○","男",""))</f>
        <v/>
      </c>
      <c r="E138" s="1027">
        <f>名簿入力!I261</f>
        <v>0</v>
      </c>
      <c r="F138" s="1027">
        <f>名簿入力!M261</f>
        <v>0</v>
      </c>
      <c r="G138" s="1027">
        <f>名簿入力!R261</f>
        <v>0</v>
      </c>
      <c r="H138" s="1027">
        <f>名簿入力!W261</f>
        <v>0</v>
      </c>
      <c r="I138" s="1027">
        <f>名簿入力!AB261</f>
        <v>0</v>
      </c>
      <c r="J138" s="1027">
        <f>名簿入力!AG261</f>
        <v>0</v>
      </c>
      <c r="K138" s="1025">
        <f>名簿入力!AK261</f>
        <v>0</v>
      </c>
      <c r="L138" s="1032">
        <f>名簿入力!AK262</f>
        <v>0</v>
      </c>
      <c r="M138" s="265"/>
    </row>
    <row r="139" spans="1:13" ht="22.5" customHeight="1" x14ac:dyDescent="0.15">
      <c r="A139" s="246">
        <v>125</v>
      </c>
      <c r="B139" s="1022">
        <f>名簿入力!D263</f>
        <v>0</v>
      </c>
      <c r="C139" s="1023">
        <f>名簿入力!F263</f>
        <v>0</v>
      </c>
      <c r="D139" s="1024" t="str">
        <f>IF(名簿入力!H263="○","女",IF(名簿入力!G263="○","男",""))</f>
        <v/>
      </c>
      <c r="E139" s="1022">
        <f>名簿入力!I263</f>
        <v>0</v>
      </c>
      <c r="F139" s="1022">
        <f>名簿入力!M263</f>
        <v>0</v>
      </c>
      <c r="G139" s="1022">
        <f>名簿入力!R263</f>
        <v>0</v>
      </c>
      <c r="H139" s="1022">
        <f>名簿入力!W263</f>
        <v>0</v>
      </c>
      <c r="I139" s="1022">
        <f>名簿入力!AB263</f>
        <v>0</v>
      </c>
      <c r="J139" s="1022">
        <f>名簿入力!AG263</f>
        <v>0</v>
      </c>
      <c r="K139" s="1025">
        <f>名簿入力!AK263</f>
        <v>0</v>
      </c>
      <c r="L139" s="1032">
        <f>名簿入力!AK264</f>
        <v>0</v>
      </c>
      <c r="M139" s="265"/>
    </row>
    <row r="140" spans="1:13" ht="22.5" customHeight="1" x14ac:dyDescent="0.15">
      <c r="A140" s="246">
        <v>126</v>
      </c>
      <c r="B140" s="1027">
        <f>名簿入力!D265</f>
        <v>0</v>
      </c>
      <c r="C140" s="1028">
        <f>名簿入力!F265</f>
        <v>0</v>
      </c>
      <c r="D140" s="1029" t="str">
        <f>IF(名簿入力!H265="○","女",IF(名簿入力!G265="○","男",""))</f>
        <v/>
      </c>
      <c r="E140" s="1027">
        <f>名簿入力!I265</f>
        <v>0</v>
      </c>
      <c r="F140" s="1027">
        <f>名簿入力!M265</f>
        <v>0</v>
      </c>
      <c r="G140" s="1027">
        <f>名簿入力!R265</f>
        <v>0</v>
      </c>
      <c r="H140" s="1027">
        <f>名簿入力!W265</f>
        <v>0</v>
      </c>
      <c r="I140" s="1027">
        <f>名簿入力!AB265</f>
        <v>0</v>
      </c>
      <c r="J140" s="1027">
        <f>名簿入力!AG265</f>
        <v>0</v>
      </c>
      <c r="K140" s="1025">
        <f>名簿入力!AK265</f>
        <v>0</v>
      </c>
      <c r="L140" s="1032">
        <f>名簿入力!AK266</f>
        <v>0</v>
      </c>
      <c r="M140" s="265"/>
    </row>
    <row r="141" spans="1:13" ht="22.5" customHeight="1" x14ac:dyDescent="0.15">
      <c r="A141" s="246">
        <v>127</v>
      </c>
      <c r="B141" s="1022">
        <f>名簿入力!D267</f>
        <v>0</v>
      </c>
      <c r="C141" s="1023">
        <f>名簿入力!F267</f>
        <v>0</v>
      </c>
      <c r="D141" s="1024" t="str">
        <f>IF(名簿入力!H267="○","女",IF(名簿入力!G267="○","男",""))</f>
        <v/>
      </c>
      <c r="E141" s="1022">
        <f>名簿入力!I267</f>
        <v>0</v>
      </c>
      <c r="F141" s="1022">
        <f>名簿入力!M267</f>
        <v>0</v>
      </c>
      <c r="G141" s="1022">
        <f>名簿入力!R267</f>
        <v>0</v>
      </c>
      <c r="H141" s="1022">
        <f>名簿入力!W267</f>
        <v>0</v>
      </c>
      <c r="I141" s="1022">
        <f>名簿入力!AB267</f>
        <v>0</v>
      </c>
      <c r="J141" s="1022">
        <f>名簿入力!AG267</f>
        <v>0</v>
      </c>
      <c r="K141" s="1025">
        <f>名簿入力!AK267</f>
        <v>0</v>
      </c>
      <c r="L141" s="1032">
        <f>名簿入力!AK268</f>
        <v>0</v>
      </c>
      <c r="M141" s="265"/>
    </row>
    <row r="142" spans="1:13" ht="22.5" customHeight="1" x14ac:dyDescent="0.15">
      <c r="A142" s="246">
        <v>128</v>
      </c>
      <c r="B142" s="1027">
        <f>名簿入力!D269</f>
        <v>0</v>
      </c>
      <c r="C142" s="1028">
        <f>名簿入力!F269</f>
        <v>0</v>
      </c>
      <c r="D142" s="1029" t="str">
        <f>IF(名簿入力!H269="○","女",IF(名簿入力!G269="○","男",""))</f>
        <v/>
      </c>
      <c r="E142" s="1027">
        <f>名簿入力!I269</f>
        <v>0</v>
      </c>
      <c r="F142" s="1027">
        <f>名簿入力!M269</f>
        <v>0</v>
      </c>
      <c r="G142" s="1027">
        <f>名簿入力!R269</f>
        <v>0</v>
      </c>
      <c r="H142" s="1027">
        <f>名簿入力!W269</f>
        <v>0</v>
      </c>
      <c r="I142" s="1027">
        <f>名簿入力!AB269</f>
        <v>0</v>
      </c>
      <c r="J142" s="1027">
        <f>名簿入力!AG269</f>
        <v>0</v>
      </c>
      <c r="K142" s="1025">
        <f>名簿入力!AK269</f>
        <v>0</v>
      </c>
      <c r="L142" s="1032">
        <f>名簿入力!AK270</f>
        <v>0</v>
      </c>
      <c r="M142" s="265"/>
    </row>
    <row r="143" spans="1:13" ht="22.5" customHeight="1" x14ac:dyDescent="0.15">
      <c r="A143" s="246">
        <v>129</v>
      </c>
      <c r="B143" s="1022">
        <f>名簿入力!D271</f>
        <v>0</v>
      </c>
      <c r="C143" s="1023">
        <f>名簿入力!F271</f>
        <v>0</v>
      </c>
      <c r="D143" s="1024" t="str">
        <f>IF(名簿入力!H271="○","女",IF(名簿入力!G271="○","男",""))</f>
        <v/>
      </c>
      <c r="E143" s="1022">
        <f>名簿入力!I271</f>
        <v>0</v>
      </c>
      <c r="F143" s="1022">
        <f>名簿入力!M271</f>
        <v>0</v>
      </c>
      <c r="G143" s="1022">
        <f>名簿入力!R271</f>
        <v>0</v>
      </c>
      <c r="H143" s="1022">
        <f>名簿入力!W271</f>
        <v>0</v>
      </c>
      <c r="I143" s="1022">
        <f>名簿入力!AB271</f>
        <v>0</v>
      </c>
      <c r="J143" s="1022">
        <f>名簿入力!AG271</f>
        <v>0</v>
      </c>
      <c r="K143" s="1025">
        <f>名簿入力!AK271</f>
        <v>0</v>
      </c>
      <c r="L143" s="1032">
        <f>名簿入力!AK272</f>
        <v>0</v>
      </c>
      <c r="M143" s="265"/>
    </row>
    <row r="144" spans="1:13" ht="22.5" customHeight="1" x14ac:dyDescent="0.15">
      <c r="A144" s="246">
        <v>130</v>
      </c>
      <c r="B144" s="1027">
        <f>名簿入力!D273</f>
        <v>0</v>
      </c>
      <c r="C144" s="1028">
        <f>名簿入力!F273</f>
        <v>0</v>
      </c>
      <c r="D144" s="1029" t="str">
        <f>IF(名簿入力!H273="○","女",IF(名簿入力!G273="○","男",""))</f>
        <v/>
      </c>
      <c r="E144" s="1027">
        <f>名簿入力!I273</f>
        <v>0</v>
      </c>
      <c r="F144" s="1027">
        <f>名簿入力!M273</f>
        <v>0</v>
      </c>
      <c r="G144" s="1027">
        <f>名簿入力!R273</f>
        <v>0</v>
      </c>
      <c r="H144" s="1027">
        <f>名簿入力!W273</f>
        <v>0</v>
      </c>
      <c r="I144" s="1027">
        <f>名簿入力!AB273</f>
        <v>0</v>
      </c>
      <c r="J144" s="1027">
        <f>名簿入力!AG273</f>
        <v>0</v>
      </c>
      <c r="K144" s="1025">
        <f>名簿入力!AK273</f>
        <v>0</v>
      </c>
      <c r="L144" s="1032">
        <f>名簿入力!AK274</f>
        <v>0</v>
      </c>
      <c r="M144" s="265"/>
    </row>
    <row r="145" spans="1:13" ht="22.5" customHeight="1" x14ac:dyDescent="0.15">
      <c r="A145" s="246">
        <v>131</v>
      </c>
      <c r="B145" s="1022">
        <f>名簿入力!D275</f>
        <v>0</v>
      </c>
      <c r="C145" s="1023">
        <f>名簿入力!F275</f>
        <v>0</v>
      </c>
      <c r="D145" s="1024" t="str">
        <f>IF(名簿入力!H275="○","女",IF(名簿入力!G275="○","男",""))</f>
        <v/>
      </c>
      <c r="E145" s="1022">
        <f>名簿入力!I275</f>
        <v>0</v>
      </c>
      <c r="F145" s="1022">
        <f>名簿入力!M275</f>
        <v>0</v>
      </c>
      <c r="G145" s="1022">
        <f>名簿入力!R275</f>
        <v>0</v>
      </c>
      <c r="H145" s="1022">
        <f>名簿入力!W275</f>
        <v>0</v>
      </c>
      <c r="I145" s="1022">
        <f>名簿入力!AB275</f>
        <v>0</v>
      </c>
      <c r="J145" s="1022">
        <f>名簿入力!AG275</f>
        <v>0</v>
      </c>
      <c r="K145" s="1025">
        <f>名簿入力!AK275</f>
        <v>0</v>
      </c>
      <c r="L145" s="1032">
        <f>名簿入力!AK276</f>
        <v>0</v>
      </c>
      <c r="M145" s="265"/>
    </row>
    <row r="146" spans="1:13" ht="22.5" customHeight="1" x14ac:dyDescent="0.15">
      <c r="A146" s="246">
        <v>132</v>
      </c>
      <c r="B146" s="1027">
        <f>名簿入力!D277</f>
        <v>0</v>
      </c>
      <c r="C146" s="1028">
        <f>名簿入力!F277</f>
        <v>0</v>
      </c>
      <c r="D146" s="1029" t="str">
        <f>IF(名簿入力!H277="○","女",IF(名簿入力!G277="○","男",""))</f>
        <v/>
      </c>
      <c r="E146" s="1027">
        <f>名簿入力!I277</f>
        <v>0</v>
      </c>
      <c r="F146" s="1027">
        <f>名簿入力!M277</f>
        <v>0</v>
      </c>
      <c r="G146" s="1027">
        <f>名簿入力!R277</f>
        <v>0</v>
      </c>
      <c r="H146" s="1027">
        <f>名簿入力!W277</f>
        <v>0</v>
      </c>
      <c r="I146" s="1027">
        <f>名簿入力!AB277</f>
        <v>0</v>
      </c>
      <c r="J146" s="1027">
        <f>名簿入力!AG277</f>
        <v>0</v>
      </c>
      <c r="K146" s="1025">
        <f>名簿入力!AK277</f>
        <v>0</v>
      </c>
      <c r="L146" s="1032">
        <f>名簿入力!AK278</f>
        <v>0</v>
      </c>
      <c r="M146" s="265"/>
    </row>
    <row r="147" spans="1:13" ht="22.5" customHeight="1" x14ac:dyDescent="0.15">
      <c r="A147" s="246">
        <v>133</v>
      </c>
      <c r="B147" s="1022">
        <f>名簿入力!D279</f>
        <v>0</v>
      </c>
      <c r="C147" s="1023">
        <f>名簿入力!F279</f>
        <v>0</v>
      </c>
      <c r="D147" s="1024" t="str">
        <f>IF(名簿入力!H279="○","女",IF(名簿入力!G279="○","男",""))</f>
        <v/>
      </c>
      <c r="E147" s="1022">
        <f>名簿入力!I279</f>
        <v>0</v>
      </c>
      <c r="F147" s="1022">
        <f>名簿入力!M279</f>
        <v>0</v>
      </c>
      <c r="G147" s="1022">
        <f>名簿入力!R279</f>
        <v>0</v>
      </c>
      <c r="H147" s="1022">
        <f>名簿入力!W279</f>
        <v>0</v>
      </c>
      <c r="I147" s="1022">
        <f>名簿入力!AB279</f>
        <v>0</v>
      </c>
      <c r="J147" s="1022">
        <f>名簿入力!AG279</f>
        <v>0</v>
      </c>
      <c r="K147" s="1025">
        <f>名簿入力!AK279</f>
        <v>0</v>
      </c>
      <c r="L147" s="1032">
        <f>名簿入力!AK280</f>
        <v>0</v>
      </c>
      <c r="M147" s="265"/>
    </row>
    <row r="148" spans="1:13" ht="22.5" customHeight="1" x14ac:dyDescent="0.15">
      <c r="A148" s="246">
        <v>134</v>
      </c>
      <c r="B148" s="1027">
        <f>名簿入力!D281</f>
        <v>0</v>
      </c>
      <c r="C148" s="1028">
        <f>名簿入力!F281</f>
        <v>0</v>
      </c>
      <c r="D148" s="1029" t="str">
        <f>IF(名簿入力!H281="○","女",IF(名簿入力!G281="○","男",""))</f>
        <v/>
      </c>
      <c r="E148" s="1027">
        <f>名簿入力!I281</f>
        <v>0</v>
      </c>
      <c r="F148" s="1027">
        <f>名簿入力!M281</f>
        <v>0</v>
      </c>
      <c r="G148" s="1027">
        <f>名簿入力!R281</f>
        <v>0</v>
      </c>
      <c r="H148" s="1027">
        <f>名簿入力!W281</f>
        <v>0</v>
      </c>
      <c r="I148" s="1027">
        <f>名簿入力!AB281</f>
        <v>0</v>
      </c>
      <c r="J148" s="1027">
        <f>名簿入力!AG281</f>
        <v>0</v>
      </c>
      <c r="K148" s="1025">
        <f>名簿入力!AK281</f>
        <v>0</v>
      </c>
      <c r="L148" s="1032">
        <f>名簿入力!AK282</f>
        <v>0</v>
      </c>
      <c r="M148" s="265"/>
    </row>
    <row r="149" spans="1:13" ht="22.5" customHeight="1" x14ac:dyDescent="0.15">
      <c r="A149" s="246">
        <v>135</v>
      </c>
      <c r="B149" s="1022">
        <f>名簿入力!D283</f>
        <v>0</v>
      </c>
      <c r="C149" s="1023">
        <f>名簿入力!F283</f>
        <v>0</v>
      </c>
      <c r="D149" s="1024" t="str">
        <f>IF(名簿入力!H283="○","女",IF(名簿入力!G283="○","男",""))</f>
        <v/>
      </c>
      <c r="E149" s="1022">
        <f>名簿入力!I283</f>
        <v>0</v>
      </c>
      <c r="F149" s="1022">
        <f>名簿入力!M283</f>
        <v>0</v>
      </c>
      <c r="G149" s="1022">
        <f>名簿入力!R283</f>
        <v>0</v>
      </c>
      <c r="H149" s="1022">
        <f>名簿入力!W283</f>
        <v>0</v>
      </c>
      <c r="I149" s="1022">
        <f>名簿入力!AB283</f>
        <v>0</v>
      </c>
      <c r="J149" s="1022">
        <f>名簿入力!AG283</f>
        <v>0</v>
      </c>
      <c r="K149" s="1025">
        <f>名簿入力!AK283</f>
        <v>0</v>
      </c>
      <c r="L149" s="1032">
        <f>名簿入力!AK284</f>
        <v>0</v>
      </c>
      <c r="M149" s="265"/>
    </row>
    <row r="150" spans="1:13" ht="22.5" customHeight="1" x14ac:dyDescent="0.15">
      <c r="A150" s="246">
        <v>136</v>
      </c>
      <c r="B150" s="1027">
        <f>名簿入力!D285</f>
        <v>0</v>
      </c>
      <c r="C150" s="1028">
        <f>名簿入力!F285</f>
        <v>0</v>
      </c>
      <c r="D150" s="1029" t="str">
        <f>IF(名簿入力!H285="○","女",IF(名簿入力!G285="○","男",""))</f>
        <v/>
      </c>
      <c r="E150" s="1027">
        <f>名簿入力!I285</f>
        <v>0</v>
      </c>
      <c r="F150" s="1027">
        <f>名簿入力!M285</f>
        <v>0</v>
      </c>
      <c r="G150" s="1027">
        <f>名簿入力!R285</f>
        <v>0</v>
      </c>
      <c r="H150" s="1027">
        <f>名簿入力!W285</f>
        <v>0</v>
      </c>
      <c r="I150" s="1027">
        <f>名簿入力!AB285</f>
        <v>0</v>
      </c>
      <c r="J150" s="1027">
        <f>名簿入力!AG285</f>
        <v>0</v>
      </c>
      <c r="K150" s="1025">
        <f>名簿入力!AK285</f>
        <v>0</v>
      </c>
      <c r="L150" s="1032">
        <f>名簿入力!AK286</f>
        <v>0</v>
      </c>
      <c r="M150" s="265"/>
    </row>
    <row r="151" spans="1:13" ht="22.5" customHeight="1" x14ac:dyDescent="0.15">
      <c r="A151" s="246">
        <v>137</v>
      </c>
      <c r="B151" s="1022">
        <f>名簿入力!D287</f>
        <v>0</v>
      </c>
      <c r="C151" s="1023">
        <f>名簿入力!F287</f>
        <v>0</v>
      </c>
      <c r="D151" s="1024" t="str">
        <f>IF(名簿入力!H287="○","女",IF(名簿入力!G287="○","男",""))</f>
        <v/>
      </c>
      <c r="E151" s="1022">
        <f>名簿入力!I287</f>
        <v>0</v>
      </c>
      <c r="F151" s="1022">
        <f>名簿入力!M287</f>
        <v>0</v>
      </c>
      <c r="G151" s="1022">
        <f>名簿入力!R287</f>
        <v>0</v>
      </c>
      <c r="H151" s="1022">
        <f>名簿入力!W287</f>
        <v>0</v>
      </c>
      <c r="I151" s="1022">
        <f>名簿入力!AB287</f>
        <v>0</v>
      </c>
      <c r="J151" s="1022">
        <f>名簿入力!AG287</f>
        <v>0</v>
      </c>
      <c r="K151" s="1025">
        <f>名簿入力!AK287</f>
        <v>0</v>
      </c>
      <c r="L151" s="1032">
        <f>名簿入力!AK288</f>
        <v>0</v>
      </c>
      <c r="M151" s="265"/>
    </row>
    <row r="152" spans="1:13" ht="22.5" customHeight="1" x14ac:dyDescent="0.15">
      <c r="A152" s="246">
        <v>138</v>
      </c>
      <c r="B152" s="1027">
        <f>名簿入力!D289</f>
        <v>0</v>
      </c>
      <c r="C152" s="1028">
        <f>名簿入力!F289</f>
        <v>0</v>
      </c>
      <c r="D152" s="1029" t="str">
        <f>IF(名簿入力!H289="○","女",IF(名簿入力!G289="○","男",""))</f>
        <v/>
      </c>
      <c r="E152" s="1027">
        <f>名簿入力!I289</f>
        <v>0</v>
      </c>
      <c r="F152" s="1027">
        <f>名簿入力!M289</f>
        <v>0</v>
      </c>
      <c r="G152" s="1027">
        <f>名簿入力!R289</f>
        <v>0</v>
      </c>
      <c r="H152" s="1027">
        <f>名簿入力!W289</f>
        <v>0</v>
      </c>
      <c r="I152" s="1027">
        <f>名簿入力!AB289</f>
        <v>0</v>
      </c>
      <c r="J152" s="1027">
        <f>名簿入力!AG289</f>
        <v>0</v>
      </c>
      <c r="K152" s="1025">
        <f>名簿入力!AK289</f>
        <v>0</v>
      </c>
      <c r="L152" s="1032">
        <f>名簿入力!AK290</f>
        <v>0</v>
      </c>
      <c r="M152" s="265"/>
    </row>
    <row r="153" spans="1:13" ht="22.5" customHeight="1" x14ac:dyDescent="0.15">
      <c r="A153" s="246">
        <v>139</v>
      </c>
      <c r="B153" s="1022">
        <f>名簿入力!D291</f>
        <v>0</v>
      </c>
      <c r="C153" s="1023">
        <f>名簿入力!F291</f>
        <v>0</v>
      </c>
      <c r="D153" s="1024" t="str">
        <f>IF(名簿入力!H291="○","女",IF(名簿入力!G291="○","男",""))</f>
        <v/>
      </c>
      <c r="E153" s="1022">
        <f>名簿入力!I291</f>
        <v>0</v>
      </c>
      <c r="F153" s="1022">
        <f>名簿入力!M291</f>
        <v>0</v>
      </c>
      <c r="G153" s="1022">
        <f>名簿入力!R291</f>
        <v>0</v>
      </c>
      <c r="H153" s="1022">
        <f>名簿入力!W291</f>
        <v>0</v>
      </c>
      <c r="I153" s="1022">
        <f>名簿入力!AB291</f>
        <v>0</v>
      </c>
      <c r="J153" s="1022">
        <f>名簿入力!AG291</f>
        <v>0</v>
      </c>
      <c r="K153" s="1025">
        <f>名簿入力!AK291</f>
        <v>0</v>
      </c>
      <c r="L153" s="1032">
        <f>名簿入力!AK292</f>
        <v>0</v>
      </c>
      <c r="M153" s="265"/>
    </row>
    <row r="154" spans="1:13" ht="22.5" customHeight="1" x14ac:dyDescent="0.15">
      <c r="A154" s="246">
        <v>140</v>
      </c>
      <c r="B154" s="1027">
        <f>名簿入力!D293</f>
        <v>0</v>
      </c>
      <c r="C154" s="1028">
        <f>名簿入力!F293</f>
        <v>0</v>
      </c>
      <c r="D154" s="1029" t="str">
        <f>IF(名簿入力!H293="○","女",IF(名簿入力!G293="○","男",""))</f>
        <v/>
      </c>
      <c r="E154" s="1027">
        <f>名簿入力!I293</f>
        <v>0</v>
      </c>
      <c r="F154" s="1027">
        <f>名簿入力!M293</f>
        <v>0</v>
      </c>
      <c r="G154" s="1027">
        <f>名簿入力!R293</f>
        <v>0</v>
      </c>
      <c r="H154" s="1027">
        <f>名簿入力!W293</f>
        <v>0</v>
      </c>
      <c r="I154" s="1027">
        <f>名簿入力!AB293</f>
        <v>0</v>
      </c>
      <c r="J154" s="1027">
        <f>名簿入力!AG293</f>
        <v>0</v>
      </c>
      <c r="K154" s="1025">
        <f>名簿入力!AK293</f>
        <v>0</v>
      </c>
      <c r="L154" s="1032">
        <f>名簿入力!AK294</f>
        <v>0</v>
      </c>
      <c r="M154" s="265"/>
    </row>
    <row r="155" spans="1:13" ht="22.5" customHeight="1" x14ac:dyDescent="0.15">
      <c r="A155" s="246">
        <v>141</v>
      </c>
      <c r="B155" s="1022">
        <f>名簿入力!D295</f>
        <v>0</v>
      </c>
      <c r="C155" s="1023">
        <f>名簿入力!F295</f>
        <v>0</v>
      </c>
      <c r="D155" s="1024" t="str">
        <f>IF(名簿入力!H295="○","女",IF(名簿入力!G295="○","男",""))</f>
        <v/>
      </c>
      <c r="E155" s="1022">
        <f>名簿入力!I295</f>
        <v>0</v>
      </c>
      <c r="F155" s="1022">
        <f>名簿入力!M295</f>
        <v>0</v>
      </c>
      <c r="G155" s="1022">
        <f>名簿入力!R295</f>
        <v>0</v>
      </c>
      <c r="H155" s="1022">
        <f>名簿入力!W295</f>
        <v>0</v>
      </c>
      <c r="I155" s="1022">
        <f>名簿入力!AB295</f>
        <v>0</v>
      </c>
      <c r="J155" s="1022">
        <f>名簿入力!AG295</f>
        <v>0</v>
      </c>
      <c r="K155" s="1025">
        <f>名簿入力!AK295</f>
        <v>0</v>
      </c>
      <c r="L155" s="1032">
        <f>名簿入力!AK296</f>
        <v>0</v>
      </c>
      <c r="M155" s="265"/>
    </row>
    <row r="156" spans="1:13" ht="22.5" customHeight="1" x14ac:dyDescent="0.15">
      <c r="A156" s="246">
        <v>142</v>
      </c>
      <c r="B156" s="1027">
        <f>名簿入力!D297</f>
        <v>0</v>
      </c>
      <c r="C156" s="1028">
        <f>名簿入力!F297</f>
        <v>0</v>
      </c>
      <c r="D156" s="1029" t="str">
        <f>IF(名簿入力!H297="○","女",IF(名簿入力!G297="○","男",""))</f>
        <v/>
      </c>
      <c r="E156" s="1027">
        <f>名簿入力!I297</f>
        <v>0</v>
      </c>
      <c r="F156" s="1027">
        <f>名簿入力!M297</f>
        <v>0</v>
      </c>
      <c r="G156" s="1027">
        <f>名簿入力!R297</f>
        <v>0</v>
      </c>
      <c r="H156" s="1027">
        <f>名簿入力!W297</f>
        <v>0</v>
      </c>
      <c r="I156" s="1027">
        <f>名簿入力!AB297</f>
        <v>0</v>
      </c>
      <c r="J156" s="1027">
        <f>名簿入力!AG297</f>
        <v>0</v>
      </c>
      <c r="K156" s="1025">
        <f>名簿入力!AK297</f>
        <v>0</v>
      </c>
      <c r="L156" s="1032">
        <f>名簿入力!AK298</f>
        <v>0</v>
      </c>
      <c r="M156" s="265"/>
    </row>
    <row r="157" spans="1:13" ht="22.5" customHeight="1" x14ac:dyDescent="0.15">
      <c r="A157" s="246">
        <v>143</v>
      </c>
      <c r="B157" s="1022">
        <f>名簿入力!D299</f>
        <v>0</v>
      </c>
      <c r="C157" s="1023">
        <f>名簿入力!F299</f>
        <v>0</v>
      </c>
      <c r="D157" s="1024" t="str">
        <f>IF(名簿入力!H299="○","女",IF(名簿入力!G299="○","男",""))</f>
        <v/>
      </c>
      <c r="E157" s="1022">
        <f>名簿入力!I299</f>
        <v>0</v>
      </c>
      <c r="F157" s="1022">
        <f>名簿入力!M299</f>
        <v>0</v>
      </c>
      <c r="G157" s="1022">
        <f>名簿入力!R299</f>
        <v>0</v>
      </c>
      <c r="H157" s="1022">
        <f>名簿入力!W299</f>
        <v>0</v>
      </c>
      <c r="I157" s="1022">
        <f>名簿入力!AB299</f>
        <v>0</v>
      </c>
      <c r="J157" s="1022">
        <f>名簿入力!AG299</f>
        <v>0</v>
      </c>
      <c r="K157" s="1025">
        <f>名簿入力!AK299</f>
        <v>0</v>
      </c>
      <c r="L157" s="1032">
        <f>名簿入力!AK300</f>
        <v>0</v>
      </c>
      <c r="M157" s="265"/>
    </row>
    <row r="158" spans="1:13" ht="22.5" customHeight="1" x14ac:dyDescent="0.15">
      <c r="A158" s="246">
        <v>144</v>
      </c>
      <c r="B158" s="1027">
        <f>名簿入力!D301</f>
        <v>0</v>
      </c>
      <c r="C158" s="1028">
        <f>名簿入力!F301</f>
        <v>0</v>
      </c>
      <c r="D158" s="1029" t="str">
        <f>IF(名簿入力!H301="○","女",IF(名簿入力!G301="○","男",""))</f>
        <v/>
      </c>
      <c r="E158" s="1027">
        <f>名簿入力!I301</f>
        <v>0</v>
      </c>
      <c r="F158" s="1027">
        <f>名簿入力!M301</f>
        <v>0</v>
      </c>
      <c r="G158" s="1027">
        <f>名簿入力!R301</f>
        <v>0</v>
      </c>
      <c r="H158" s="1027">
        <f>名簿入力!W301</f>
        <v>0</v>
      </c>
      <c r="I158" s="1027">
        <f>名簿入力!AB301</f>
        <v>0</v>
      </c>
      <c r="J158" s="1027">
        <f>名簿入力!AG301</f>
        <v>0</v>
      </c>
      <c r="K158" s="1025">
        <f>名簿入力!AK301</f>
        <v>0</v>
      </c>
      <c r="L158" s="1032">
        <f>名簿入力!AK302</f>
        <v>0</v>
      </c>
      <c r="M158" s="265"/>
    </row>
    <row r="159" spans="1:13" ht="22.5" customHeight="1" x14ac:dyDescent="0.15">
      <c r="A159" s="246">
        <v>145</v>
      </c>
      <c r="B159" s="1022">
        <f>名簿入力!D303</f>
        <v>0</v>
      </c>
      <c r="C159" s="1023">
        <f>名簿入力!F303</f>
        <v>0</v>
      </c>
      <c r="D159" s="1024" t="str">
        <f>IF(名簿入力!H303="○","女",IF(名簿入力!G303="○","男",""))</f>
        <v/>
      </c>
      <c r="E159" s="1022">
        <f>名簿入力!I303</f>
        <v>0</v>
      </c>
      <c r="F159" s="1022">
        <f>名簿入力!M303</f>
        <v>0</v>
      </c>
      <c r="G159" s="1022">
        <f>名簿入力!R303</f>
        <v>0</v>
      </c>
      <c r="H159" s="1022">
        <f>名簿入力!W303</f>
        <v>0</v>
      </c>
      <c r="I159" s="1022">
        <f>名簿入力!AB303</f>
        <v>0</v>
      </c>
      <c r="J159" s="1022">
        <f>名簿入力!AG303</f>
        <v>0</v>
      </c>
      <c r="K159" s="1025">
        <f>名簿入力!AK303</f>
        <v>0</v>
      </c>
      <c r="L159" s="1032">
        <f>名簿入力!AK304</f>
        <v>0</v>
      </c>
      <c r="M159" s="265"/>
    </row>
    <row r="160" spans="1:13" ht="22.5" customHeight="1" x14ac:dyDescent="0.15">
      <c r="A160" s="246">
        <v>146</v>
      </c>
      <c r="B160" s="1027">
        <f>名簿入力!D305</f>
        <v>0</v>
      </c>
      <c r="C160" s="1028">
        <f>名簿入力!F305</f>
        <v>0</v>
      </c>
      <c r="D160" s="1029" t="str">
        <f>IF(名簿入力!H305="○","女",IF(名簿入力!G305="○","男",""))</f>
        <v/>
      </c>
      <c r="E160" s="1027">
        <f>名簿入力!I305</f>
        <v>0</v>
      </c>
      <c r="F160" s="1027">
        <f>名簿入力!M305</f>
        <v>0</v>
      </c>
      <c r="G160" s="1027">
        <f>名簿入力!R305</f>
        <v>0</v>
      </c>
      <c r="H160" s="1027">
        <f>名簿入力!W305</f>
        <v>0</v>
      </c>
      <c r="I160" s="1027">
        <f>名簿入力!AB305</f>
        <v>0</v>
      </c>
      <c r="J160" s="1027">
        <f>名簿入力!AG305</f>
        <v>0</v>
      </c>
      <c r="K160" s="1025">
        <f>名簿入力!AK305</f>
        <v>0</v>
      </c>
      <c r="L160" s="1032">
        <f>名簿入力!AK306</f>
        <v>0</v>
      </c>
      <c r="M160" s="265"/>
    </row>
    <row r="161" spans="1:13" ht="22.5" customHeight="1" x14ac:dyDescent="0.15">
      <c r="A161" s="246">
        <v>147</v>
      </c>
      <c r="B161" s="1022">
        <f>名簿入力!D307</f>
        <v>0</v>
      </c>
      <c r="C161" s="1023">
        <f>名簿入力!F307</f>
        <v>0</v>
      </c>
      <c r="D161" s="1024" t="str">
        <f>IF(名簿入力!H307="○","女",IF(名簿入力!G307="○","男",""))</f>
        <v/>
      </c>
      <c r="E161" s="1022">
        <f>名簿入力!I307</f>
        <v>0</v>
      </c>
      <c r="F161" s="1022">
        <f>名簿入力!M307</f>
        <v>0</v>
      </c>
      <c r="G161" s="1022">
        <f>名簿入力!R307</f>
        <v>0</v>
      </c>
      <c r="H161" s="1022">
        <f>名簿入力!W307</f>
        <v>0</v>
      </c>
      <c r="I161" s="1022">
        <f>名簿入力!AB307</f>
        <v>0</v>
      </c>
      <c r="J161" s="1022">
        <f>名簿入力!AG307</f>
        <v>0</v>
      </c>
      <c r="K161" s="1025">
        <f>名簿入力!AK307</f>
        <v>0</v>
      </c>
      <c r="L161" s="1032">
        <f>名簿入力!AK308</f>
        <v>0</v>
      </c>
      <c r="M161" s="265"/>
    </row>
    <row r="162" spans="1:13" ht="22.5" customHeight="1" x14ac:dyDescent="0.15">
      <c r="A162" s="246">
        <v>148</v>
      </c>
      <c r="B162" s="1027">
        <f>名簿入力!D309</f>
        <v>0</v>
      </c>
      <c r="C162" s="1028">
        <f>名簿入力!F309</f>
        <v>0</v>
      </c>
      <c r="D162" s="1029" t="str">
        <f>IF(名簿入力!H309="○","女",IF(名簿入力!G309="○","男",""))</f>
        <v/>
      </c>
      <c r="E162" s="1027">
        <f>名簿入力!I309</f>
        <v>0</v>
      </c>
      <c r="F162" s="1027">
        <f>名簿入力!M309</f>
        <v>0</v>
      </c>
      <c r="G162" s="1027">
        <f>名簿入力!R309</f>
        <v>0</v>
      </c>
      <c r="H162" s="1027">
        <f>名簿入力!W309</f>
        <v>0</v>
      </c>
      <c r="I162" s="1027">
        <f>名簿入力!AB309</f>
        <v>0</v>
      </c>
      <c r="J162" s="1027">
        <f>名簿入力!AG309</f>
        <v>0</v>
      </c>
      <c r="K162" s="1025">
        <f>名簿入力!AK309</f>
        <v>0</v>
      </c>
      <c r="L162" s="1032">
        <f>名簿入力!AK310</f>
        <v>0</v>
      </c>
      <c r="M162" s="265"/>
    </row>
    <row r="163" spans="1:13" ht="22.5" customHeight="1" x14ac:dyDescent="0.15">
      <c r="A163" s="246">
        <v>149</v>
      </c>
      <c r="B163" s="1022">
        <f>名簿入力!D311</f>
        <v>0</v>
      </c>
      <c r="C163" s="1023">
        <f>名簿入力!F311</f>
        <v>0</v>
      </c>
      <c r="D163" s="1024" t="str">
        <f>IF(名簿入力!H311="○","女",IF(名簿入力!G311="○","男",""))</f>
        <v/>
      </c>
      <c r="E163" s="1022">
        <f>名簿入力!I311</f>
        <v>0</v>
      </c>
      <c r="F163" s="1022">
        <f>名簿入力!M311</f>
        <v>0</v>
      </c>
      <c r="G163" s="1022">
        <f>名簿入力!R311</f>
        <v>0</v>
      </c>
      <c r="H163" s="1022">
        <f>名簿入力!W311</f>
        <v>0</v>
      </c>
      <c r="I163" s="1022">
        <f>名簿入力!AB311</f>
        <v>0</v>
      </c>
      <c r="J163" s="1022">
        <f>名簿入力!AG311</f>
        <v>0</v>
      </c>
      <c r="K163" s="1025">
        <f>名簿入力!AK311</f>
        <v>0</v>
      </c>
      <c r="L163" s="1032">
        <f>名簿入力!AK312</f>
        <v>0</v>
      </c>
      <c r="M163" s="265"/>
    </row>
    <row r="164" spans="1:13" ht="22.5" customHeight="1" x14ac:dyDescent="0.15">
      <c r="A164" s="246">
        <v>150</v>
      </c>
      <c r="B164" s="1027">
        <f>名簿入力!D313</f>
        <v>0</v>
      </c>
      <c r="C164" s="1028">
        <f>名簿入力!F313</f>
        <v>0</v>
      </c>
      <c r="D164" s="1029" t="str">
        <f>IF(名簿入力!H313="○","女",IF(名簿入力!G313="○","男",""))</f>
        <v/>
      </c>
      <c r="E164" s="1027">
        <f>名簿入力!I313</f>
        <v>0</v>
      </c>
      <c r="F164" s="1027">
        <f>名簿入力!M313</f>
        <v>0</v>
      </c>
      <c r="G164" s="1027">
        <f>名簿入力!R313</f>
        <v>0</v>
      </c>
      <c r="H164" s="1027">
        <f>名簿入力!W313</f>
        <v>0</v>
      </c>
      <c r="I164" s="1027">
        <f>名簿入力!AB313</f>
        <v>0</v>
      </c>
      <c r="J164" s="1027">
        <f>名簿入力!AG313</f>
        <v>0</v>
      </c>
      <c r="K164" s="1025">
        <f>名簿入力!AK313</f>
        <v>0</v>
      </c>
      <c r="L164" s="1032">
        <f>名簿入力!AK314</f>
        <v>0</v>
      </c>
      <c r="M164" s="265"/>
    </row>
    <row r="165" spans="1:13" ht="22.5" customHeight="1" x14ac:dyDescent="0.15">
      <c r="A165" s="246">
        <v>151</v>
      </c>
      <c r="B165" s="1022">
        <f>名簿入力!D315</f>
        <v>0</v>
      </c>
      <c r="C165" s="1023">
        <f>名簿入力!F315</f>
        <v>0</v>
      </c>
      <c r="D165" s="1024" t="str">
        <f>IF(名簿入力!H315="○","女",IF(名簿入力!G315="○","男",""))</f>
        <v/>
      </c>
      <c r="E165" s="1022">
        <f>名簿入力!I315</f>
        <v>0</v>
      </c>
      <c r="F165" s="1022">
        <f>名簿入力!M315</f>
        <v>0</v>
      </c>
      <c r="G165" s="1022">
        <f>名簿入力!R315</f>
        <v>0</v>
      </c>
      <c r="H165" s="1022">
        <f>名簿入力!W315</f>
        <v>0</v>
      </c>
      <c r="I165" s="1022">
        <f>名簿入力!AB315</f>
        <v>0</v>
      </c>
      <c r="J165" s="1022">
        <f>名簿入力!AG315</f>
        <v>0</v>
      </c>
      <c r="K165" s="1025">
        <f>名簿入力!AK315</f>
        <v>0</v>
      </c>
      <c r="L165" s="1032">
        <f>名簿入力!AK316</f>
        <v>0</v>
      </c>
      <c r="M165" s="265"/>
    </row>
    <row r="166" spans="1:13" ht="22.5" customHeight="1" x14ac:dyDescent="0.15">
      <c r="A166" s="246">
        <v>152</v>
      </c>
      <c r="B166" s="1027">
        <f>名簿入力!D317</f>
        <v>0</v>
      </c>
      <c r="C166" s="1028">
        <f>名簿入力!F317</f>
        <v>0</v>
      </c>
      <c r="D166" s="1029" t="str">
        <f>IF(名簿入力!H317="○","女",IF(名簿入力!G317="○","男",""))</f>
        <v/>
      </c>
      <c r="E166" s="1027">
        <f>名簿入力!I317</f>
        <v>0</v>
      </c>
      <c r="F166" s="1027">
        <f>名簿入力!M317</f>
        <v>0</v>
      </c>
      <c r="G166" s="1027">
        <f>名簿入力!R317</f>
        <v>0</v>
      </c>
      <c r="H166" s="1027">
        <f>名簿入力!W317</f>
        <v>0</v>
      </c>
      <c r="I166" s="1027">
        <f>名簿入力!AB317</f>
        <v>0</v>
      </c>
      <c r="J166" s="1027">
        <f>名簿入力!AG317</f>
        <v>0</v>
      </c>
      <c r="K166" s="1025">
        <f>名簿入力!AK317</f>
        <v>0</v>
      </c>
      <c r="L166" s="1032">
        <f>名簿入力!AK318</f>
        <v>0</v>
      </c>
      <c r="M166" s="265"/>
    </row>
    <row r="167" spans="1:13" ht="22.5" customHeight="1" x14ac:dyDescent="0.15">
      <c r="A167" s="246">
        <v>153</v>
      </c>
      <c r="B167" s="1022">
        <f>名簿入力!D319</f>
        <v>0</v>
      </c>
      <c r="C167" s="1023">
        <f>名簿入力!F319</f>
        <v>0</v>
      </c>
      <c r="D167" s="1024" t="str">
        <f>IF(名簿入力!H319="○","女",IF(名簿入力!G319="○","男",""))</f>
        <v/>
      </c>
      <c r="E167" s="1022">
        <f>名簿入力!I319</f>
        <v>0</v>
      </c>
      <c r="F167" s="1022">
        <f>名簿入力!M319</f>
        <v>0</v>
      </c>
      <c r="G167" s="1022">
        <f>名簿入力!R319</f>
        <v>0</v>
      </c>
      <c r="H167" s="1022">
        <f>名簿入力!W319</f>
        <v>0</v>
      </c>
      <c r="I167" s="1022">
        <f>名簿入力!AB319</f>
        <v>0</v>
      </c>
      <c r="J167" s="1022">
        <f>名簿入力!AG319</f>
        <v>0</v>
      </c>
      <c r="K167" s="1025">
        <f>名簿入力!AK319</f>
        <v>0</v>
      </c>
      <c r="L167" s="1032">
        <f>名簿入力!AK320</f>
        <v>0</v>
      </c>
      <c r="M167" s="265"/>
    </row>
    <row r="168" spans="1:13" ht="22.5" customHeight="1" x14ac:dyDescent="0.15">
      <c r="A168" s="246">
        <v>154</v>
      </c>
      <c r="B168" s="1027">
        <f>名簿入力!D321</f>
        <v>0</v>
      </c>
      <c r="C168" s="1028">
        <f>名簿入力!F321</f>
        <v>0</v>
      </c>
      <c r="D168" s="1029" t="str">
        <f>IF(名簿入力!H321="○","女",IF(名簿入力!G321="○","男",""))</f>
        <v/>
      </c>
      <c r="E168" s="1027">
        <f>名簿入力!I321</f>
        <v>0</v>
      </c>
      <c r="F168" s="1027">
        <f>名簿入力!M321</f>
        <v>0</v>
      </c>
      <c r="G168" s="1027">
        <f>名簿入力!R321</f>
        <v>0</v>
      </c>
      <c r="H168" s="1027">
        <f>名簿入力!W321</f>
        <v>0</v>
      </c>
      <c r="I168" s="1027">
        <f>名簿入力!AB321</f>
        <v>0</v>
      </c>
      <c r="J168" s="1027">
        <f>名簿入力!AG321</f>
        <v>0</v>
      </c>
      <c r="K168" s="1025">
        <f>名簿入力!AK321</f>
        <v>0</v>
      </c>
      <c r="L168" s="1032">
        <f>名簿入力!AK322</f>
        <v>0</v>
      </c>
      <c r="M168" s="265"/>
    </row>
    <row r="169" spans="1:13" ht="22.5" customHeight="1" x14ac:dyDescent="0.15">
      <c r="A169" s="246">
        <v>155</v>
      </c>
      <c r="B169" s="1022">
        <f>名簿入力!D323</f>
        <v>0</v>
      </c>
      <c r="C169" s="1023">
        <f>名簿入力!F323</f>
        <v>0</v>
      </c>
      <c r="D169" s="1024" t="str">
        <f>IF(名簿入力!H323="○","女",IF(名簿入力!G323="○","男",""))</f>
        <v/>
      </c>
      <c r="E169" s="1022">
        <f>名簿入力!I323</f>
        <v>0</v>
      </c>
      <c r="F169" s="1022">
        <f>名簿入力!M323</f>
        <v>0</v>
      </c>
      <c r="G169" s="1022">
        <f>名簿入力!R323</f>
        <v>0</v>
      </c>
      <c r="H169" s="1022">
        <f>名簿入力!W323</f>
        <v>0</v>
      </c>
      <c r="I169" s="1022">
        <f>名簿入力!AB323</f>
        <v>0</v>
      </c>
      <c r="J169" s="1022">
        <f>名簿入力!AG323</f>
        <v>0</v>
      </c>
      <c r="K169" s="1025">
        <f>名簿入力!AK323</f>
        <v>0</v>
      </c>
      <c r="L169" s="1032">
        <f>名簿入力!AK324</f>
        <v>0</v>
      </c>
      <c r="M169" s="265"/>
    </row>
    <row r="170" spans="1:13" ht="22.5" customHeight="1" x14ac:dyDescent="0.15">
      <c r="A170" s="246">
        <v>156</v>
      </c>
      <c r="B170" s="1027">
        <f>名簿入力!D325</f>
        <v>0</v>
      </c>
      <c r="C170" s="1028">
        <f>名簿入力!F325</f>
        <v>0</v>
      </c>
      <c r="D170" s="1029" t="str">
        <f>IF(名簿入力!H325="○","女",IF(名簿入力!G325="○","男",""))</f>
        <v/>
      </c>
      <c r="E170" s="1027">
        <f>名簿入力!I325</f>
        <v>0</v>
      </c>
      <c r="F170" s="1027">
        <f>名簿入力!M325</f>
        <v>0</v>
      </c>
      <c r="G170" s="1027">
        <f>名簿入力!R325</f>
        <v>0</v>
      </c>
      <c r="H170" s="1027">
        <f>名簿入力!W325</f>
        <v>0</v>
      </c>
      <c r="I170" s="1027">
        <f>名簿入力!AB325</f>
        <v>0</v>
      </c>
      <c r="J170" s="1027">
        <f>名簿入力!AG325</f>
        <v>0</v>
      </c>
      <c r="K170" s="1025">
        <f>名簿入力!AK325</f>
        <v>0</v>
      </c>
      <c r="L170" s="1032">
        <f>名簿入力!AK326</f>
        <v>0</v>
      </c>
      <c r="M170" s="265"/>
    </row>
    <row r="171" spans="1:13" ht="22.5" customHeight="1" x14ac:dyDescent="0.15">
      <c r="A171" s="246">
        <v>157</v>
      </c>
      <c r="B171" s="1022">
        <f>名簿入力!D327</f>
        <v>0</v>
      </c>
      <c r="C171" s="1023">
        <f>名簿入力!F327</f>
        <v>0</v>
      </c>
      <c r="D171" s="1024" t="str">
        <f>IF(名簿入力!H327="○","女",IF(名簿入力!G327="○","男",""))</f>
        <v/>
      </c>
      <c r="E171" s="1022">
        <f>名簿入力!I327</f>
        <v>0</v>
      </c>
      <c r="F171" s="1022">
        <f>名簿入力!M327</f>
        <v>0</v>
      </c>
      <c r="G171" s="1022">
        <f>名簿入力!R327</f>
        <v>0</v>
      </c>
      <c r="H171" s="1022">
        <f>名簿入力!W327</f>
        <v>0</v>
      </c>
      <c r="I171" s="1022">
        <f>名簿入力!AB327</f>
        <v>0</v>
      </c>
      <c r="J171" s="1022">
        <f>名簿入力!AG327</f>
        <v>0</v>
      </c>
      <c r="K171" s="1025">
        <f>名簿入力!AK327</f>
        <v>0</v>
      </c>
      <c r="L171" s="1032">
        <f>名簿入力!AK328</f>
        <v>0</v>
      </c>
      <c r="M171" s="265"/>
    </row>
    <row r="172" spans="1:13" ht="22.5" customHeight="1" x14ac:dyDescent="0.15">
      <c r="A172" s="246">
        <v>158</v>
      </c>
      <c r="B172" s="1027">
        <f>名簿入力!D329</f>
        <v>0</v>
      </c>
      <c r="C172" s="1028">
        <f>名簿入力!F329</f>
        <v>0</v>
      </c>
      <c r="D172" s="1029" t="str">
        <f>IF(名簿入力!H329="○","女",IF(名簿入力!G329="○","男",""))</f>
        <v/>
      </c>
      <c r="E172" s="1027">
        <f>名簿入力!I329</f>
        <v>0</v>
      </c>
      <c r="F172" s="1027">
        <f>名簿入力!M329</f>
        <v>0</v>
      </c>
      <c r="G172" s="1027">
        <f>名簿入力!R329</f>
        <v>0</v>
      </c>
      <c r="H172" s="1027">
        <f>名簿入力!W329</f>
        <v>0</v>
      </c>
      <c r="I172" s="1027">
        <f>名簿入力!AB329</f>
        <v>0</v>
      </c>
      <c r="J172" s="1027">
        <f>名簿入力!AG329</f>
        <v>0</v>
      </c>
      <c r="K172" s="1025">
        <f>名簿入力!AK329</f>
        <v>0</v>
      </c>
      <c r="L172" s="1032">
        <f>名簿入力!AK330</f>
        <v>0</v>
      </c>
      <c r="M172" s="265"/>
    </row>
    <row r="173" spans="1:13" ht="22.5" customHeight="1" x14ac:dyDescent="0.15">
      <c r="A173" s="246">
        <v>159</v>
      </c>
      <c r="B173" s="1022">
        <f>名簿入力!D331</f>
        <v>0</v>
      </c>
      <c r="C173" s="1023">
        <f>名簿入力!F331</f>
        <v>0</v>
      </c>
      <c r="D173" s="1024" t="str">
        <f>IF(名簿入力!H331="○","女",IF(名簿入力!G331="○","男",""))</f>
        <v/>
      </c>
      <c r="E173" s="1022">
        <f>名簿入力!I331</f>
        <v>0</v>
      </c>
      <c r="F173" s="1022">
        <f>名簿入力!M331</f>
        <v>0</v>
      </c>
      <c r="G173" s="1022">
        <f>名簿入力!R331</f>
        <v>0</v>
      </c>
      <c r="H173" s="1022">
        <f>名簿入力!W331</f>
        <v>0</v>
      </c>
      <c r="I173" s="1022">
        <f>名簿入力!AB331</f>
        <v>0</v>
      </c>
      <c r="J173" s="1022">
        <f>名簿入力!AG331</f>
        <v>0</v>
      </c>
      <c r="K173" s="1025">
        <f>名簿入力!AK331</f>
        <v>0</v>
      </c>
      <c r="L173" s="1032">
        <f>名簿入力!AK332</f>
        <v>0</v>
      </c>
      <c r="M173" s="265"/>
    </row>
    <row r="174" spans="1:13" ht="22.5" customHeight="1" x14ac:dyDescent="0.15">
      <c r="A174" s="246">
        <v>160</v>
      </c>
      <c r="B174" s="1027">
        <f>名簿入力!D333</f>
        <v>0</v>
      </c>
      <c r="C174" s="1028">
        <f>名簿入力!F333</f>
        <v>0</v>
      </c>
      <c r="D174" s="1029" t="str">
        <f>IF(名簿入力!H333="○","女",IF(名簿入力!G333="○","男",""))</f>
        <v/>
      </c>
      <c r="E174" s="1027">
        <f>名簿入力!I333</f>
        <v>0</v>
      </c>
      <c r="F174" s="1027">
        <f>名簿入力!M333</f>
        <v>0</v>
      </c>
      <c r="G174" s="1027">
        <f>名簿入力!R333</f>
        <v>0</v>
      </c>
      <c r="H174" s="1027">
        <f>名簿入力!W333</f>
        <v>0</v>
      </c>
      <c r="I174" s="1027">
        <f>名簿入力!AB333</f>
        <v>0</v>
      </c>
      <c r="J174" s="1027">
        <f>名簿入力!AG333</f>
        <v>0</v>
      </c>
      <c r="K174" s="1025">
        <f>名簿入力!AK333</f>
        <v>0</v>
      </c>
      <c r="L174" s="1032">
        <f>名簿入力!AK334</f>
        <v>0</v>
      </c>
      <c r="M174" s="265"/>
    </row>
    <row r="175" spans="1:13" ht="22.5" customHeight="1" x14ac:dyDescent="0.15">
      <c r="A175" s="246">
        <v>161</v>
      </c>
      <c r="B175" s="1022">
        <f>名簿入力!D335</f>
        <v>0</v>
      </c>
      <c r="C175" s="1023">
        <f>名簿入力!F335</f>
        <v>0</v>
      </c>
      <c r="D175" s="1024" t="str">
        <f>IF(名簿入力!H335="○","女",IF(名簿入力!G335="○","男",""))</f>
        <v/>
      </c>
      <c r="E175" s="1022">
        <f>名簿入力!I335</f>
        <v>0</v>
      </c>
      <c r="F175" s="1022">
        <f>名簿入力!M335</f>
        <v>0</v>
      </c>
      <c r="G175" s="1022">
        <f>名簿入力!R335</f>
        <v>0</v>
      </c>
      <c r="H175" s="1022">
        <f>名簿入力!W335</f>
        <v>0</v>
      </c>
      <c r="I175" s="1022">
        <f>名簿入力!AB335</f>
        <v>0</v>
      </c>
      <c r="J175" s="1022">
        <f>名簿入力!AG335</f>
        <v>0</v>
      </c>
      <c r="K175" s="1025">
        <f>名簿入力!AK335</f>
        <v>0</v>
      </c>
      <c r="L175" s="1032">
        <f>名簿入力!AK336</f>
        <v>0</v>
      </c>
      <c r="M175" s="265"/>
    </row>
    <row r="176" spans="1:13" ht="22.5" customHeight="1" x14ac:dyDescent="0.15">
      <c r="A176" s="246">
        <v>162</v>
      </c>
      <c r="B176" s="1027">
        <f>名簿入力!D337</f>
        <v>0</v>
      </c>
      <c r="C176" s="1028">
        <f>名簿入力!F337</f>
        <v>0</v>
      </c>
      <c r="D176" s="1029" t="str">
        <f>IF(名簿入力!H337="○","女",IF(名簿入力!G337="○","男",""))</f>
        <v/>
      </c>
      <c r="E176" s="1027">
        <f>名簿入力!I337</f>
        <v>0</v>
      </c>
      <c r="F176" s="1027">
        <f>名簿入力!M337</f>
        <v>0</v>
      </c>
      <c r="G176" s="1027">
        <f>名簿入力!R337</f>
        <v>0</v>
      </c>
      <c r="H176" s="1027">
        <f>名簿入力!W337</f>
        <v>0</v>
      </c>
      <c r="I176" s="1027">
        <f>名簿入力!AB337</f>
        <v>0</v>
      </c>
      <c r="J176" s="1027">
        <f>名簿入力!AG337</f>
        <v>0</v>
      </c>
      <c r="K176" s="1025">
        <f>名簿入力!AK337</f>
        <v>0</v>
      </c>
      <c r="L176" s="1032">
        <f>名簿入力!AK338</f>
        <v>0</v>
      </c>
      <c r="M176" s="265"/>
    </row>
    <row r="177" spans="1:13" ht="22.5" customHeight="1" x14ac:dyDescent="0.15">
      <c r="A177" s="246">
        <v>163</v>
      </c>
      <c r="B177" s="1022">
        <f>名簿入力!D339</f>
        <v>0</v>
      </c>
      <c r="C177" s="1023">
        <f>名簿入力!F339</f>
        <v>0</v>
      </c>
      <c r="D177" s="1024" t="str">
        <f>IF(名簿入力!H339="○","女",IF(名簿入力!G339="○","男",""))</f>
        <v/>
      </c>
      <c r="E177" s="1022">
        <f>名簿入力!I339</f>
        <v>0</v>
      </c>
      <c r="F177" s="1022">
        <f>名簿入力!M339</f>
        <v>0</v>
      </c>
      <c r="G177" s="1022">
        <f>名簿入力!R339</f>
        <v>0</v>
      </c>
      <c r="H177" s="1022">
        <f>名簿入力!W339</f>
        <v>0</v>
      </c>
      <c r="I177" s="1022">
        <f>名簿入力!AB339</f>
        <v>0</v>
      </c>
      <c r="J177" s="1022">
        <f>名簿入力!AG339</f>
        <v>0</v>
      </c>
      <c r="K177" s="1025">
        <f>名簿入力!AK339</f>
        <v>0</v>
      </c>
      <c r="L177" s="1032">
        <f>名簿入力!AK340</f>
        <v>0</v>
      </c>
      <c r="M177" s="265"/>
    </row>
    <row r="178" spans="1:13" ht="22.5" customHeight="1" x14ac:dyDescent="0.15">
      <c r="A178" s="246">
        <v>164</v>
      </c>
      <c r="B178" s="1027">
        <f>名簿入力!D341</f>
        <v>0</v>
      </c>
      <c r="C178" s="1028">
        <f>名簿入力!F341</f>
        <v>0</v>
      </c>
      <c r="D178" s="1029" t="str">
        <f>IF(名簿入力!H341="○","女",IF(名簿入力!G341="○","男",""))</f>
        <v/>
      </c>
      <c r="E178" s="1027">
        <f>名簿入力!I341</f>
        <v>0</v>
      </c>
      <c r="F178" s="1027">
        <f>名簿入力!M341</f>
        <v>0</v>
      </c>
      <c r="G178" s="1027">
        <f>名簿入力!R341</f>
        <v>0</v>
      </c>
      <c r="H178" s="1027">
        <f>名簿入力!W341</f>
        <v>0</v>
      </c>
      <c r="I178" s="1027">
        <f>名簿入力!AB341</f>
        <v>0</v>
      </c>
      <c r="J178" s="1027">
        <f>名簿入力!AG341</f>
        <v>0</v>
      </c>
      <c r="K178" s="1025">
        <f>名簿入力!AK341</f>
        <v>0</v>
      </c>
      <c r="L178" s="1032">
        <f>名簿入力!AK342</f>
        <v>0</v>
      </c>
      <c r="M178" s="265"/>
    </row>
    <row r="179" spans="1:13" ht="22.5" customHeight="1" x14ac:dyDescent="0.15">
      <c r="A179" s="246">
        <v>165</v>
      </c>
      <c r="B179" s="1022">
        <f>名簿入力!D343</f>
        <v>0</v>
      </c>
      <c r="C179" s="1023">
        <f>名簿入力!F343</f>
        <v>0</v>
      </c>
      <c r="D179" s="1024" t="str">
        <f>IF(名簿入力!H343="○","女",IF(名簿入力!G343="○","男",""))</f>
        <v/>
      </c>
      <c r="E179" s="1022">
        <f>名簿入力!I343</f>
        <v>0</v>
      </c>
      <c r="F179" s="1022">
        <f>名簿入力!M343</f>
        <v>0</v>
      </c>
      <c r="G179" s="1022">
        <f>名簿入力!R343</f>
        <v>0</v>
      </c>
      <c r="H179" s="1022">
        <f>名簿入力!W343</f>
        <v>0</v>
      </c>
      <c r="I179" s="1022">
        <f>名簿入力!AB343</f>
        <v>0</v>
      </c>
      <c r="J179" s="1022">
        <f>名簿入力!AG343</f>
        <v>0</v>
      </c>
      <c r="K179" s="1025">
        <f>名簿入力!AK343</f>
        <v>0</v>
      </c>
      <c r="L179" s="1032">
        <f>名簿入力!AK344</f>
        <v>0</v>
      </c>
      <c r="M179" s="265"/>
    </row>
    <row r="180" spans="1:13" ht="22.5" customHeight="1" x14ac:dyDescent="0.15">
      <c r="A180" s="246">
        <v>166</v>
      </c>
      <c r="B180" s="1027">
        <f>名簿入力!D345</f>
        <v>0</v>
      </c>
      <c r="C180" s="1028">
        <f>名簿入力!F345</f>
        <v>0</v>
      </c>
      <c r="D180" s="1029" t="str">
        <f>IF(名簿入力!H345="○","女",IF(名簿入力!G345="○","男",""))</f>
        <v/>
      </c>
      <c r="E180" s="1027">
        <f>名簿入力!I345</f>
        <v>0</v>
      </c>
      <c r="F180" s="1027">
        <f>名簿入力!M345</f>
        <v>0</v>
      </c>
      <c r="G180" s="1027">
        <f>名簿入力!R345</f>
        <v>0</v>
      </c>
      <c r="H180" s="1027">
        <f>名簿入力!W345</f>
        <v>0</v>
      </c>
      <c r="I180" s="1027">
        <f>名簿入力!AB345</f>
        <v>0</v>
      </c>
      <c r="J180" s="1027">
        <f>名簿入力!AG345</f>
        <v>0</v>
      </c>
      <c r="K180" s="1025">
        <f>名簿入力!AK345</f>
        <v>0</v>
      </c>
      <c r="L180" s="1032">
        <f>名簿入力!AK346</f>
        <v>0</v>
      </c>
      <c r="M180" s="265"/>
    </row>
    <row r="181" spans="1:13" ht="22.5" customHeight="1" x14ac:dyDescent="0.15">
      <c r="A181" s="246">
        <v>167</v>
      </c>
      <c r="B181" s="1022">
        <f>名簿入力!D347</f>
        <v>0</v>
      </c>
      <c r="C181" s="1023">
        <f>名簿入力!F347</f>
        <v>0</v>
      </c>
      <c r="D181" s="1024" t="str">
        <f>IF(名簿入力!H347="○","女",IF(名簿入力!G347="○","男",""))</f>
        <v/>
      </c>
      <c r="E181" s="1022">
        <f>名簿入力!I347</f>
        <v>0</v>
      </c>
      <c r="F181" s="1022">
        <f>名簿入力!M347</f>
        <v>0</v>
      </c>
      <c r="G181" s="1022">
        <f>名簿入力!R347</f>
        <v>0</v>
      </c>
      <c r="H181" s="1022">
        <f>名簿入力!W347</f>
        <v>0</v>
      </c>
      <c r="I181" s="1022">
        <f>名簿入力!AB347</f>
        <v>0</v>
      </c>
      <c r="J181" s="1022">
        <f>名簿入力!AG347</f>
        <v>0</v>
      </c>
      <c r="K181" s="1025">
        <f>名簿入力!AK347</f>
        <v>0</v>
      </c>
      <c r="L181" s="1032">
        <f>名簿入力!AK348</f>
        <v>0</v>
      </c>
      <c r="M181" s="265"/>
    </row>
    <row r="182" spans="1:13" ht="22.5" customHeight="1" x14ac:dyDescent="0.15">
      <c r="A182" s="246">
        <v>168</v>
      </c>
      <c r="B182" s="1027">
        <f>名簿入力!D349</f>
        <v>0</v>
      </c>
      <c r="C182" s="1028">
        <f>名簿入力!F349</f>
        <v>0</v>
      </c>
      <c r="D182" s="1029" t="str">
        <f>IF(名簿入力!H349="○","女",IF(名簿入力!G349="○","男",""))</f>
        <v/>
      </c>
      <c r="E182" s="1027">
        <f>名簿入力!I349</f>
        <v>0</v>
      </c>
      <c r="F182" s="1027">
        <f>名簿入力!M349</f>
        <v>0</v>
      </c>
      <c r="G182" s="1027">
        <f>名簿入力!R349</f>
        <v>0</v>
      </c>
      <c r="H182" s="1027">
        <f>名簿入力!W349</f>
        <v>0</v>
      </c>
      <c r="I182" s="1027">
        <f>名簿入力!AB349</f>
        <v>0</v>
      </c>
      <c r="J182" s="1027">
        <f>名簿入力!AG349</f>
        <v>0</v>
      </c>
      <c r="K182" s="1025">
        <f>名簿入力!AK349</f>
        <v>0</v>
      </c>
      <c r="L182" s="1032">
        <f>名簿入力!AK350</f>
        <v>0</v>
      </c>
      <c r="M182" s="265"/>
    </row>
    <row r="183" spans="1:13" ht="22.5" customHeight="1" x14ac:dyDescent="0.15">
      <c r="A183" s="246">
        <v>169</v>
      </c>
      <c r="B183" s="1022">
        <f>名簿入力!D351</f>
        <v>0</v>
      </c>
      <c r="C183" s="1023">
        <f>名簿入力!F351</f>
        <v>0</v>
      </c>
      <c r="D183" s="1024" t="str">
        <f>IF(名簿入力!H351="○","女",IF(名簿入力!G351="○","男",""))</f>
        <v/>
      </c>
      <c r="E183" s="1022">
        <f>名簿入力!I351</f>
        <v>0</v>
      </c>
      <c r="F183" s="1022">
        <f>名簿入力!M351</f>
        <v>0</v>
      </c>
      <c r="G183" s="1022">
        <f>名簿入力!R351</f>
        <v>0</v>
      </c>
      <c r="H183" s="1022">
        <f>名簿入力!W351</f>
        <v>0</v>
      </c>
      <c r="I183" s="1022">
        <f>名簿入力!AB351</f>
        <v>0</v>
      </c>
      <c r="J183" s="1022">
        <f>名簿入力!AG351</f>
        <v>0</v>
      </c>
      <c r="K183" s="1025">
        <f>名簿入力!AK351</f>
        <v>0</v>
      </c>
      <c r="L183" s="1032">
        <f>名簿入力!AK352</f>
        <v>0</v>
      </c>
      <c r="M183" s="265"/>
    </row>
    <row r="184" spans="1:13" ht="22.5" customHeight="1" x14ac:dyDescent="0.15">
      <c r="A184" s="246">
        <v>170</v>
      </c>
      <c r="B184" s="1027">
        <f>名簿入力!D353</f>
        <v>0</v>
      </c>
      <c r="C184" s="1028">
        <f>名簿入力!F353</f>
        <v>0</v>
      </c>
      <c r="D184" s="1029" t="str">
        <f>IF(名簿入力!H353="○","女",IF(名簿入力!G353="○","男",""))</f>
        <v/>
      </c>
      <c r="E184" s="1027">
        <f>名簿入力!I353</f>
        <v>0</v>
      </c>
      <c r="F184" s="1027">
        <f>名簿入力!M353</f>
        <v>0</v>
      </c>
      <c r="G184" s="1027">
        <f>名簿入力!R353</f>
        <v>0</v>
      </c>
      <c r="H184" s="1027">
        <f>名簿入力!W353</f>
        <v>0</v>
      </c>
      <c r="I184" s="1027">
        <f>名簿入力!AB353</f>
        <v>0</v>
      </c>
      <c r="J184" s="1027">
        <f>名簿入力!AG353</f>
        <v>0</v>
      </c>
      <c r="K184" s="1025">
        <f>名簿入力!AK353</f>
        <v>0</v>
      </c>
      <c r="L184" s="1032">
        <f>名簿入力!AK354</f>
        <v>0</v>
      </c>
      <c r="M184" s="265"/>
    </row>
    <row r="185" spans="1:13" ht="22.5" customHeight="1" x14ac:dyDescent="0.15">
      <c r="A185" s="246">
        <v>171</v>
      </c>
      <c r="B185" s="1022">
        <f>名簿入力!D355</f>
        <v>0</v>
      </c>
      <c r="C185" s="1023">
        <f>名簿入力!F355</f>
        <v>0</v>
      </c>
      <c r="D185" s="1024" t="str">
        <f>IF(名簿入力!H355="○","女",IF(名簿入力!G355="○","男",""))</f>
        <v/>
      </c>
      <c r="E185" s="1022">
        <f>名簿入力!I355</f>
        <v>0</v>
      </c>
      <c r="F185" s="1022">
        <f>名簿入力!M355</f>
        <v>0</v>
      </c>
      <c r="G185" s="1022">
        <f>名簿入力!R355</f>
        <v>0</v>
      </c>
      <c r="H185" s="1022">
        <f>名簿入力!W355</f>
        <v>0</v>
      </c>
      <c r="I185" s="1022">
        <f>名簿入力!AB355</f>
        <v>0</v>
      </c>
      <c r="J185" s="1022">
        <f>名簿入力!AG355</f>
        <v>0</v>
      </c>
      <c r="K185" s="1025">
        <f>名簿入力!AK355</f>
        <v>0</v>
      </c>
      <c r="L185" s="1032">
        <f>名簿入力!AK356</f>
        <v>0</v>
      </c>
      <c r="M185" s="265"/>
    </row>
    <row r="186" spans="1:13" ht="22.5" customHeight="1" x14ac:dyDescent="0.15">
      <c r="A186" s="246">
        <v>172</v>
      </c>
      <c r="B186" s="1027">
        <f>名簿入力!D357</f>
        <v>0</v>
      </c>
      <c r="C186" s="1028">
        <f>名簿入力!F357</f>
        <v>0</v>
      </c>
      <c r="D186" s="1029" t="str">
        <f>IF(名簿入力!H357="○","女",IF(名簿入力!G357="○","男",""))</f>
        <v/>
      </c>
      <c r="E186" s="1027">
        <f>名簿入力!I357</f>
        <v>0</v>
      </c>
      <c r="F186" s="1027">
        <f>名簿入力!M357</f>
        <v>0</v>
      </c>
      <c r="G186" s="1027">
        <f>名簿入力!R357</f>
        <v>0</v>
      </c>
      <c r="H186" s="1027">
        <f>名簿入力!W357</f>
        <v>0</v>
      </c>
      <c r="I186" s="1027">
        <f>名簿入力!AB357</f>
        <v>0</v>
      </c>
      <c r="J186" s="1027">
        <f>名簿入力!AG357</f>
        <v>0</v>
      </c>
      <c r="K186" s="1025">
        <f>名簿入力!AK357</f>
        <v>0</v>
      </c>
      <c r="L186" s="1032">
        <f>名簿入力!AK358</f>
        <v>0</v>
      </c>
      <c r="M186" s="265"/>
    </row>
    <row r="187" spans="1:13" ht="22.5" customHeight="1" x14ac:dyDescent="0.15">
      <c r="A187" s="246">
        <v>173</v>
      </c>
      <c r="B187" s="1022">
        <f>名簿入力!D359</f>
        <v>0</v>
      </c>
      <c r="C187" s="1023">
        <f>名簿入力!F359</f>
        <v>0</v>
      </c>
      <c r="D187" s="1024" t="str">
        <f>IF(名簿入力!H359="○","女",IF(名簿入力!G359="○","男",""))</f>
        <v/>
      </c>
      <c r="E187" s="1022">
        <f>名簿入力!I359</f>
        <v>0</v>
      </c>
      <c r="F187" s="1022">
        <f>名簿入力!M359</f>
        <v>0</v>
      </c>
      <c r="G187" s="1022">
        <f>名簿入力!R359</f>
        <v>0</v>
      </c>
      <c r="H187" s="1022">
        <f>名簿入力!W359</f>
        <v>0</v>
      </c>
      <c r="I187" s="1022">
        <f>名簿入力!AB359</f>
        <v>0</v>
      </c>
      <c r="J187" s="1022">
        <f>名簿入力!AG359</f>
        <v>0</v>
      </c>
      <c r="K187" s="1025">
        <f>名簿入力!AK359</f>
        <v>0</v>
      </c>
      <c r="L187" s="1032">
        <f>名簿入力!AK360</f>
        <v>0</v>
      </c>
      <c r="M187" s="265"/>
    </row>
    <row r="188" spans="1:13" ht="22.5" customHeight="1" x14ac:dyDescent="0.15">
      <c r="A188" s="246">
        <v>174</v>
      </c>
      <c r="B188" s="1027">
        <f>名簿入力!D361</f>
        <v>0</v>
      </c>
      <c r="C188" s="1028">
        <f>名簿入力!F361</f>
        <v>0</v>
      </c>
      <c r="D188" s="1029" t="str">
        <f>IF(名簿入力!H361="○","女",IF(名簿入力!G361="○","男",""))</f>
        <v/>
      </c>
      <c r="E188" s="1027">
        <f>名簿入力!I361</f>
        <v>0</v>
      </c>
      <c r="F188" s="1027">
        <f>名簿入力!M361</f>
        <v>0</v>
      </c>
      <c r="G188" s="1027">
        <f>名簿入力!R361</f>
        <v>0</v>
      </c>
      <c r="H188" s="1027">
        <f>名簿入力!W361</f>
        <v>0</v>
      </c>
      <c r="I188" s="1027">
        <f>名簿入力!AB361</f>
        <v>0</v>
      </c>
      <c r="J188" s="1027">
        <f>名簿入力!AG361</f>
        <v>0</v>
      </c>
      <c r="K188" s="1025">
        <f>名簿入力!AK361</f>
        <v>0</v>
      </c>
      <c r="L188" s="1032">
        <f>名簿入力!AK362</f>
        <v>0</v>
      </c>
      <c r="M188" s="265"/>
    </row>
    <row r="189" spans="1:13" ht="22.5" customHeight="1" x14ac:dyDescent="0.15">
      <c r="A189" s="246">
        <v>175</v>
      </c>
      <c r="B189" s="1022">
        <f>名簿入力!D363</f>
        <v>0</v>
      </c>
      <c r="C189" s="1023">
        <f>名簿入力!F363</f>
        <v>0</v>
      </c>
      <c r="D189" s="1024" t="str">
        <f>IF(名簿入力!H363="○","女",IF(名簿入力!G363="○","男",""))</f>
        <v/>
      </c>
      <c r="E189" s="1022">
        <f>名簿入力!I363</f>
        <v>0</v>
      </c>
      <c r="F189" s="1022">
        <f>名簿入力!M363</f>
        <v>0</v>
      </c>
      <c r="G189" s="1022">
        <f>名簿入力!R363</f>
        <v>0</v>
      </c>
      <c r="H189" s="1022">
        <f>名簿入力!W363</f>
        <v>0</v>
      </c>
      <c r="I189" s="1022">
        <f>名簿入力!AB363</f>
        <v>0</v>
      </c>
      <c r="J189" s="1022">
        <f>名簿入力!AG363</f>
        <v>0</v>
      </c>
      <c r="K189" s="1025">
        <f>名簿入力!AK363</f>
        <v>0</v>
      </c>
      <c r="L189" s="1032">
        <f>名簿入力!AK364</f>
        <v>0</v>
      </c>
      <c r="M189" s="265"/>
    </row>
    <row r="190" spans="1:13" ht="22.5" customHeight="1" x14ac:dyDescent="0.15">
      <c r="A190" s="246">
        <v>176</v>
      </c>
      <c r="B190" s="1027">
        <f>名簿入力!D365</f>
        <v>0</v>
      </c>
      <c r="C190" s="1028">
        <f>名簿入力!F365</f>
        <v>0</v>
      </c>
      <c r="D190" s="1029" t="str">
        <f>IF(名簿入力!H365="○","女",IF(名簿入力!G365="○","男",""))</f>
        <v/>
      </c>
      <c r="E190" s="1027">
        <f>名簿入力!I365</f>
        <v>0</v>
      </c>
      <c r="F190" s="1027">
        <f>名簿入力!M365</f>
        <v>0</v>
      </c>
      <c r="G190" s="1027">
        <f>名簿入力!R365</f>
        <v>0</v>
      </c>
      <c r="H190" s="1027">
        <f>名簿入力!W365</f>
        <v>0</v>
      </c>
      <c r="I190" s="1027">
        <f>名簿入力!AB365</f>
        <v>0</v>
      </c>
      <c r="J190" s="1027">
        <f>名簿入力!AG365</f>
        <v>0</v>
      </c>
      <c r="K190" s="1025">
        <f>名簿入力!AK365</f>
        <v>0</v>
      </c>
      <c r="L190" s="1032">
        <f>名簿入力!AK366</f>
        <v>0</v>
      </c>
      <c r="M190" s="265"/>
    </row>
    <row r="191" spans="1:13" ht="22.5" customHeight="1" x14ac:dyDescent="0.15">
      <c r="A191" s="246">
        <v>177</v>
      </c>
      <c r="B191" s="1022">
        <f>名簿入力!D367</f>
        <v>0</v>
      </c>
      <c r="C191" s="1023">
        <f>名簿入力!F367</f>
        <v>0</v>
      </c>
      <c r="D191" s="1024" t="str">
        <f>IF(名簿入力!H367="○","女",IF(名簿入力!G367="○","男",""))</f>
        <v/>
      </c>
      <c r="E191" s="1022">
        <f>名簿入力!I367</f>
        <v>0</v>
      </c>
      <c r="F191" s="1022">
        <f>名簿入力!M367</f>
        <v>0</v>
      </c>
      <c r="G191" s="1022">
        <f>名簿入力!R367</f>
        <v>0</v>
      </c>
      <c r="H191" s="1022">
        <f>名簿入力!W367</f>
        <v>0</v>
      </c>
      <c r="I191" s="1022">
        <f>名簿入力!AB367</f>
        <v>0</v>
      </c>
      <c r="J191" s="1022">
        <f>名簿入力!AG367</f>
        <v>0</v>
      </c>
      <c r="K191" s="1025">
        <f>名簿入力!AK367</f>
        <v>0</v>
      </c>
      <c r="L191" s="1032">
        <f>名簿入力!AK368</f>
        <v>0</v>
      </c>
      <c r="M191" s="265"/>
    </row>
    <row r="192" spans="1:13" ht="22.5" customHeight="1" x14ac:dyDescent="0.15">
      <c r="A192" s="246">
        <v>178</v>
      </c>
      <c r="B192" s="1027">
        <f>名簿入力!D369</f>
        <v>0</v>
      </c>
      <c r="C192" s="1028">
        <f>名簿入力!F369</f>
        <v>0</v>
      </c>
      <c r="D192" s="1029" t="str">
        <f>IF(名簿入力!H369="○","女",IF(名簿入力!G369="○","男",""))</f>
        <v/>
      </c>
      <c r="E192" s="1027">
        <f>名簿入力!I369</f>
        <v>0</v>
      </c>
      <c r="F192" s="1027">
        <f>名簿入力!M369</f>
        <v>0</v>
      </c>
      <c r="G192" s="1027">
        <f>名簿入力!R369</f>
        <v>0</v>
      </c>
      <c r="H192" s="1027">
        <f>名簿入力!W369</f>
        <v>0</v>
      </c>
      <c r="I192" s="1027">
        <f>名簿入力!AB369</f>
        <v>0</v>
      </c>
      <c r="J192" s="1027">
        <f>名簿入力!AG369</f>
        <v>0</v>
      </c>
      <c r="K192" s="1025">
        <f>名簿入力!AK369</f>
        <v>0</v>
      </c>
      <c r="L192" s="1032">
        <f>名簿入力!AK370</f>
        <v>0</v>
      </c>
      <c r="M192" s="265"/>
    </row>
    <row r="193" spans="1:13" ht="22.5" customHeight="1" x14ac:dyDescent="0.15">
      <c r="A193" s="246">
        <v>179</v>
      </c>
      <c r="B193" s="1022">
        <f>名簿入力!D371</f>
        <v>0</v>
      </c>
      <c r="C193" s="1023">
        <f>名簿入力!F371</f>
        <v>0</v>
      </c>
      <c r="D193" s="1024" t="str">
        <f>IF(名簿入力!H371="○","女",IF(名簿入力!G371="○","男",""))</f>
        <v/>
      </c>
      <c r="E193" s="1022">
        <f>名簿入力!I371</f>
        <v>0</v>
      </c>
      <c r="F193" s="1022">
        <f>名簿入力!M371</f>
        <v>0</v>
      </c>
      <c r="G193" s="1022">
        <f>名簿入力!R371</f>
        <v>0</v>
      </c>
      <c r="H193" s="1022">
        <f>名簿入力!W371</f>
        <v>0</v>
      </c>
      <c r="I193" s="1022">
        <f>名簿入力!AB371</f>
        <v>0</v>
      </c>
      <c r="J193" s="1022">
        <f>名簿入力!AG371</f>
        <v>0</v>
      </c>
      <c r="K193" s="1025">
        <f>名簿入力!AK371</f>
        <v>0</v>
      </c>
      <c r="L193" s="1032">
        <f>名簿入力!AK372</f>
        <v>0</v>
      </c>
      <c r="M193" s="265"/>
    </row>
    <row r="194" spans="1:13" ht="22.5" customHeight="1" x14ac:dyDescent="0.15">
      <c r="A194" s="246">
        <v>180</v>
      </c>
      <c r="B194" s="1027">
        <f>名簿入力!D373</f>
        <v>0</v>
      </c>
      <c r="C194" s="1028">
        <f>名簿入力!F373</f>
        <v>0</v>
      </c>
      <c r="D194" s="1029" t="str">
        <f>IF(名簿入力!H373="○","女",IF(名簿入力!G373="○","男",""))</f>
        <v/>
      </c>
      <c r="E194" s="1027">
        <f>名簿入力!I373</f>
        <v>0</v>
      </c>
      <c r="F194" s="1027">
        <f>名簿入力!M373</f>
        <v>0</v>
      </c>
      <c r="G194" s="1027">
        <f>名簿入力!R373</f>
        <v>0</v>
      </c>
      <c r="H194" s="1027">
        <f>名簿入力!W373</f>
        <v>0</v>
      </c>
      <c r="I194" s="1027">
        <f>名簿入力!AB373</f>
        <v>0</v>
      </c>
      <c r="J194" s="1027">
        <f>名簿入力!AG373</f>
        <v>0</v>
      </c>
      <c r="K194" s="1025">
        <f>名簿入力!AK373</f>
        <v>0</v>
      </c>
      <c r="L194" s="1032">
        <f>名簿入力!AK374</f>
        <v>0</v>
      </c>
      <c r="M194" s="265"/>
    </row>
    <row r="195" spans="1:13" ht="22.5" customHeight="1" x14ac:dyDescent="0.15">
      <c r="A195" s="246">
        <v>181</v>
      </c>
      <c r="B195" s="1022">
        <f>名簿入力!D375</f>
        <v>0</v>
      </c>
      <c r="C195" s="1023">
        <f>名簿入力!F375</f>
        <v>0</v>
      </c>
      <c r="D195" s="1024" t="str">
        <f>IF(名簿入力!H375="○","女",IF(名簿入力!G375="○","男",""))</f>
        <v/>
      </c>
      <c r="E195" s="1022">
        <f>名簿入力!I375</f>
        <v>0</v>
      </c>
      <c r="F195" s="1022">
        <f>名簿入力!M375</f>
        <v>0</v>
      </c>
      <c r="G195" s="1022">
        <f>名簿入力!R375</f>
        <v>0</v>
      </c>
      <c r="H195" s="1022">
        <f>名簿入力!W375</f>
        <v>0</v>
      </c>
      <c r="I195" s="1022">
        <f>名簿入力!AB375</f>
        <v>0</v>
      </c>
      <c r="J195" s="1022">
        <f>名簿入力!AG375</f>
        <v>0</v>
      </c>
      <c r="K195" s="1025">
        <f>名簿入力!AK375</f>
        <v>0</v>
      </c>
      <c r="L195" s="1032">
        <f>名簿入力!AK376</f>
        <v>0</v>
      </c>
      <c r="M195" s="265"/>
    </row>
    <row r="196" spans="1:13" ht="22.5" customHeight="1" x14ac:dyDescent="0.15">
      <c r="A196" s="246">
        <v>182</v>
      </c>
      <c r="B196" s="1027">
        <f>名簿入力!D377</f>
        <v>0</v>
      </c>
      <c r="C196" s="1028">
        <f>名簿入力!F377</f>
        <v>0</v>
      </c>
      <c r="D196" s="1029" t="str">
        <f>IF(名簿入力!H377="○","女",IF(名簿入力!G377="○","男",""))</f>
        <v/>
      </c>
      <c r="E196" s="1027">
        <f>名簿入力!I377</f>
        <v>0</v>
      </c>
      <c r="F196" s="1027">
        <f>名簿入力!M377</f>
        <v>0</v>
      </c>
      <c r="G196" s="1027">
        <f>名簿入力!R377</f>
        <v>0</v>
      </c>
      <c r="H196" s="1027">
        <f>名簿入力!W377</f>
        <v>0</v>
      </c>
      <c r="I196" s="1027">
        <f>名簿入力!AB377</f>
        <v>0</v>
      </c>
      <c r="J196" s="1027">
        <f>名簿入力!AG377</f>
        <v>0</v>
      </c>
      <c r="K196" s="1025">
        <f>名簿入力!AK377</f>
        <v>0</v>
      </c>
      <c r="L196" s="1032">
        <f>名簿入力!AK378</f>
        <v>0</v>
      </c>
      <c r="M196" s="265"/>
    </row>
    <row r="197" spans="1:13" ht="22.5" customHeight="1" x14ac:dyDescent="0.15">
      <c r="A197" s="246">
        <v>183</v>
      </c>
      <c r="B197" s="1022">
        <f>名簿入力!D379</f>
        <v>0</v>
      </c>
      <c r="C197" s="1023">
        <f>名簿入力!F379</f>
        <v>0</v>
      </c>
      <c r="D197" s="1024" t="str">
        <f>IF(名簿入力!H379="○","女",IF(名簿入力!G379="○","男",""))</f>
        <v/>
      </c>
      <c r="E197" s="1022">
        <f>名簿入力!I379</f>
        <v>0</v>
      </c>
      <c r="F197" s="1022">
        <f>名簿入力!M379</f>
        <v>0</v>
      </c>
      <c r="G197" s="1022">
        <f>名簿入力!R379</f>
        <v>0</v>
      </c>
      <c r="H197" s="1022">
        <f>名簿入力!W379</f>
        <v>0</v>
      </c>
      <c r="I197" s="1022">
        <f>名簿入力!AB379</f>
        <v>0</v>
      </c>
      <c r="J197" s="1022">
        <f>名簿入力!AG379</f>
        <v>0</v>
      </c>
      <c r="K197" s="1025">
        <f>名簿入力!AK379</f>
        <v>0</v>
      </c>
      <c r="L197" s="1032">
        <f>名簿入力!AK380</f>
        <v>0</v>
      </c>
      <c r="M197" s="265"/>
    </row>
    <row r="198" spans="1:13" ht="22.5" customHeight="1" x14ac:dyDescent="0.15">
      <c r="A198" s="246">
        <v>184</v>
      </c>
      <c r="B198" s="1027">
        <f>名簿入力!D381</f>
        <v>0</v>
      </c>
      <c r="C198" s="1028">
        <f>名簿入力!F381</f>
        <v>0</v>
      </c>
      <c r="D198" s="1029" t="str">
        <f>IF(名簿入力!H381="○","女",IF(名簿入力!G381="○","男",""))</f>
        <v/>
      </c>
      <c r="E198" s="1027">
        <f>名簿入力!I381</f>
        <v>0</v>
      </c>
      <c r="F198" s="1027">
        <f>名簿入力!M381</f>
        <v>0</v>
      </c>
      <c r="G198" s="1027">
        <f>名簿入力!R381</f>
        <v>0</v>
      </c>
      <c r="H198" s="1027">
        <f>名簿入力!W381</f>
        <v>0</v>
      </c>
      <c r="I198" s="1027">
        <f>名簿入力!AB381</f>
        <v>0</v>
      </c>
      <c r="J198" s="1027">
        <f>名簿入力!AG381</f>
        <v>0</v>
      </c>
      <c r="K198" s="1025">
        <f>名簿入力!AK381</f>
        <v>0</v>
      </c>
      <c r="L198" s="1032">
        <f>名簿入力!AK382</f>
        <v>0</v>
      </c>
      <c r="M198" s="265"/>
    </row>
    <row r="199" spans="1:13" ht="22.5" customHeight="1" x14ac:dyDescent="0.15">
      <c r="A199" s="246">
        <v>185</v>
      </c>
      <c r="B199" s="1022">
        <f>名簿入力!D383</f>
        <v>0</v>
      </c>
      <c r="C199" s="1023">
        <f>名簿入力!F383</f>
        <v>0</v>
      </c>
      <c r="D199" s="1024" t="str">
        <f>IF(名簿入力!H383="○","女",IF(名簿入力!G383="○","男",""))</f>
        <v/>
      </c>
      <c r="E199" s="1022">
        <f>名簿入力!I383</f>
        <v>0</v>
      </c>
      <c r="F199" s="1022">
        <f>名簿入力!M383</f>
        <v>0</v>
      </c>
      <c r="G199" s="1022">
        <f>名簿入力!R383</f>
        <v>0</v>
      </c>
      <c r="H199" s="1022">
        <f>名簿入力!W383</f>
        <v>0</v>
      </c>
      <c r="I199" s="1022">
        <f>名簿入力!AB383</f>
        <v>0</v>
      </c>
      <c r="J199" s="1022">
        <f>名簿入力!AG383</f>
        <v>0</v>
      </c>
      <c r="K199" s="1025">
        <f>名簿入力!AK383</f>
        <v>0</v>
      </c>
      <c r="L199" s="1032">
        <f>名簿入力!AK384</f>
        <v>0</v>
      </c>
      <c r="M199" s="265"/>
    </row>
    <row r="200" spans="1:13" ht="22.5" customHeight="1" x14ac:dyDescent="0.15">
      <c r="A200" s="246">
        <v>186</v>
      </c>
      <c r="B200" s="1027">
        <f>名簿入力!D385</f>
        <v>0</v>
      </c>
      <c r="C200" s="1028">
        <f>名簿入力!F385</f>
        <v>0</v>
      </c>
      <c r="D200" s="1029" t="str">
        <f>IF(名簿入力!H385="○","女",IF(名簿入力!G385="○","男",""))</f>
        <v/>
      </c>
      <c r="E200" s="1027">
        <f>名簿入力!I385</f>
        <v>0</v>
      </c>
      <c r="F200" s="1027">
        <f>名簿入力!M385</f>
        <v>0</v>
      </c>
      <c r="G200" s="1027">
        <f>名簿入力!R385</f>
        <v>0</v>
      </c>
      <c r="H200" s="1027">
        <f>名簿入力!W385</f>
        <v>0</v>
      </c>
      <c r="I200" s="1027">
        <f>名簿入力!AB385</f>
        <v>0</v>
      </c>
      <c r="J200" s="1027">
        <f>名簿入力!AG385</f>
        <v>0</v>
      </c>
      <c r="K200" s="1025">
        <f>名簿入力!AK385</f>
        <v>0</v>
      </c>
      <c r="L200" s="1032">
        <f>名簿入力!AK386</f>
        <v>0</v>
      </c>
      <c r="M200" s="265"/>
    </row>
    <row r="201" spans="1:13" ht="22.5" customHeight="1" x14ac:dyDescent="0.15">
      <c r="A201" s="246">
        <v>187</v>
      </c>
      <c r="B201" s="1022">
        <f>名簿入力!D387</f>
        <v>0</v>
      </c>
      <c r="C201" s="1023">
        <f>名簿入力!F387</f>
        <v>0</v>
      </c>
      <c r="D201" s="1024" t="str">
        <f>IF(名簿入力!H387="○","女",IF(名簿入力!G387="○","男",""))</f>
        <v/>
      </c>
      <c r="E201" s="1022">
        <f>名簿入力!I387</f>
        <v>0</v>
      </c>
      <c r="F201" s="1022">
        <f>名簿入力!M387</f>
        <v>0</v>
      </c>
      <c r="G201" s="1022">
        <f>名簿入力!R387</f>
        <v>0</v>
      </c>
      <c r="H201" s="1022">
        <f>名簿入力!W387</f>
        <v>0</v>
      </c>
      <c r="I201" s="1022">
        <f>名簿入力!AB387</f>
        <v>0</v>
      </c>
      <c r="J201" s="1022">
        <f>名簿入力!AG387</f>
        <v>0</v>
      </c>
      <c r="K201" s="1025">
        <f>名簿入力!AK387</f>
        <v>0</v>
      </c>
      <c r="L201" s="1032">
        <f>名簿入力!AK388</f>
        <v>0</v>
      </c>
      <c r="M201" s="265"/>
    </row>
    <row r="202" spans="1:13" ht="22.5" customHeight="1" x14ac:dyDescent="0.15">
      <c r="A202" s="246">
        <v>188</v>
      </c>
      <c r="B202" s="1027">
        <f>名簿入力!D389</f>
        <v>0</v>
      </c>
      <c r="C202" s="1028">
        <f>名簿入力!F389</f>
        <v>0</v>
      </c>
      <c r="D202" s="1029" t="str">
        <f>IF(名簿入力!H389="○","女",IF(名簿入力!G389="○","男",""))</f>
        <v/>
      </c>
      <c r="E202" s="1027">
        <f>名簿入力!I389</f>
        <v>0</v>
      </c>
      <c r="F202" s="1027">
        <f>名簿入力!M389</f>
        <v>0</v>
      </c>
      <c r="G202" s="1027">
        <f>名簿入力!R389</f>
        <v>0</v>
      </c>
      <c r="H202" s="1027">
        <f>名簿入力!W389</f>
        <v>0</v>
      </c>
      <c r="I202" s="1027">
        <f>名簿入力!AB389</f>
        <v>0</v>
      </c>
      <c r="J202" s="1027">
        <f>名簿入力!AG389</f>
        <v>0</v>
      </c>
      <c r="K202" s="1025">
        <f>名簿入力!AK389</f>
        <v>0</v>
      </c>
      <c r="L202" s="1032">
        <f>名簿入力!AK390</f>
        <v>0</v>
      </c>
      <c r="M202" s="265"/>
    </row>
    <row r="203" spans="1:13" ht="22.5" customHeight="1" x14ac:dyDescent="0.15">
      <c r="A203" s="246">
        <v>189</v>
      </c>
      <c r="B203" s="1022">
        <f>名簿入力!D391</f>
        <v>0</v>
      </c>
      <c r="C203" s="1023">
        <f>名簿入力!F391</f>
        <v>0</v>
      </c>
      <c r="D203" s="1024" t="str">
        <f>IF(名簿入力!H391="○","女",IF(名簿入力!G391="○","男",""))</f>
        <v/>
      </c>
      <c r="E203" s="1022">
        <f>名簿入力!I391</f>
        <v>0</v>
      </c>
      <c r="F203" s="1022">
        <f>名簿入力!M391</f>
        <v>0</v>
      </c>
      <c r="G203" s="1022">
        <f>名簿入力!R391</f>
        <v>0</v>
      </c>
      <c r="H203" s="1022">
        <f>名簿入力!W391</f>
        <v>0</v>
      </c>
      <c r="I203" s="1022">
        <f>名簿入力!AB391</f>
        <v>0</v>
      </c>
      <c r="J203" s="1022">
        <f>名簿入力!AG391</f>
        <v>0</v>
      </c>
      <c r="K203" s="1025">
        <f>名簿入力!AK391</f>
        <v>0</v>
      </c>
      <c r="L203" s="1032">
        <f>名簿入力!AK392</f>
        <v>0</v>
      </c>
      <c r="M203" s="265"/>
    </row>
    <row r="204" spans="1:13" ht="22.5" customHeight="1" x14ac:dyDescent="0.15">
      <c r="A204" s="246">
        <v>190</v>
      </c>
      <c r="B204" s="1027">
        <f>名簿入力!D393</f>
        <v>0</v>
      </c>
      <c r="C204" s="1028">
        <f>名簿入力!F393</f>
        <v>0</v>
      </c>
      <c r="D204" s="1029" t="str">
        <f>IF(名簿入力!H393="○","女",IF(名簿入力!G393="○","男",""))</f>
        <v/>
      </c>
      <c r="E204" s="1027">
        <f>名簿入力!I393</f>
        <v>0</v>
      </c>
      <c r="F204" s="1027">
        <f>名簿入力!M393</f>
        <v>0</v>
      </c>
      <c r="G204" s="1027">
        <f>名簿入力!R393</f>
        <v>0</v>
      </c>
      <c r="H204" s="1027">
        <f>名簿入力!W393</f>
        <v>0</v>
      </c>
      <c r="I204" s="1027">
        <f>名簿入力!AB393</f>
        <v>0</v>
      </c>
      <c r="J204" s="1027">
        <f>名簿入力!AG393</f>
        <v>0</v>
      </c>
      <c r="K204" s="1025">
        <f>名簿入力!AK393</f>
        <v>0</v>
      </c>
      <c r="L204" s="1032">
        <f>名簿入力!AK394</f>
        <v>0</v>
      </c>
      <c r="M204" s="265"/>
    </row>
    <row r="205" spans="1:13" ht="22.5" customHeight="1" x14ac:dyDescent="0.15">
      <c r="A205" s="246">
        <v>191</v>
      </c>
      <c r="B205" s="1022">
        <f>名簿入力!D395</f>
        <v>0</v>
      </c>
      <c r="C205" s="1023">
        <f>名簿入力!F395</f>
        <v>0</v>
      </c>
      <c r="D205" s="1024" t="str">
        <f>IF(名簿入力!H395="○","女",IF(名簿入力!G395="○","男",""))</f>
        <v/>
      </c>
      <c r="E205" s="1022">
        <f>名簿入力!I395</f>
        <v>0</v>
      </c>
      <c r="F205" s="1022">
        <f>名簿入力!M395</f>
        <v>0</v>
      </c>
      <c r="G205" s="1022">
        <f>名簿入力!R395</f>
        <v>0</v>
      </c>
      <c r="H205" s="1022">
        <f>名簿入力!W395</f>
        <v>0</v>
      </c>
      <c r="I205" s="1022">
        <f>名簿入力!AB395</f>
        <v>0</v>
      </c>
      <c r="J205" s="1022">
        <f>名簿入力!AG395</f>
        <v>0</v>
      </c>
      <c r="K205" s="1025">
        <f>名簿入力!AK395</f>
        <v>0</v>
      </c>
      <c r="L205" s="1032">
        <f>名簿入力!AK396</f>
        <v>0</v>
      </c>
      <c r="M205" s="265"/>
    </row>
    <row r="206" spans="1:13" ht="22.5" customHeight="1" x14ac:dyDescent="0.15">
      <c r="A206" s="246">
        <v>192</v>
      </c>
      <c r="B206" s="1027">
        <f>名簿入力!D397</f>
        <v>0</v>
      </c>
      <c r="C206" s="1028">
        <f>名簿入力!F397</f>
        <v>0</v>
      </c>
      <c r="D206" s="1029" t="str">
        <f>IF(名簿入力!H397="○","女",IF(名簿入力!G397="○","男",""))</f>
        <v/>
      </c>
      <c r="E206" s="1027">
        <f>名簿入力!I397</f>
        <v>0</v>
      </c>
      <c r="F206" s="1027">
        <f>名簿入力!M397</f>
        <v>0</v>
      </c>
      <c r="G206" s="1027">
        <f>名簿入力!R397</f>
        <v>0</v>
      </c>
      <c r="H206" s="1027">
        <f>名簿入力!W397</f>
        <v>0</v>
      </c>
      <c r="I206" s="1027">
        <f>名簿入力!AB397</f>
        <v>0</v>
      </c>
      <c r="J206" s="1027">
        <f>名簿入力!AG397</f>
        <v>0</v>
      </c>
      <c r="K206" s="1025">
        <f>名簿入力!AK397</f>
        <v>0</v>
      </c>
      <c r="L206" s="1032">
        <f>名簿入力!AK398</f>
        <v>0</v>
      </c>
      <c r="M206" s="265"/>
    </row>
    <row r="207" spans="1:13" ht="22.5" customHeight="1" x14ac:dyDescent="0.15">
      <c r="A207" s="246">
        <v>193</v>
      </c>
      <c r="B207" s="1022">
        <f>名簿入力!D399</f>
        <v>0</v>
      </c>
      <c r="C207" s="1023">
        <f>名簿入力!F399</f>
        <v>0</v>
      </c>
      <c r="D207" s="1024" t="str">
        <f>IF(名簿入力!H399="○","女",IF(名簿入力!G399="○","男",""))</f>
        <v/>
      </c>
      <c r="E207" s="1022">
        <f>名簿入力!I399</f>
        <v>0</v>
      </c>
      <c r="F207" s="1022">
        <f>名簿入力!M399</f>
        <v>0</v>
      </c>
      <c r="G207" s="1022">
        <f>名簿入力!R399</f>
        <v>0</v>
      </c>
      <c r="H207" s="1022">
        <f>名簿入力!W399</f>
        <v>0</v>
      </c>
      <c r="I207" s="1022">
        <f>名簿入力!AB399</f>
        <v>0</v>
      </c>
      <c r="J207" s="1022">
        <f>名簿入力!AG399</f>
        <v>0</v>
      </c>
      <c r="K207" s="1025">
        <f>名簿入力!AK399</f>
        <v>0</v>
      </c>
      <c r="L207" s="1032">
        <f>名簿入力!AK400</f>
        <v>0</v>
      </c>
      <c r="M207" s="265"/>
    </row>
    <row r="208" spans="1:13" ht="22.5" customHeight="1" x14ac:dyDescent="0.15">
      <c r="A208" s="246">
        <v>194</v>
      </c>
      <c r="B208" s="1027">
        <f>名簿入力!D401</f>
        <v>0</v>
      </c>
      <c r="C208" s="1028">
        <f>名簿入力!F401</f>
        <v>0</v>
      </c>
      <c r="D208" s="1029" t="str">
        <f>IF(名簿入力!H401="○","女",IF(名簿入力!G401="○","男",""))</f>
        <v/>
      </c>
      <c r="E208" s="1027">
        <f>名簿入力!I401</f>
        <v>0</v>
      </c>
      <c r="F208" s="1027">
        <f>名簿入力!M401</f>
        <v>0</v>
      </c>
      <c r="G208" s="1027">
        <f>名簿入力!R401</f>
        <v>0</v>
      </c>
      <c r="H208" s="1027">
        <f>名簿入力!W401</f>
        <v>0</v>
      </c>
      <c r="I208" s="1027">
        <f>名簿入力!AB401</f>
        <v>0</v>
      </c>
      <c r="J208" s="1027">
        <f>名簿入力!AG401</f>
        <v>0</v>
      </c>
      <c r="K208" s="1025">
        <f>名簿入力!AK401</f>
        <v>0</v>
      </c>
      <c r="L208" s="1032">
        <f>名簿入力!AK402</f>
        <v>0</v>
      </c>
      <c r="M208" s="265"/>
    </row>
    <row r="209" spans="1:13" ht="22.5" customHeight="1" x14ac:dyDescent="0.15">
      <c r="A209" s="246">
        <v>195</v>
      </c>
      <c r="B209" s="1033">
        <f>名簿入力!D403</f>
        <v>0</v>
      </c>
      <c r="C209" s="1023">
        <f>名簿入力!F403</f>
        <v>0</v>
      </c>
      <c r="D209" s="1024" t="str">
        <f>IF(名簿入力!H403="○","女",IF(名簿入力!G403="○","男",""))</f>
        <v/>
      </c>
      <c r="E209" s="1022">
        <f>名簿入力!I403</f>
        <v>0</v>
      </c>
      <c r="F209" s="1022">
        <f>名簿入力!M403</f>
        <v>0</v>
      </c>
      <c r="G209" s="1022">
        <f>名簿入力!R403</f>
        <v>0</v>
      </c>
      <c r="H209" s="1022">
        <f>名簿入力!W403</f>
        <v>0</v>
      </c>
      <c r="I209" s="1022">
        <f>名簿入力!AB403</f>
        <v>0</v>
      </c>
      <c r="J209" s="1022">
        <f>名簿入力!AG403</f>
        <v>0</v>
      </c>
      <c r="K209" s="1025">
        <f>名簿入力!AK403</f>
        <v>0</v>
      </c>
      <c r="L209" s="1032">
        <f>名簿入力!AK404</f>
        <v>0</v>
      </c>
      <c r="M209" s="265"/>
    </row>
    <row r="210" spans="1:13" ht="14.1" customHeight="1" x14ac:dyDescent="0.15"/>
    <row r="211" spans="1:13" ht="14.1" customHeight="1" x14ac:dyDescent="0.15"/>
    <row r="212" spans="1:13" ht="14.1" customHeight="1" x14ac:dyDescent="0.15"/>
    <row r="213" spans="1:13" ht="14.1" customHeight="1" x14ac:dyDescent="0.15"/>
    <row r="214" spans="1:13" ht="14.1" customHeight="1" x14ac:dyDescent="0.15"/>
    <row r="215" spans="1:13" ht="14.1" customHeight="1" x14ac:dyDescent="0.15"/>
    <row r="216" spans="1:13" ht="14.1" customHeight="1" x14ac:dyDescent="0.15"/>
    <row r="217" spans="1:13" ht="14.1" customHeight="1" x14ac:dyDescent="0.15"/>
    <row r="218" spans="1:13" ht="14.1" customHeight="1" x14ac:dyDescent="0.15"/>
    <row r="219" spans="1:13" ht="14.1" customHeight="1" x14ac:dyDescent="0.15"/>
    <row r="220" spans="1:13" ht="14.1" customHeight="1" x14ac:dyDescent="0.15"/>
    <row r="221" spans="1:13" ht="14.1" customHeight="1" x14ac:dyDescent="0.15"/>
    <row r="222" spans="1:13" ht="14.1" customHeight="1" x14ac:dyDescent="0.15"/>
    <row r="223" spans="1:13" ht="14.1" customHeight="1" x14ac:dyDescent="0.15"/>
    <row r="224" spans="1:13"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sheetData>
  <sheetProtection selectLockedCells="1"/>
  <dataConsolidate/>
  <mergeCells count="12">
    <mergeCell ref="L12:L13"/>
    <mergeCell ref="H2:I2"/>
    <mergeCell ref="H1:I1"/>
    <mergeCell ref="D1:E2"/>
    <mergeCell ref="A1:B2"/>
    <mergeCell ref="F1:F2"/>
    <mergeCell ref="A3:C3"/>
    <mergeCell ref="A9:E9"/>
    <mergeCell ref="F9:K9"/>
    <mergeCell ref="C10:F10"/>
    <mergeCell ref="H10:K10"/>
    <mergeCell ref="C11:J11"/>
  </mergeCells>
  <phoneticPr fontId="60"/>
  <dataValidations count="1">
    <dataValidation imeMode="disabled" allowBlank="1" showInputMessage="1" showErrorMessage="1" sqref="E4:H5" xr:uid="{00000000-0002-0000-0200-000000000000}"/>
  </dataValidations>
  <pageMargins left="0.51181102362204722" right="0.39370078740157483" top="0.39370078740157483" bottom="0.39370078740157483" header="0" footer="0"/>
  <pageSetup paperSize="9" scale="86" orientation="portrait"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66"/>
    <pageSetUpPr fitToPage="1"/>
  </sheetPr>
  <dimension ref="A1:V140"/>
  <sheetViews>
    <sheetView showGridLines="0" zoomScale="110" zoomScaleNormal="110" zoomScaleSheetLayoutView="80" workbookViewId="0">
      <selection activeCell="R11" sqref="R11"/>
    </sheetView>
  </sheetViews>
  <sheetFormatPr defaultRowHeight="13.5" x14ac:dyDescent="0.15"/>
  <cols>
    <col min="1" max="1" width="0.5" style="22" customWidth="1"/>
    <col min="2" max="3" width="13.75" customWidth="1"/>
    <col min="4" max="4" width="13.75" style="22" customWidth="1"/>
    <col min="5" max="5" width="13.75" customWidth="1"/>
    <col min="6" max="6" width="3.75" style="22" customWidth="1"/>
    <col min="7" max="7" width="6.25" customWidth="1"/>
    <col min="8" max="20" width="5.625" customWidth="1"/>
    <col min="21" max="21" width="5.5" customWidth="1"/>
  </cols>
  <sheetData>
    <row r="1" spans="2:22" s="22" customFormat="1" ht="3" customHeight="1" x14ac:dyDescent="0.15"/>
    <row r="2" spans="2:22" ht="18.75" customHeight="1" x14ac:dyDescent="0.15">
      <c r="B2" s="1433" t="s">
        <v>563</v>
      </c>
      <c r="C2" s="1433"/>
      <c r="D2" s="1433"/>
      <c r="E2" s="1433"/>
      <c r="F2"/>
      <c r="G2" s="1442" t="s">
        <v>554</v>
      </c>
      <c r="H2" s="1433"/>
      <c r="I2" s="1433"/>
      <c r="J2" s="857" t="s">
        <v>555</v>
      </c>
      <c r="K2" s="858"/>
      <c r="L2" s="1438" t="s">
        <v>556</v>
      </c>
      <c r="M2" s="1438"/>
      <c r="N2" s="1438"/>
      <c r="O2" s="1438"/>
      <c r="P2" s="1438"/>
      <c r="Q2" s="1438"/>
      <c r="R2" s="1438"/>
      <c r="S2" s="1438"/>
      <c r="T2" s="1438"/>
      <c r="U2" s="1438"/>
      <c r="V2" s="48"/>
    </row>
    <row r="3" spans="2:22" s="22" customFormat="1" ht="3.75" customHeight="1" thickBot="1" x14ac:dyDescent="0.2">
      <c r="B3" s="833"/>
      <c r="C3" s="833"/>
      <c r="D3" s="833"/>
      <c r="E3" s="833"/>
      <c r="F3" s="831"/>
      <c r="G3" s="856"/>
      <c r="H3" s="843"/>
      <c r="I3" s="843"/>
      <c r="J3" s="843"/>
      <c r="K3" s="843"/>
      <c r="L3" s="843"/>
      <c r="M3" s="843"/>
      <c r="N3" s="843"/>
      <c r="O3" s="843"/>
      <c r="P3" s="843"/>
      <c r="Q3" s="843"/>
      <c r="R3" s="48"/>
    </row>
    <row r="4" spans="2:22" s="22" customFormat="1" ht="18.75" customHeight="1" thickTop="1" x14ac:dyDescent="0.15">
      <c r="B4" s="561" t="s">
        <v>453</v>
      </c>
      <c r="C4" s="562" t="s">
        <v>454</v>
      </c>
      <c r="D4" s="563"/>
      <c r="E4" s="564"/>
      <c r="F4" s="111"/>
      <c r="G4" s="1436"/>
      <c r="H4" s="1439" t="s">
        <v>272</v>
      </c>
      <c r="I4" s="1439"/>
      <c r="J4" s="1440"/>
      <c r="K4" s="1443" t="s">
        <v>558</v>
      </c>
      <c r="L4" s="1439"/>
      <c r="M4" s="1439"/>
      <c r="N4" s="1439"/>
      <c r="O4" s="1439"/>
      <c r="P4" s="1440"/>
      <c r="Q4" s="1439" t="s">
        <v>271</v>
      </c>
      <c r="R4" s="1439"/>
      <c r="S4" s="1441"/>
      <c r="T4" s="48"/>
      <c r="U4" s="48"/>
    </row>
    <row r="5" spans="2:22" s="22" customFormat="1" ht="18.75" customHeight="1" x14ac:dyDescent="0.15">
      <c r="B5" s="899">
        <v>45339</v>
      </c>
      <c r="C5" s="899">
        <v>45395</v>
      </c>
      <c r="D5" s="899"/>
      <c r="E5" s="900"/>
      <c r="F5" s="48"/>
      <c r="G5" s="1437"/>
      <c r="H5" s="923" t="s">
        <v>276</v>
      </c>
      <c r="I5" s="924" t="s">
        <v>277</v>
      </c>
      <c r="J5" s="925" t="s">
        <v>270</v>
      </c>
      <c r="K5" s="926" t="s">
        <v>276</v>
      </c>
      <c r="L5" s="927" t="s">
        <v>559</v>
      </c>
      <c r="M5" s="924" t="s">
        <v>277</v>
      </c>
      <c r="N5" s="927" t="s">
        <v>557</v>
      </c>
      <c r="O5" s="924" t="s">
        <v>270</v>
      </c>
      <c r="P5" s="928" t="s">
        <v>557</v>
      </c>
      <c r="Q5" s="923" t="s">
        <v>276</v>
      </c>
      <c r="R5" s="924" t="s">
        <v>277</v>
      </c>
      <c r="S5" s="929" t="s">
        <v>270</v>
      </c>
      <c r="T5" s="48"/>
      <c r="U5" s="48"/>
    </row>
    <row r="6" spans="2:22" s="22" customFormat="1" ht="18.75" customHeight="1" x14ac:dyDescent="0.15">
      <c r="B6" s="899">
        <v>45340</v>
      </c>
      <c r="C6" s="899">
        <v>45396</v>
      </c>
      <c r="D6" s="899"/>
      <c r="E6" s="899"/>
      <c r="F6" s="48"/>
      <c r="G6" s="910" t="s">
        <v>268</v>
      </c>
      <c r="H6" s="902">
        <v>100</v>
      </c>
      <c r="I6" s="903">
        <v>200</v>
      </c>
      <c r="J6" s="904">
        <v>400</v>
      </c>
      <c r="K6" s="905">
        <v>350</v>
      </c>
      <c r="L6" s="906">
        <v>200</v>
      </c>
      <c r="M6" s="907">
        <v>1250</v>
      </c>
      <c r="N6" s="906">
        <v>300</v>
      </c>
      <c r="O6" s="907">
        <v>3000</v>
      </c>
      <c r="P6" s="908">
        <v>400</v>
      </c>
      <c r="Q6" s="902">
        <v>100</v>
      </c>
      <c r="R6" s="903">
        <v>200</v>
      </c>
      <c r="S6" s="909">
        <v>400</v>
      </c>
      <c r="T6" s="48"/>
      <c r="U6" s="48"/>
    </row>
    <row r="7" spans="2:22" s="22" customFormat="1" ht="18.75" customHeight="1" thickBot="1" x14ac:dyDescent="0.2">
      <c r="B7" s="899"/>
      <c r="C7" s="899">
        <v>45423</v>
      </c>
      <c r="D7" s="899"/>
      <c r="E7" s="899"/>
      <c r="F7" s="48"/>
      <c r="G7" s="898" t="s">
        <v>269</v>
      </c>
      <c r="H7" s="860">
        <v>200</v>
      </c>
      <c r="I7" s="861">
        <v>300</v>
      </c>
      <c r="J7" s="862">
        <v>500</v>
      </c>
      <c r="K7" s="865">
        <v>700</v>
      </c>
      <c r="L7" s="866">
        <v>400</v>
      </c>
      <c r="M7" s="863">
        <v>2500</v>
      </c>
      <c r="N7" s="866">
        <v>600</v>
      </c>
      <c r="O7" s="863">
        <v>5000</v>
      </c>
      <c r="P7" s="867">
        <v>800</v>
      </c>
      <c r="Q7" s="860">
        <v>200</v>
      </c>
      <c r="R7" s="861">
        <v>300</v>
      </c>
      <c r="S7" s="864">
        <v>500</v>
      </c>
      <c r="T7" s="941"/>
      <c r="U7" s="113"/>
    </row>
    <row r="8" spans="2:22" s="22" customFormat="1" ht="18.75" customHeight="1" thickTop="1" x14ac:dyDescent="0.15">
      <c r="B8" s="899"/>
      <c r="C8" s="899">
        <v>45424</v>
      </c>
      <c r="D8" s="899"/>
      <c r="E8" s="899"/>
      <c r="F8" s="838"/>
      <c r="G8" s="1446"/>
      <c r="H8" s="1443" t="s">
        <v>536</v>
      </c>
      <c r="I8" s="1440"/>
      <c r="J8" s="1443" t="s">
        <v>561</v>
      </c>
      <c r="K8" s="1439"/>
      <c r="L8" s="1444"/>
      <c r="M8" s="1445" t="s">
        <v>560</v>
      </c>
      <c r="N8" s="1439"/>
      <c r="O8" s="1444"/>
      <c r="P8" s="1445" t="s">
        <v>589</v>
      </c>
      <c r="Q8" s="1439"/>
      <c r="R8" s="1441"/>
    </row>
    <row r="9" spans="2:22" s="22" customFormat="1" ht="18.75" customHeight="1" x14ac:dyDescent="0.15">
      <c r="B9" s="899"/>
      <c r="C9" s="899">
        <v>45465</v>
      </c>
      <c r="D9" s="899"/>
      <c r="E9" s="899"/>
      <c r="F9" s="48"/>
      <c r="G9" s="1447"/>
      <c r="H9" s="923" t="s">
        <v>267</v>
      </c>
      <c r="I9" s="925" t="s">
        <v>567</v>
      </c>
      <c r="J9" s="930" t="s">
        <v>564</v>
      </c>
      <c r="K9" s="931" t="s">
        <v>539</v>
      </c>
      <c r="L9" s="930" t="s">
        <v>540</v>
      </c>
      <c r="M9" s="932" t="s">
        <v>566</v>
      </c>
      <c r="N9" s="932" t="s">
        <v>539</v>
      </c>
      <c r="O9" s="932" t="s">
        <v>540</v>
      </c>
      <c r="P9" s="931" t="s">
        <v>565</v>
      </c>
      <c r="Q9" s="931" t="s">
        <v>539</v>
      </c>
      <c r="R9" s="933" t="s">
        <v>540</v>
      </c>
    </row>
    <row r="10" spans="2:22" s="1" customFormat="1" ht="18.75" customHeight="1" thickBot="1" x14ac:dyDescent="0.2">
      <c r="B10" s="901"/>
      <c r="C10" s="899">
        <v>45466</v>
      </c>
      <c r="D10" s="899"/>
      <c r="E10" s="899"/>
      <c r="F10" s="838"/>
      <c r="G10" s="921" t="s">
        <v>538</v>
      </c>
      <c r="H10" s="911">
        <v>350</v>
      </c>
      <c r="I10" s="912">
        <v>200</v>
      </c>
      <c r="J10" s="913">
        <v>370</v>
      </c>
      <c r="K10" s="914">
        <v>530</v>
      </c>
      <c r="L10" s="915">
        <v>640</v>
      </c>
      <c r="M10" s="916">
        <v>400</v>
      </c>
      <c r="N10" s="917">
        <v>550</v>
      </c>
      <c r="O10" s="918">
        <v>670</v>
      </c>
      <c r="P10" s="919">
        <v>440</v>
      </c>
      <c r="Q10" s="914">
        <v>880</v>
      </c>
      <c r="R10" s="920">
        <v>1090</v>
      </c>
    </row>
    <row r="11" spans="2:22" s="1" customFormat="1" ht="18.75" customHeight="1" thickTop="1" x14ac:dyDescent="0.15">
      <c r="B11" s="901"/>
      <c r="C11" s="899">
        <v>45493</v>
      </c>
      <c r="D11" s="899"/>
      <c r="E11" s="899"/>
      <c r="H11" s="922"/>
      <c r="I11" s="942" t="s">
        <v>568</v>
      </c>
    </row>
    <row r="12" spans="2:22" ht="18.75" customHeight="1" x14ac:dyDescent="0.2">
      <c r="B12" s="901"/>
      <c r="C12" s="899">
        <v>45494</v>
      </c>
      <c r="D12" s="899"/>
      <c r="E12" s="899"/>
      <c r="F12"/>
      <c r="G12" s="1448" t="s">
        <v>584</v>
      </c>
      <c r="H12" s="1449"/>
      <c r="I12" s="1449"/>
      <c r="J12" s="1449"/>
      <c r="K12" s="22"/>
      <c r="L12" s="22"/>
      <c r="M12" s="22"/>
    </row>
    <row r="13" spans="2:22" s="22" customFormat="1" ht="18.75" customHeight="1" x14ac:dyDescent="0.15">
      <c r="B13" s="901"/>
      <c r="C13" s="899">
        <v>45563</v>
      </c>
      <c r="D13" s="899"/>
      <c r="E13" s="899"/>
      <c r="G13" s="1450" t="s">
        <v>588</v>
      </c>
      <c r="H13" s="1450"/>
      <c r="I13" s="1450"/>
      <c r="J13" s="1451" t="s">
        <v>585</v>
      </c>
      <c r="K13" s="1452"/>
      <c r="L13" s="1170">
        <v>6</v>
      </c>
      <c r="M13" s="1431" t="s">
        <v>586</v>
      </c>
      <c r="N13" s="1432"/>
      <c r="O13" s="671">
        <f>L13*7</f>
        <v>42</v>
      </c>
      <c r="P13" s="9" t="s">
        <v>587</v>
      </c>
      <c r="Q13" s="49"/>
      <c r="R13" s="49"/>
    </row>
    <row r="14" spans="2:22" s="22" customFormat="1" ht="18.75" customHeight="1" x14ac:dyDescent="0.15">
      <c r="B14" s="901"/>
      <c r="C14" s="899">
        <v>45564</v>
      </c>
      <c r="D14" s="899"/>
      <c r="E14" s="899"/>
      <c r="G14" s="49"/>
      <c r="H14" s="49"/>
      <c r="I14" s="49"/>
      <c r="J14" s="49"/>
      <c r="K14" s="49"/>
      <c r="L14" s="49"/>
      <c r="M14" s="49"/>
      <c r="N14" s="49"/>
      <c r="O14" s="49"/>
      <c r="P14" s="49"/>
      <c r="Q14" s="49"/>
      <c r="R14" s="49"/>
    </row>
    <row r="15" spans="2:22" s="49" customFormat="1" ht="18.75" customHeight="1" x14ac:dyDescent="0.15">
      <c r="B15" s="901"/>
      <c r="C15" s="899">
        <v>45570</v>
      </c>
      <c r="D15" s="899"/>
      <c r="E15" s="899"/>
    </row>
    <row r="16" spans="2:22" s="49" customFormat="1" ht="18.75" customHeight="1" x14ac:dyDescent="0.15">
      <c r="B16" s="901"/>
      <c r="C16" s="899">
        <v>45571</v>
      </c>
      <c r="D16" s="899"/>
      <c r="E16" s="899"/>
    </row>
    <row r="17" spans="2:18" s="49" customFormat="1" ht="18.75" customHeight="1" x14ac:dyDescent="0.15">
      <c r="B17" s="901"/>
      <c r="C17" s="899">
        <v>45619</v>
      </c>
      <c r="D17" s="899"/>
      <c r="E17" s="899"/>
    </row>
    <row r="18" spans="2:18" s="49" customFormat="1" ht="18.75" customHeight="1" x14ac:dyDescent="0.15">
      <c r="B18" s="901"/>
      <c r="C18" s="899">
        <v>45620</v>
      </c>
      <c r="D18" s="899"/>
      <c r="E18" s="899"/>
    </row>
    <row r="19" spans="2:18" s="49" customFormat="1" ht="18.75" customHeight="1" x14ac:dyDescent="0.15">
      <c r="B19" s="901"/>
      <c r="C19" s="899">
        <v>45640</v>
      </c>
      <c r="D19" s="899"/>
      <c r="E19" s="899"/>
    </row>
    <row r="20" spans="2:18" s="49" customFormat="1" ht="18.75" customHeight="1" x14ac:dyDescent="0.15">
      <c r="B20" s="901"/>
      <c r="C20" s="899">
        <v>45641</v>
      </c>
      <c r="D20" s="899"/>
      <c r="E20" s="899"/>
    </row>
    <row r="21" spans="2:18" s="49" customFormat="1" ht="18.75" customHeight="1" x14ac:dyDescent="0.15">
      <c r="B21" s="901"/>
      <c r="C21" s="899">
        <v>45655</v>
      </c>
      <c r="D21" s="899"/>
      <c r="E21" s="899"/>
    </row>
    <row r="22" spans="2:18" s="49" customFormat="1" ht="18.75" customHeight="1" x14ac:dyDescent="0.15">
      <c r="B22" s="901"/>
      <c r="C22" s="899">
        <v>45656</v>
      </c>
      <c r="D22" s="899"/>
      <c r="E22" s="899"/>
      <c r="G22" s="22"/>
      <c r="H22" s="22"/>
      <c r="I22" s="22"/>
      <c r="J22" s="22"/>
      <c r="K22" s="22"/>
      <c r="L22" s="22"/>
      <c r="M22" s="22"/>
      <c r="N22" s="22"/>
      <c r="O22" s="22"/>
      <c r="P22" s="22"/>
      <c r="Q22" s="22"/>
      <c r="R22" s="22"/>
    </row>
    <row r="23" spans="2:18" s="49" customFormat="1" ht="18.75" customHeight="1" x14ac:dyDescent="0.15">
      <c r="B23" s="901"/>
      <c r="C23" s="899">
        <v>45659</v>
      </c>
      <c r="D23" s="899"/>
      <c r="E23" s="899"/>
      <c r="G23" s="22"/>
      <c r="H23" s="22"/>
      <c r="I23" s="22"/>
      <c r="J23" s="22"/>
      <c r="K23" s="22"/>
      <c r="L23" s="22"/>
      <c r="M23" s="22"/>
      <c r="N23" s="22"/>
      <c r="O23" s="22"/>
      <c r="P23" s="22"/>
      <c r="Q23" s="22"/>
      <c r="R23" s="22"/>
    </row>
    <row r="24" spans="2:18" s="22" customFormat="1" ht="18.75" customHeight="1" x14ac:dyDescent="0.15">
      <c r="B24" s="901"/>
      <c r="C24" s="899">
        <v>45660</v>
      </c>
      <c r="D24" s="899"/>
      <c r="E24" s="899"/>
    </row>
    <row r="25" spans="2:18" s="22" customFormat="1" ht="18.75" customHeight="1" x14ac:dyDescent="0.15">
      <c r="B25" s="901"/>
      <c r="C25" s="899">
        <v>45675</v>
      </c>
      <c r="D25" s="899"/>
      <c r="E25" s="899"/>
    </row>
    <row r="26" spans="2:18" s="22" customFormat="1" ht="18.75" customHeight="1" x14ac:dyDescent="0.15">
      <c r="B26" s="901"/>
      <c r="C26" s="899">
        <v>45676</v>
      </c>
      <c r="D26" s="899"/>
      <c r="E26" s="899"/>
    </row>
    <row r="27" spans="2:18" s="22" customFormat="1" ht="18.75" customHeight="1" x14ac:dyDescent="0.15">
      <c r="B27" s="901"/>
      <c r="C27" s="899"/>
      <c r="D27" s="899"/>
      <c r="E27" s="899"/>
    </row>
    <row r="28" spans="2:18" s="22" customFormat="1" ht="18.75" customHeight="1" x14ac:dyDescent="0.15">
      <c r="B28" s="901"/>
      <c r="C28" s="899"/>
      <c r="D28" s="899"/>
      <c r="E28" s="899"/>
    </row>
    <row r="29" spans="2:18" s="22" customFormat="1" ht="18.75" customHeight="1" x14ac:dyDescent="0.15">
      <c r="B29" s="901"/>
      <c r="C29" s="899"/>
      <c r="D29" s="899"/>
      <c r="E29" s="899"/>
    </row>
    <row r="30" spans="2:18" s="22" customFormat="1" ht="18.75" customHeight="1" x14ac:dyDescent="0.15">
      <c r="B30" s="901"/>
      <c r="C30" s="899"/>
      <c r="D30" s="899"/>
      <c r="E30" s="899"/>
    </row>
    <row r="31" spans="2:18" s="22" customFormat="1" ht="18.75" customHeight="1" x14ac:dyDescent="0.15">
      <c r="B31" s="901"/>
      <c r="C31" s="899"/>
      <c r="D31" s="899"/>
      <c r="E31" s="899"/>
    </row>
    <row r="32" spans="2:18" s="22" customFormat="1" ht="18.75" customHeight="1" x14ac:dyDescent="0.15">
      <c r="B32" s="901"/>
      <c r="C32" s="899"/>
      <c r="D32" s="899"/>
      <c r="E32" s="899"/>
    </row>
    <row r="33" spans="1:18" s="22" customFormat="1" ht="18.75" customHeight="1" x14ac:dyDescent="0.15">
      <c r="B33" s="901"/>
      <c r="C33" s="899"/>
      <c r="D33" s="899"/>
      <c r="E33" s="899"/>
    </row>
    <row r="34" spans="1:18" s="22" customFormat="1" ht="18.75" customHeight="1" x14ac:dyDescent="0.15">
      <c r="B34" s="901"/>
      <c r="C34" s="899"/>
      <c r="D34" s="899"/>
      <c r="E34" s="899"/>
      <c r="G34"/>
      <c r="H34"/>
      <c r="I34"/>
      <c r="J34"/>
      <c r="K34"/>
      <c r="L34"/>
      <c r="M34"/>
      <c r="N34"/>
      <c r="O34"/>
      <c r="P34"/>
      <c r="Q34"/>
      <c r="R34"/>
    </row>
    <row r="35" spans="1:18" s="22" customFormat="1" ht="18.75" customHeight="1" x14ac:dyDescent="0.15">
      <c r="B35" s="901"/>
      <c r="C35" s="899"/>
      <c r="D35" s="899"/>
      <c r="E35" s="899"/>
    </row>
    <row r="36" spans="1:18" ht="18.75" customHeight="1" x14ac:dyDescent="0.15">
      <c r="D36"/>
      <c r="F36"/>
      <c r="G36" s="22"/>
      <c r="H36" s="22"/>
      <c r="I36" s="22"/>
      <c r="J36" s="22"/>
      <c r="K36" s="22"/>
      <c r="L36" s="22"/>
      <c r="M36" s="22"/>
      <c r="N36" s="22"/>
      <c r="O36" s="22"/>
      <c r="P36" s="22"/>
      <c r="Q36" s="22"/>
      <c r="R36" s="22"/>
    </row>
    <row r="37" spans="1:18" s="22" customFormat="1" ht="18.75" customHeight="1" x14ac:dyDescent="0.15"/>
    <row r="38" spans="1:18" s="22" customFormat="1" ht="18.75" customHeight="1" x14ac:dyDescent="0.15"/>
    <row r="39" spans="1:18" s="22" customFormat="1" ht="18.75" customHeight="1" x14ac:dyDescent="0.15"/>
    <row r="40" spans="1:18" s="22" customFormat="1" ht="18.75" customHeight="1" x14ac:dyDescent="0.15">
      <c r="G40" s="218"/>
      <c r="H40" s="218"/>
      <c r="I40" s="68"/>
      <c r="J40"/>
      <c r="K40"/>
      <c r="O40" s="68"/>
      <c r="P40" s="68"/>
      <c r="Q40" s="68"/>
      <c r="R40" s="68"/>
    </row>
    <row r="41" spans="1:18" s="22" customFormat="1" ht="18.75" customHeight="1" x14ac:dyDescent="0.15">
      <c r="A41" s="39"/>
      <c r="G41" s="68"/>
      <c r="H41" s="68"/>
      <c r="I41" s="68"/>
      <c r="M41"/>
      <c r="N41"/>
      <c r="O41" s="68"/>
      <c r="P41" s="68"/>
      <c r="Q41" s="68"/>
      <c r="R41" s="68"/>
    </row>
    <row r="42" spans="1:18" s="68" customFormat="1" ht="18.75" customHeight="1" x14ac:dyDescent="0.15">
      <c r="A42" s="212"/>
      <c r="B42" s="70"/>
      <c r="E42" s="218"/>
      <c r="F42" s="218"/>
      <c r="J42" s="22"/>
      <c r="K42" s="22"/>
      <c r="L42" s="22"/>
      <c r="M42" s="22"/>
      <c r="N42" s="22"/>
    </row>
    <row r="43" spans="1:18" s="68" customFormat="1" ht="18.75" customHeight="1" x14ac:dyDescent="0.15">
      <c r="A43" s="212"/>
      <c r="B43" s="70"/>
      <c r="J43" s="22"/>
      <c r="K43" s="22"/>
      <c r="L43"/>
      <c r="M43" s="22"/>
      <c r="N43" s="22"/>
    </row>
    <row r="44" spans="1:18" s="68" customFormat="1" ht="18.75" customHeight="1" x14ac:dyDescent="0.15">
      <c r="A44" s="212"/>
      <c r="B44" s="70"/>
      <c r="J44" s="22"/>
      <c r="K44" s="22"/>
      <c r="L44" s="22"/>
      <c r="M44" s="22"/>
      <c r="N44" s="22"/>
    </row>
    <row r="45" spans="1:18" s="68" customFormat="1" ht="18.75" customHeight="1" x14ac:dyDescent="0.15">
      <c r="A45" s="212"/>
      <c r="B45" s="70"/>
      <c r="L45" s="22"/>
      <c r="M45" s="22"/>
      <c r="N45" s="22"/>
    </row>
    <row r="46" spans="1:18" s="68" customFormat="1" ht="18.75" customHeight="1" x14ac:dyDescent="0.15">
      <c r="A46" s="212"/>
      <c r="B46" s="70"/>
      <c r="L46" s="22"/>
    </row>
    <row r="47" spans="1:18" s="68" customFormat="1" ht="18.75" customHeight="1" x14ac:dyDescent="0.15">
      <c r="A47" s="212"/>
      <c r="B47" s="70"/>
      <c r="L47" s="22"/>
    </row>
    <row r="48" spans="1:18" s="68" customFormat="1" ht="18.75" customHeight="1" x14ac:dyDescent="0.15">
      <c r="A48" s="213"/>
      <c r="B48" s="70"/>
    </row>
    <row r="49" spans="1:2" s="68" customFormat="1" ht="18.75" customHeight="1" x14ac:dyDescent="0.15">
      <c r="A49" s="213"/>
      <c r="B49" s="70"/>
    </row>
    <row r="50" spans="1:2" s="68" customFormat="1" ht="18.75" customHeight="1" x14ac:dyDescent="0.15">
      <c r="A50" s="213"/>
      <c r="B50" s="70"/>
    </row>
    <row r="51" spans="1:2" s="68" customFormat="1" ht="18.75" customHeight="1" x14ac:dyDescent="0.15">
      <c r="A51" s="212"/>
      <c r="B51" s="70"/>
    </row>
    <row r="52" spans="1:2" s="68" customFormat="1" ht="18.75" customHeight="1" x14ac:dyDescent="0.15">
      <c r="A52" s="212"/>
      <c r="B52" s="70"/>
    </row>
    <row r="53" spans="1:2" s="68" customFormat="1" ht="18.75" customHeight="1" x14ac:dyDescent="0.15">
      <c r="A53" s="212"/>
      <c r="B53" s="70"/>
    </row>
    <row r="54" spans="1:2" s="68" customFormat="1" ht="18.75" customHeight="1" x14ac:dyDescent="0.15">
      <c r="A54" s="212"/>
      <c r="B54" s="70"/>
    </row>
    <row r="55" spans="1:2" s="68" customFormat="1" ht="18.75" customHeight="1" x14ac:dyDescent="0.15">
      <c r="A55" s="212"/>
      <c r="B55" s="70"/>
    </row>
    <row r="56" spans="1:2" s="68" customFormat="1" ht="15" customHeight="1" x14ac:dyDescent="0.15">
      <c r="A56" s="212"/>
      <c r="B56" s="70"/>
    </row>
    <row r="57" spans="1:2" s="68" customFormat="1" ht="15" customHeight="1" x14ac:dyDescent="0.15">
      <c r="A57" s="212"/>
    </row>
    <row r="58" spans="1:2" s="68" customFormat="1" ht="15" customHeight="1" x14ac:dyDescent="0.15">
      <c r="A58" s="212"/>
    </row>
    <row r="59" spans="1:2" s="68" customFormat="1" ht="15" customHeight="1" x14ac:dyDescent="0.15">
      <c r="A59" s="212"/>
    </row>
    <row r="60" spans="1:2" s="68" customFormat="1" ht="15" customHeight="1" x14ac:dyDescent="0.15">
      <c r="A60" s="212"/>
    </row>
    <row r="61" spans="1:2" s="68" customFormat="1" ht="15" customHeight="1" x14ac:dyDescent="0.15">
      <c r="A61" s="212"/>
    </row>
    <row r="62" spans="1:2" s="68" customFormat="1" ht="15" customHeight="1" x14ac:dyDescent="0.15">
      <c r="A62" s="212"/>
    </row>
    <row r="63" spans="1:2" s="68" customFormat="1" ht="15" customHeight="1" x14ac:dyDescent="0.15">
      <c r="A63" s="212"/>
    </row>
    <row r="64" spans="1:2" s="68" customFormat="1" ht="15" customHeight="1" x14ac:dyDescent="0.15">
      <c r="A64" s="212"/>
    </row>
    <row r="65" spans="1:7" s="68" customFormat="1" ht="15" customHeight="1" x14ac:dyDescent="0.15">
      <c r="A65" s="212"/>
    </row>
    <row r="66" spans="1:7" s="68" customFormat="1" ht="15" customHeight="1" x14ac:dyDescent="0.15">
      <c r="A66" s="212"/>
    </row>
    <row r="67" spans="1:7" s="68" customFormat="1" ht="15" customHeight="1" x14ac:dyDescent="0.15">
      <c r="A67" s="212"/>
    </row>
    <row r="68" spans="1:7" s="68" customFormat="1" ht="15" customHeight="1" x14ac:dyDescent="0.15">
      <c r="A68" s="212"/>
      <c r="B68" s="70"/>
      <c r="C68" s="70"/>
    </row>
    <row r="69" spans="1:7" s="68" customFormat="1" ht="15" customHeight="1" x14ac:dyDescent="0.15">
      <c r="A69" s="212"/>
      <c r="B69" s="70"/>
      <c r="C69" s="70"/>
    </row>
    <row r="70" spans="1:7" s="68" customFormat="1" ht="15" customHeight="1" x14ac:dyDescent="0.15">
      <c r="A70" s="212"/>
      <c r="B70" s="70"/>
      <c r="C70" s="70"/>
    </row>
    <row r="71" spans="1:7" s="68" customFormat="1" ht="15" customHeight="1" x14ac:dyDescent="0.15">
      <c r="A71" s="212"/>
      <c r="B71" s="70"/>
      <c r="C71" s="70"/>
    </row>
    <row r="72" spans="1:7" s="68" customFormat="1" ht="15" customHeight="1" x14ac:dyDescent="0.15">
      <c r="A72" s="212"/>
      <c r="B72" s="70"/>
      <c r="C72" s="70"/>
    </row>
    <row r="73" spans="1:7" s="68" customFormat="1" ht="15" customHeight="1" x14ac:dyDescent="0.15">
      <c r="A73" s="212"/>
      <c r="B73" s="70"/>
      <c r="C73" s="70"/>
    </row>
    <row r="74" spans="1:7" s="68" customFormat="1" ht="15" customHeight="1" x14ac:dyDescent="0.15">
      <c r="A74" s="212"/>
      <c r="B74" s="70"/>
      <c r="C74" s="70"/>
    </row>
    <row r="75" spans="1:7" s="68" customFormat="1" ht="15" customHeight="1" x14ac:dyDescent="0.15">
      <c r="A75" s="212"/>
      <c r="B75" s="70"/>
      <c r="C75" s="70"/>
    </row>
    <row r="76" spans="1:7" s="68" customFormat="1" ht="15" customHeight="1" x14ac:dyDescent="0.15">
      <c r="A76" s="212"/>
      <c r="B76" s="70"/>
      <c r="C76" s="70"/>
    </row>
    <row r="77" spans="1:7" s="68" customFormat="1" ht="15" customHeight="1" x14ac:dyDescent="0.15">
      <c r="A77" s="212"/>
      <c r="B77" s="70"/>
      <c r="C77" s="70"/>
    </row>
    <row r="78" spans="1:7" s="68" customFormat="1" ht="15" customHeight="1" x14ac:dyDescent="0.15">
      <c r="A78" s="212"/>
      <c r="B78" s="70"/>
      <c r="C78" s="70"/>
      <c r="E78" s="22"/>
      <c r="F78" s="22"/>
    </row>
    <row r="79" spans="1:7" s="68" customFormat="1" ht="15" customHeight="1" x14ac:dyDescent="0.15">
      <c r="A79" s="212"/>
      <c r="B79" s="2"/>
      <c r="C79" s="2"/>
      <c r="D79" s="22"/>
      <c r="E79" s="22"/>
      <c r="F79" s="22"/>
    </row>
    <row r="80" spans="1:7" s="68" customFormat="1" ht="15" customHeight="1" x14ac:dyDescent="0.15">
      <c r="A80" s="212"/>
      <c r="B80" s="2"/>
      <c r="C80" s="2"/>
      <c r="D80" s="22"/>
      <c r="E80" s="151"/>
      <c r="F80" s="22"/>
      <c r="G80" s="22"/>
    </row>
    <row r="81" spans="1:18" s="68" customFormat="1" ht="15" customHeight="1" x14ac:dyDescent="0.15">
      <c r="A81" s="212"/>
      <c r="B81" s="151"/>
      <c r="C81" s="151"/>
      <c r="D81" s="151"/>
      <c r="E81" s="22"/>
      <c r="F81" s="22"/>
      <c r="G81" s="22"/>
      <c r="H81" s="22"/>
    </row>
    <row r="82" spans="1:18" s="68" customFormat="1" ht="15" customHeight="1" x14ac:dyDescent="0.15">
      <c r="A82" s="212"/>
      <c r="B82" s="2"/>
      <c r="C82" s="2"/>
      <c r="D82" s="22"/>
      <c r="E82" s="22"/>
      <c r="F82" s="22"/>
      <c r="G82" s="22"/>
      <c r="H82" s="22"/>
    </row>
    <row r="83" spans="1:18" s="68" customFormat="1" ht="15" customHeight="1" x14ac:dyDescent="0.15">
      <c r="A83" s="212"/>
      <c r="B83" s="2"/>
      <c r="C83" s="22"/>
      <c r="D83" s="22"/>
      <c r="E83" s="22"/>
      <c r="F83" s="22"/>
      <c r="G83" s="22"/>
      <c r="H83" s="22"/>
    </row>
    <row r="84" spans="1:18" s="68" customFormat="1" ht="15" customHeight="1" x14ac:dyDescent="0.15">
      <c r="A84" s="212"/>
      <c r="B84" s="2"/>
      <c r="C84" s="22"/>
      <c r="D84" s="22"/>
      <c r="E84" s="22"/>
      <c r="F84" s="22"/>
      <c r="G84" s="22"/>
      <c r="H84" s="22"/>
    </row>
    <row r="85" spans="1:18" s="68" customFormat="1" ht="15" customHeight="1" x14ac:dyDescent="0.15">
      <c r="A85" s="212"/>
      <c r="B85" s="2"/>
      <c r="C85" s="22"/>
      <c r="D85" s="22"/>
      <c r="E85" s="22"/>
      <c r="F85" s="22"/>
      <c r="G85" s="22"/>
      <c r="H85" s="22"/>
      <c r="I85" s="22"/>
    </row>
    <row r="86" spans="1:18" s="68" customFormat="1" ht="15" customHeight="1" x14ac:dyDescent="0.15">
      <c r="A86" s="212"/>
      <c r="B86" s="2"/>
      <c r="C86" s="22"/>
      <c r="D86" s="22"/>
      <c r="E86" s="22"/>
      <c r="F86" s="22"/>
      <c r="G86" s="22"/>
      <c r="H86" s="22"/>
      <c r="I86" s="22"/>
    </row>
    <row r="87" spans="1:18" s="68" customFormat="1" ht="15" customHeight="1" x14ac:dyDescent="0.15">
      <c r="A87" s="212"/>
      <c r="B87" s="2"/>
      <c r="C87" s="22"/>
      <c r="D87" s="22"/>
      <c r="E87" s="22"/>
      <c r="F87" s="151"/>
      <c r="G87" s="22"/>
      <c r="H87" s="22"/>
      <c r="I87" s="22"/>
    </row>
    <row r="88" spans="1:18" s="68" customFormat="1" ht="15" customHeight="1" x14ac:dyDescent="0.15">
      <c r="A88" s="212"/>
      <c r="B88" s="22"/>
      <c r="C88" s="22"/>
      <c r="D88" s="22"/>
      <c r="E88" s="22"/>
      <c r="F88" s="22"/>
      <c r="G88" s="22"/>
      <c r="H88" s="22"/>
      <c r="I88" s="22"/>
    </row>
    <row r="89" spans="1:18" s="68" customFormat="1" ht="22.5" customHeight="1" x14ac:dyDescent="0.15">
      <c r="A89" s="212"/>
      <c r="B89" s="22"/>
      <c r="C89" s="22"/>
      <c r="D89" s="22"/>
      <c r="E89" s="22"/>
      <c r="F89" s="22"/>
      <c r="G89" s="22"/>
      <c r="H89" s="22"/>
      <c r="I89" s="49"/>
      <c r="O89" s="22"/>
      <c r="P89" s="22"/>
      <c r="Q89" s="22"/>
      <c r="R89" s="22"/>
    </row>
    <row r="90" spans="1:18" s="68" customFormat="1" ht="21" customHeight="1" x14ac:dyDescent="0.2">
      <c r="A90" s="214"/>
      <c r="B90" s="22"/>
      <c r="C90" s="22"/>
      <c r="D90" s="22"/>
      <c r="E90" s="22"/>
      <c r="F90" s="22"/>
      <c r="G90" s="22"/>
      <c r="H90" s="22"/>
      <c r="I90" s="22"/>
      <c r="O90" s="22"/>
      <c r="P90" s="22"/>
      <c r="Q90" s="22"/>
      <c r="R90" s="22"/>
    </row>
    <row r="91" spans="1:18" s="22" customFormat="1" ht="18.75" customHeight="1" x14ac:dyDescent="0.15">
      <c r="A91" s="39"/>
      <c r="G91" s="43"/>
      <c r="J91" s="68"/>
      <c r="K91" s="68"/>
      <c r="L91" s="68"/>
      <c r="M91" s="68"/>
      <c r="N91" s="68"/>
    </row>
    <row r="92" spans="1:18" s="22" customFormat="1" ht="33.75" customHeight="1" x14ac:dyDescent="0.15">
      <c r="A92" s="39"/>
      <c r="E92" s="44"/>
      <c r="F92" s="44"/>
      <c r="J92" s="68"/>
      <c r="K92" s="68"/>
      <c r="L92" s="68"/>
      <c r="M92" s="68"/>
      <c r="N92" s="68"/>
    </row>
    <row r="93" spans="1:18" s="22" customFormat="1" ht="33.75" customHeight="1" x14ac:dyDescent="0.15">
      <c r="A93" s="39"/>
      <c r="C93" s="43"/>
      <c r="D93" s="43"/>
      <c r="J93" s="68"/>
      <c r="K93" s="68"/>
      <c r="L93" s="68"/>
      <c r="M93" s="68"/>
      <c r="N93" s="68"/>
    </row>
    <row r="94" spans="1:18" s="22" customFormat="1" ht="33.75" customHeight="1" x14ac:dyDescent="0.15">
      <c r="A94" s="39"/>
      <c r="L94" s="68"/>
      <c r="M94" s="68"/>
      <c r="N94" s="68"/>
    </row>
    <row r="95" spans="1:18" s="22" customFormat="1" ht="33.75" customHeight="1" x14ac:dyDescent="0.15">
      <c r="A95" s="39"/>
      <c r="L95" s="68"/>
    </row>
    <row r="96" spans="1:18" s="22" customFormat="1" ht="33.75" customHeight="1" x14ac:dyDescent="0.15">
      <c r="A96" s="39"/>
      <c r="L96" s="68"/>
    </row>
    <row r="97" spans="1:18" s="22" customFormat="1" ht="30" customHeight="1" x14ac:dyDescent="0.15">
      <c r="A97" s="39"/>
    </row>
    <row r="98" spans="1:18" s="22" customFormat="1" ht="30" customHeight="1" x14ac:dyDescent="0.15">
      <c r="A98" s="39"/>
    </row>
    <row r="99" spans="1:18" s="22" customFormat="1" ht="52.5" customHeight="1" x14ac:dyDescent="0.15">
      <c r="A99" s="39"/>
      <c r="O99" s="49"/>
      <c r="P99" s="49"/>
      <c r="Q99" s="49"/>
      <c r="R99" s="49"/>
    </row>
    <row r="100" spans="1:18" s="22" customFormat="1" ht="15" customHeight="1" x14ac:dyDescent="0.15">
      <c r="A100" s="39"/>
    </row>
    <row r="101" spans="1:18" s="49" customFormat="1" ht="34.5" customHeight="1" x14ac:dyDescent="0.15">
      <c r="A101" s="211"/>
      <c r="B101" s="22"/>
      <c r="C101" s="22"/>
      <c r="D101" s="22"/>
      <c r="E101" s="22"/>
      <c r="F101" s="22"/>
      <c r="G101" s="22"/>
      <c r="H101" s="22"/>
      <c r="I101" s="22"/>
      <c r="J101" s="22"/>
      <c r="K101" s="22"/>
      <c r="L101" s="22"/>
      <c r="M101" s="22"/>
      <c r="N101" s="22"/>
      <c r="O101" s="22"/>
      <c r="P101" s="22"/>
      <c r="Q101" s="22"/>
      <c r="R101" s="22"/>
    </row>
    <row r="102" spans="1:18" s="22" customFormat="1" ht="15" customHeight="1" x14ac:dyDescent="0.15">
      <c r="A102" s="39"/>
      <c r="J102" s="49"/>
    </row>
    <row r="103" spans="1:18" s="22" customFormat="1" ht="15" customHeight="1" x14ac:dyDescent="0.15">
      <c r="K103" s="49"/>
    </row>
    <row r="104" spans="1:18" s="22" customFormat="1" ht="26.25" customHeight="1" x14ac:dyDescent="0.15">
      <c r="I104" s="49"/>
    </row>
    <row r="105" spans="1:18" s="22" customFormat="1" ht="22.5" customHeight="1" x14ac:dyDescent="0.15">
      <c r="H105" s="49"/>
      <c r="L105" s="49"/>
    </row>
    <row r="106" spans="1:18" s="22" customFormat="1" ht="22.5" customHeight="1" x14ac:dyDescent="0.15"/>
    <row r="107" spans="1:18" s="22" customFormat="1" ht="22.5" customHeight="1" x14ac:dyDescent="0.15"/>
    <row r="108" spans="1:18" s="22" customFormat="1" ht="22.5" customHeight="1" x14ac:dyDescent="0.15"/>
    <row r="109" spans="1:18" s="22" customFormat="1" ht="22.5" customHeight="1" x14ac:dyDescent="0.15"/>
    <row r="110" spans="1:18" s="22" customFormat="1" ht="22.5" customHeight="1" x14ac:dyDescent="0.15">
      <c r="E110" s="217"/>
    </row>
    <row r="111" spans="1:18" s="22" customFormat="1" ht="22.5" customHeight="1" x14ac:dyDescent="0.15">
      <c r="A111" s="216"/>
      <c r="B111" s="1434"/>
      <c r="C111" s="1434"/>
      <c r="D111" s="1435"/>
    </row>
    <row r="112" spans="1:18" s="22" customFormat="1" ht="11.25" customHeight="1" x14ac:dyDescent="0.15">
      <c r="A112" s="220"/>
    </row>
    <row r="113" spans="1:7" s="22" customFormat="1" ht="26.25" customHeight="1" x14ac:dyDescent="0.15">
      <c r="A113" s="219"/>
    </row>
    <row r="114" spans="1:7" s="22" customFormat="1" ht="22.5" customHeight="1" x14ac:dyDescent="0.15">
      <c r="A114" s="219"/>
    </row>
    <row r="115" spans="1:7" s="22" customFormat="1" ht="22.5" customHeight="1" x14ac:dyDescent="0.15">
      <c r="A115" s="215"/>
    </row>
    <row r="116" spans="1:7" s="22" customFormat="1" ht="23.25" customHeight="1" x14ac:dyDescent="0.15">
      <c r="A116" s="215"/>
    </row>
    <row r="117" spans="1:7" s="22" customFormat="1" ht="22.5" customHeight="1" x14ac:dyDescent="0.15">
      <c r="A117" s="215"/>
    </row>
    <row r="118" spans="1:7" s="22" customFormat="1" ht="22.5" customHeight="1" x14ac:dyDescent="0.15">
      <c r="A118" s="215"/>
    </row>
    <row r="119" spans="1:7" s="22" customFormat="1" ht="22.5" customHeight="1" x14ac:dyDescent="0.15">
      <c r="A119" s="215"/>
    </row>
    <row r="120" spans="1:7" s="22" customFormat="1" ht="22.5" customHeight="1" x14ac:dyDescent="0.15">
      <c r="A120" s="215"/>
      <c r="E120"/>
    </row>
    <row r="121" spans="1:7" s="22" customFormat="1" ht="11.25" customHeight="1" x14ac:dyDescent="0.15">
      <c r="B121"/>
      <c r="E121"/>
    </row>
    <row r="122" spans="1:7" s="22" customFormat="1" ht="15" customHeight="1" x14ac:dyDescent="0.15">
      <c r="B122"/>
      <c r="E122"/>
    </row>
    <row r="123" spans="1:7" s="22" customFormat="1" ht="26.25" customHeight="1" x14ac:dyDescent="0.15">
      <c r="B123"/>
      <c r="E123"/>
    </row>
    <row r="124" spans="1:7" s="22" customFormat="1" ht="22.5" customHeight="1" x14ac:dyDescent="0.15">
      <c r="B124"/>
      <c r="E124"/>
      <c r="G124"/>
    </row>
    <row r="125" spans="1:7" s="22" customFormat="1" ht="22.5" customHeight="1" x14ac:dyDescent="0.15">
      <c r="B125"/>
      <c r="E125"/>
      <c r="F125"/>
      <c r="G125"/>
    </row>
    <row r="126" spans="1:7" s="22" customFormat="1" ht="23.25" customHeight="1" x14ac:dyDescent="0.15">
      <c r="B126"/>
      <c r="E126"/>
      <c r="F126"/>
      <c r="G126"/>
    </row>
    <row r="127" spans="1:7" s="22" customFormat="1" ht="22.5" customHeight="1" x14ac:dyDescent="0.15">
      <c r="B127"/>
      <c r="E127"/>
      <c r="F127"/>
      <c r="G127"/>
    </row>
    <row r="128" spans="1:7" s="22" customFormat="1" ht="22.5" customHeight="1" x14ac:dyDescent="0.15">
      <c r="B128"/>
      <c r="E128"/>
      <c r="F128"/>
      <c r="G128"/>
    </row>
    <row r="129" spans="2:18" s="22" customFormat="1" ht="22.5" customHeight="1" x14ac:dyDescent="0.15">
      <c r="B129"/>
      <c r="E129"/>
      <c r="F129"/>
      <c r="G129"/>
    </row>
    <row r="130" spans="2:18" s="22" customFormat="1" ht="22.5" customHeight="1" x14ac:dyDescent="0.15">
      <c r="B130"/>
      <c r="E130"/>
      <c r="F130"/>
      <c r="G130"/>
    </row>
    <row r="131" spans="2:18" s="22" customFormat="1" ht="11.25" customHeight="1" x14ac:dyDescent="0.15">
      <c r="B131"/>
      <c r="E131"/>
      <c r="F131"/>
      <c r="G131"/>
    </row>
    <row r="132" spans="2:18" s="22" customFormat="1" ht="26.25" customHeight="1" x14ac:dyDescent="0.15">
      <c r="B132"/>
      <c r="E132"/>
      <c r="F132"/>
      <c r="G132"/>
    </row>
    <row r="133" spans="2:18" s="22" customFormat="1" ht="22.5" customHeight="1" x14ac:dyDescent="0.15">
      <c r="B133"/>
      <c r="E133"/>
      <c r="F133"/>
      <c r="G133"/>
    </row>
    <row r="134" spans="2:18" s="22" customFormat="1" ht="22.5" customHeight="1" x14ac:dyDescent="0.15">
      <c r="B134"/>
      <c r="E134"/>
      <c r="F134"/>
      <c r="G134"/>
    </row>
    <row r="135" spans="2:18" s="22" customFormat="1" ht="23.25" customHeight="1" x14ac:dyDescent="0.15">
      <c r="B135"/>
      <c r="E135"/>
      <c r="F135"/>
      <c r="G135"/>
      <c r="J135"/>
    </row>
    <row r="136" spans="2:18" s="22" customFormat="1" ht="22.5" customHeight="1" x14ac:dyDescent="0.15">
      <c r="B136"/>
      <c r="E136"/>
      <c r="F136"/>
      <c r="G136"/>
      <c r="J136"/>
      <c r="K136"/>
    </row>
    <row r="137" spans="2:18" s="22" customFormat="1" ht="22.5" customHeight="1" x14ac:dyDescent="0.15">
      <c r="B137"/>
      <c r="E137"/>
      <c r="F137"/>
      <c r="G137"/>
      <c r="I137"/>
      <c r="J137"/>
      <c r="K137"/>
    </row>
    <row r="138" spans="2:18" s="22" customFormat="1" ht="22.5" customHeight="1" x14ac:dyDescent="0.15">
      <c r="B138"/>
      <c r="E138"/>
      <c r="F138"/>
      <c r="G138"/>
      <c r="H138"/>
      <c r="I138"/>
      <c r="J138"/>
      <c r="K138"/>
      <c r="L138"/>
    </row>
    <row r="139" spans="2:18" s="22" customFormat="1" ht="22.5" customHeight="1" x14ac:dyDescent="0.15">
      <c r="B139"/>
      <c r="E139"/>
      <c r="F139"/>
      <c r="G139"/>
      <c r="H139"/>
      <c r="I139"/>
      <c r="J139"/>
      <c r="K139"/>
      <c r="L139"/>
      <c r="M139"/>
      <c r="N139"/>
      <c r="O139"/>
      <c r="P139"/>
      <c r="Q139"/>
      <c r="R139"/>
    </row>
    <row r="140" spans="2:18" s="22" customFormat="1" ht="11.25" customHeight="1" x14ac:dyDescent="0.15">
      <c r="B140"/>
      <c r="E140"/>
      <c r="G140"/>
      <c r="H140"/>
      <c r="I140"/>
      <c r="J140"/>
      <c r="K140"/>
      <c r="L140"/>
      <c r="M140"/>
      <c r="N140"/>
      <c r="O140"/>
      <c r="P140"/>
      <c r="Q140"/>
      <c r="R140"/>
    </row>
  </sheetData>
  <sheetProtection algorithmName="SHA-512" hashValue="2wZuYy/0oeUfbYYHZ8Gi8F0d3qCOKarrLiY1ioq0IhjGIn7b2X+Rpdo7IC2DmWMRUlnXHe7XnFMaKi8xn9j+kQ==" saltValue="PcA/PGXVfGXUivERjB41MA==" spinCount="100000" sheet="1" selectLockedCells="1"/>
  <mergeCells count="17">
    <mergeCell ref="J13:K13"/>
    <mergeCell ref="M13:N13"/>
    <mergeCell ref="B2:E2"/>
    <mergeCell ref="B111:D111"/>
    <mergeCell ref="G4:G5"/>
    <mergeCell ref="L2:U2"/>
    <mergeCell ref="H4:J4"/>
    <mergeCell ref="Q4:S4"/>
    <mergeCell ref="G2:I2"/>
    <mergeCell ref="K4:P4"/>
    <mergeCell ref="J8:L8"/>
    <mergeCell ref="M8:O8"/>
    <mergeCell ref="P8:R8"/>
    <mergeCell ref="G8:G9"/>
    <mergeCell ref="H8:I8"/>
    <mergeCell ref="G12:J12"/>
    <mergeCell ref="G13:I13"/>
  </mergeCells>
  <phoneticPr fontId="1" type="Hiragana"/>
  <dataValidations count="1">
    <dataValidation imeMode="disabled" allowBlank="1" showInputMessage="1" showErrorMessage="1" sqref="H6:S7 H10:R10" xr:uid="{00000000-0002-0000-0300-000000000000}"/>
  </dataValidations>
  <pageMargins left="0.70866141732283472" right="0.70866141732283472" top="0.74803149606299213" bottom="0.74803149606299213" header="0.31496062992125984" footer="0.31496062992125984"/>
  <pageSetup paperSize="9" scale="38"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S157"/>
  <sheetViews>
    <sheetView showGridLines="0" zoomScaleNormal="100" zoomScaleSheetLayoutView="80" workbookViewId="0">
      <pane ySplit="7" topLeftCell="A8" activePane="bottomLeft" state="frozen"/>
      <selection pane="bottomLeft" activeCell="V9" sqref="V9:W9"/>
    </sheetView>
  </sheetViews>
  <sheetFormatPr defaultRowHeight="13.5" x14ac:dyDescent="0.15"/>
  <cols>
    <col min="1" max="1" width="0.375" style="22" customWidth="1"/>
    <col min="2" max="2" width="4.375" style="22" customWidth="1"/>
    <col min="3" max="3" width="5" style="8" customWidth="1"/>
    <col min="4" max="10" width="5" style="22" customWidth="1"/>
    <col min="11" max="11" width="5" style="8" customWidth="1"/>
    <col min="12" max="12" width="5" style="22" customWidth="1"/>
    <col min="13" max="14" width="5" style="8" customWidth="1"/>
    <col min="15" max="33" width="5" style="22" customWidth="1"/>
    <col min="34" max="34" width="4.75" style="22" customWidth="1"/>
    <col min="35" max="35" width="3.125" style="22" customWidth="1"/>
    <col min="36" max="42" width="5" style="22" customWidth="1"/>
    <col min="43" max="16384" width="9" style="22"/>
  </cols>
  <sheetData>
    <row r="1" spans="1:38" s="371" customFormat="1" ht="2.25" customHeight="1" thickBot="1" x14ac:dyDescent="0.2">
      <c r="B1" s="592"/>
      <c r="C1" s="592"/>
      <c r="D1" s="592"/>
      <c r="E1" s="592"/>
      <c r="F1" s="1453" t="s">
        <v>562</v>
      </c>
      <c r="G1" s="1453"/>
      <c r="H1" s="1453"/>
      <c r="I1" s="1453"/>
      <c r="J1" s="1453"/>
      <c r="K1" s="1453"/>
      <c r="L1" s="1453"/>
      <c r="M1" s="1453"/>
      <c r="N1" s="1453"/>
      <c r="O1" s="1453"/>
      <c r="P1" s="1453"/>
      <c r="Q1" s="1453"/>
      <c r="R1" s="1453"/>
      <c r="S1" s="1453"/>
      <c r="T1" s="1453"/>
      <c r="U1" s="1453"/>
      <c r="V1" s="1453"/>
      <c r="W1" s="1453"/>
      <c r="X1" s="1453"/>
      <c r="Y1" s="1453"/>
      <c r="Z1" s="1453"/>
      <c r="AA1" s="1453"/>
      <c r="AB1" s="1453"/>
      <c r="AC1" s="1453"/>
      <c r="AD1" s="592"/>
    </row>
    <row r="2" spans="1:38" s="371" customFormat="1" ht="21" customHeight="1" thickBot="1" x14ac:dyDescent="0.2">
      <c r="A2" s="592"/>
      <c r="B2" s="1834" t="str">
        <f>IF(OR(D5="×",I6="×",K6="×"),"提出不可","提出ＯＫ")</f>
        <v>提出不可</v>
      </c>
      <c r="C2" s="1834"/>
      <c r="D2" s="1834"/>
      <c r="E2" s="1834"/>
      <c r="F2" s="1453"/>
      <c r="G2" s="1453"/>
      <c r="H2" s="1453"/>
      <c r="I2" s="1453"/>
      <c r="J2" s="1453"/>
      <c r="K2" s="1453"/>
      <c r="L2" s="1453"/>
      <c r="M2" s="1453"/>
      <c r="N2" s="1453"/>
      <c r="O2" s="1453"/>
      <c r="P2" s="1453"/>
      <c r="Q2" s="1453"/>
      <c r="R2" s="1453"/>
      <c r="S2" s="1453"/>
      <c r="T2" s="1453"/>
      <c r="U2" s="1453"/>
      <c r="V2" s="1453"/>
      <c r="W2" s="1453"/>
      <c r="X2" s="1453"/>
      <c r="Y2" s="1453"/>
      <c r="Z2" s="1453"/>
      <c r="AA2" s="1453"/>
      <c r="AB2" s="1453"/>
      <c r="AC2" s="1453"/>
      <c r="AD2" s="1454" t="s">
        <v>248</v>
      </c>
      <c r="AE2" s="1455"/>
      <c r="AF2" s="1456"/>
      <c r="AG2" s="1457"/>
    </row>
    <row r="3" spans="1:38" s="371" customFormat="1" ht="6" customHeight="1" x14ac:dyDescent="0.15">
      <c r="B3" s="1834"/>
      <c r="C3" s="1834"/>
      <c r="D3" s="1834"/>
      <c r="E3" s="1834"/>
      <c r="F3" s="579"/>
      <c r="G3" s="597"/>
      <c r="H3" s="579"/>
      <c r="M3" s="591"/>
      <c r="AI3" s="372"/>
      <c r="AJ3" s="373"/>
      <c r="AK3" s="374"/>
    </row>
    <row r="4" spans="1:38" s="371" customFormat="1" ht="2.25" customHeight="1" thickBot="1" x14ac:dyDescent="0.2">
      <c r="B4" s="593"/>
      <c r="C4" s="593"/>
      <c r="D4" s="630"/>
      <c r="E4" s="630"/>
      <c r="F4" s="631"/>
      <c r="G4" s="631"/>
      <c r="H4" s="579"/>
      <c r="M4" s="591"/>
      <c r="N4" s="1458" t="s">
        <v>486</v>
      </c>
      <c r="O4" s="1458"/>
      <c r="P4" s="1458"/>
      <c r="Q4" s="1458"/>
      <c r="R4" s="1458"/>
      <c r="S4" s="1458"/>
      <c r="T4" s="1458"/>
      <c r="U4" s="1458"/>
      <c r="V4" s="1458"/>
      <c r="W4" s="1458"/>
      <c r="X4" s="1458"/>
      <c r="Y4" s="1458"/>
      <c r="Z4" s="1458"/>
      <c r="AA4" s="1458"/>
      <c r="AB4" s="1458"/>
      <c r="AC4" s="1458"/>
      <c r="AD4" s="1458"/>
      <c r="AE4" s="1458"/>
      <c r="AF4" s="1458"/>
      <c r="AG4" s="1458"/>
      <c r="AI4" s="372"/>
      <c r="AJ4" s="373"/>
      <c r="AK4" s="374"/>
    </row>
    <row r="5" spans="1:38" s="371" customFormat="1" ht="12.75" customHeight="1" x14ac:dyDescent="0.15">
      <c r="B5" s="1461" t="s">
        <v>485</v>
      </c>
      <c r="C5" s="1462"/>
      <c r="D5" s="1851" t="str">
        <f>IF(OR(B9="×",B11="×",B13="×",B16="×",B17="×",B19="×",B21="×",B22="×",B24="×",B27="×",B28="×",B29="×",B30="×",B32="×",B41="×",B46="×",B51="×",B53="×",B55="×",B60="×",B65="×",B82="×",B87="×",B94="×",B96="×",B102="×",B108="×",B114="×",B120="×",B126="×",B132="×",B138="×",B144="×",B150="×"),"未完成","ＯＫ")</f>
        <v>未完成</v>
      </c>
      <c r="E5" s="1852"/>
      <c r="F5" s="1852"/>
      <c r="G5" s="1853"/>
      <c r="H5" s="579"/>
      <c r="I5" s="1668" t="s">
        <v>421</v>
      </c>
      <c r="J5" s="1669"/>
      <c r="K5" s="1668" t="s">
        <v>422</v>
      </c>
      <c r="L5" s="1669"/>
      <c r="N5" s="1458"/>
      <c r="O5" s="1458"/>
      <c r="P5" s="1458"/>
      <c r="Q5" s="1458"/>
      <c r="R5" s="1458"/>
      <c r="S5" s="1458"/>
      <c r="T5" s="1458"/>
      <c r="U5" s="1458"/>
      <c r="V5" s="1458"/>
      <c r="W5" s="1458"/>
      <c r="X5" s="1458"/>
      <c r="Y5" s="1458"/>
      <c r="Z5" s="1458"/>
      <c r="AA5" s="1458"/>
      <c r="AB5" s="1458"/>
      <c r="AC5" s="1458"/>
      <c r="AD5" s="1458"/>
      <c r="AE5" s="1458"/>
      <c r="AF5" s="1458"/>
      <c r="AG5" s="1458"/>
      <c r="AI5" s="374"/>
    </row>
    <row r="6" spans="1:38" s="371" customFormat="1" ht="16.5" customHeight="1" thickBot="1" x14ac:dyDescent="0.2">
      <c r="B6" s="1463"/>
      <c r="C6" s="1464"/>
      <c r="D6" s="1854"/>
      <c r="E6" s="1855"/>
      <c r="F6" s="1855"/>
      <c r="G6" s="1856"/>
      <c r="H6" s="579"/>
      <c r="I6" s="1835" t="str">
        <f>IF(名簿入力!D2="ＯＫ","○","×")</f>
        <v>×</v>
      </c>
      <c r="J6" s="1836"/>
      <c r="K6" s="1837" t="str">
        <f>IF(⑥利用計画書!E2="ＯＫ","○","×")</f>
        <v>×</v>
      </c>
      <c r="L6" s="1836"/>
      <c r="N6" s="1458"/>
      <c r="O6" s="1458"/>
      <c r="P6" s="1458"/>
      <c r="Q6" s="1458"/>
      <c r="R6" s="1458"/>
      <c r="S6" s="1458"/>
      <c r="T6" s="1458"/>
      <c r="U6" s="1458"/>
      <c r="V6" s="1458"/>
      <c r="W6" s="1458"/>
      <c r="X6" s="1458"/>
      <c r="Y6" s="1458"/>
      <c r="Z6" s="1458"/>
      <c r="AA6" s="1458"/>
      <c r="AB6" s="1458"/>
      <c r="AC6" s="1458"/>
      <c r="AD6" s="1458"/>
      <c r="AE6" s="1458"/>
      <c r="AF6" s="1458"/>
      <c r="AG6" s="1458"/>
      <c r="AI6" s="374"/>
      <c r="AJ6" s="374"/>
    </row>
    <row r="7" spans="1:38" s="375" customFormat="1" ht="2.25" customHeight="1" x14ac:dyDescent="0.15">
      <c r="F7" s="376"/>
      <c r="G7" s="376"/>
      <c r="H7" s="376"/>
      <c r="I7" s="376"/>
      <c r="J7" s="377"/>
      <c r="K7" s="377"/>
      <c r="L7" s="377"/>
      <c r="M7" s="377"/>
      <c r="AJ7" s="846"/>
    </row>
    <row r="8" spans="1:38" ht="30" customHeight="1" thickBot="1" x14ac:dyDescent="0.2">
      <c r="B8" s="1647" t="s">
        <v>452</v>
      </c>
      <c r="C8" s="1647"/>
      <c r="D8" s="1647"/>
      <c r="E8" s="1647"/>
      <c r="F8" s="1647"/>
      <c r="G8" s="1647"/>
      <c r="H8" s="1647"/>
      <c r="I8" s="1647"/>
      <c r="J8" s="1647"/>
      <c r="K8" s="1647"/>
      <c r="L8" s="1647"/>
      <c r="M8" s="1647"/>
      <c r="N8" s="1647"/>
      <c r="O8" s="1647"/>
      <c r="P8" s="1647"/>
      <c r="Q8" s="1647"/>
      <c r="R8" s="1647"/>
      <c r="S8" s="1647"/>
      <c r="T8" s="1647"/>
      <c r="U8" s="1647"/>
      <c r="V8" s="1647"/>
      <c r="W8" s="1647"/>
      <c r="X8" s="1647"/>
      <c r="AA8" s="221"/>
      <c r="AB8" s="221"/>
      <c r="AC8" s="221"/>
      <c r="AD8" s="221"/>
      <c r="AE8" s="221"/>
      <c r="AF8" s="221"/>
      <c r="AG8" s="221"/>
      <c r="AH8" s="221"/>
      <c r="AI8" s="221"/>
      <c r="AJ8" s="221"/>
      <c r="AK8" s="389"/>
    </row>
    <row r="9" spans="1:38" ht="33.75" customHeight="1" thickBot="1" x14ac:dyDescent="0.2">
      <c r="B9" s="556" t="str">
        <f>IF(V9="","×","○")</f>
        <v>×</v>
      </c>
      <c r="C9" s="1469" t="s">
        <v>583</v>
      </c>
      <c r="D9" s="1470"/>
      <c r="E9" s="1470"/>
      <c r="F9" s="1470"/>
      <c r="G9" s="1470"/>
      <c r="H9" s="1470"/>
      <c r="I9" s="1470"/>
      <c r="J9" s="1470"/>
      <c r="K9" s="1470"/>
      <c r="L9" s="1470"/>
      <c r="M9" s="1470"/>
      <c r="N9" s="1470"/>
      <c r="O9" s="1470"/>
      <c r="P9" s="1470"/>
      <c r="Q9" s="1470"/>
      <c r="R9" s="1470"/>
      <c r="S9" s="1470"/>
      <c r="T9" s="1470"/>
      <c r="U9" s="1471"/>
      <c r="V9" s="1472"/>
      <c r="W9" s="1473"/>
      <c r="Z9" s="221"/>
      <c r="AA9" s="221"/>
      <c r="AB9" s="221"/>
      <c r="AC9" s="221"/>
      <c r="AD9" s="221"/>
      <c r="AE9" s="221"/>
      <c r="AF9" s="221"/>
      <c r="AG9" s="221"/>
      <c r="AH9" s="221"/>
      <c r="AI9" s="221"/>
      <c r="AJ9" s="221"/>
      <c r="AK9" s="389"/>
      <c r="AL9" s="2"/>
    </row>
    <row r="10" spans="1:38" ht="11.25" customHeight="1" thickBot="1" x14ac:dyDescent="0.2">
      <c r="A10" s="347"/>
      <c r="B10" s="1054"/>
      <c r="C10" s="355"/>
      <c r="D10" s="1055"/>
      <c r="E10" s="1055"/>
      <c r="F10" s="1055"/>
      <c r="G10" s="1055"/>
      <c r="H10" s="1055"/>
      <c r="I10" s="1055"/>
      <c r="J10" s="1055"/>
      <c r="K10" s="1055"/>
      <c r="L10" s="1056"/>
      <c r="M10" s="1056"/>
      <c r="N10" s="1056"/>
      <c r="O10" s="1056"/>
      <c r="P10" s="1056"/>
      <c r="Q10" s="1056"/>
      <c r="R10" s="1057"/>
      <c r="S10" s="1057"/>
      <c r="T10" s="1057"/>
      <c r="U10" s="1057"/>
      <c r="V10" s="1057"/>
      <c r="W10" s="1058"/>
      <c r="X10" s="1059"/>
      <c r="Y10" s="1059"/>
      <c r="Z10" s="356"/>
      <c r="AA10" s="356"/>
      <c r="AB10" s="356"/>
      <c r="AC10" s="356"/>
      <c r="AD10" s="356"/>
      <c r="AE10" s="356"/>
      <c r="AF10" s="356"/>
      <c r="AG10" s="356"/>
      <c r="AH10" s="356"/>
      <c r="AI10" s="356"/>
      <c r="AJ10" s="356"/>
      <c r="AK10" s="222"/>
      <c r="AL10" s="222"/>
    </row>
    <row r="11" spans="1:38" ht="30" customHeight="1" thickBot="1" x14ac:dyDescent="0.2">
      <c r="B11" s="556" t="str">
        <f>IF(F11="","×","○")</f>
        <v>×</v>
      </c>
      <c r="C11" s="1724" t="s">
        <v>2</v>
      </c>
      <c r="D11" s="1725"/>
      <c r="E11" s="1726"/>
      <c r="F11" s="1727"/>
      <c r="G11" s="1728"/>
      <c r="H11" s="1728"/>
      <c r="I11" s="1728"/>
      <c r="J11" s="1728"/>
      <c r="K11" s="1728"/>
      <c r="L11" s="1728"/>
      <c r="M11" s="1728"/>
      <c r="N11" s="1728"/>
      <c r="O11" s="1728"/>
      <c r="P11" s="1728"/>
      <c r="Q11" s="1728"/>
      <c r="R11" s="1728"/>
      <c r="S11" s="1728"/>
      <c r="T11" s="1728"/>
      <c r="U11" s="1728"/>
      <c r="V11" s="1728"/>
      <c r="W11" s="1728"/>
      <c r="X11" s="1729"/>
      <c r="Z11" s="221"/>
      <c r="AA11" s="221"/>
      <c r="AB11" s="221"/>
      <c r="AC11" s="221"/>
      <c r="AD11" s="221"/>
      <c r="AE11" s="221"/>
      <c r="AF11" s="221"/>
      <c r="AG11" s="221"/>
      <c r="AH11" s="221"/>
      <c r="AI11" s="221"/>
      <c r="AJ11" s="221"/>
      <c r="AK11" s="389"/>
      <c r="AL11" s="2"/>
    </row>
    <row r="12" spans="1:38" ht="22.5" customHeight="1" thickBot="1" x14ac:dyDescent="0.2">
      <c r="A12" s="304"/>
      <c r="B12" s="557"/>
      <c r="C12" s="1753" t="s">
        <v>350</v>
      </c>
      <c r="D12" s="1753"/>
      <c r="E12" s="1753"/>
      <c r="F12" s="1753"/>
      <c r="G12" s="1753"/>
      <c r="H12" s="1753"/>
      <c r="I12" s="1753"/>
      <c r="J12" s="1753"/>
      <c r="K12" s="1753"/>
      <c r="L12" s="1753"/>
      <c r="M12" s="1753"/>
      <c r="N12" s="1753"/>
      <c r="O12" s="1753"/>
      <c r="P12" s="1753"/>
      <c r="Q12" s="1753"/>
      <c r="R12" s="1753"/>
      <c r="S12" s="1753"/>
      <c r="T12" s="1753"/>
      <c r="U12" s="1753"/>
      <c r="V12" s="1753"/>
      <c r="W12" s="1753"/>
      <c r="X12" s="1753"/>
      <c r="Y12" s="1753"/>
      <c r="Z12" s="1753"/>
      <c r="AA12" s="1753"/>
      <c r="AB12" s="1753"/>
      <c r="AC12" s="1753"/>
      <c r="AD12" s="1753"/>
      <c r="AE12" s="1753"/>
      <c r="AF12" s="221"/>
      <c r="AG12" s="221"/>
      <c r="AH12" s="221"/>
      <c r="AI12" s="221"/>
      <c r="AJ12" s="221"/>
      <c r="AK12" s="389"/>
    </row>
    <row r="13" spans="1:38" ht="15" customHeight="1" x14ac:dyDescent="0.15">
      <c r="A13" s="2"/>
      <c r="B13" s="1541" t="str">
        <f>IF(OR(F14="",Q14=""),"×","○")</f>
        <v>×</v>
      </c>
      <c r="C13" s="1731" t="s">
        <v>40</v>
      </c>
      <c r="D13" s="1732"/>
      <c r="E13" s="1733"/>
      <c r="F13" s="1737" t="str">
        <f>PHONETIC(F14)</f>
        <v/>
      </c>
      <c r="G13" s="1738"/>
      <c r="H13" s="1738"/>
      <c r="I13" s="1738"/>
      <c r="J13" s="1738"/>
      <c r="K13" s="1738"/>
      <c r="L13" s="1738"/>
      <c r="M13" s="1739"/>
      <c r="N13" s="1731" t="s">
        <v>41</v>
      </c>
      <c r="O13" s="1732"/>
      <c r="P13" s="1732"/>
      <c r="Q13" s="1741" t="str">
        <f>PHONETIC(Q14)</f>
        <v/>
      </c>
      <c r="R13" s="1742"/>
      <c r="S13" s="1742"/>
      <c r="T13" s="1742"/>
      <c r="U13" s="1742"/>
      <c r="V13" s="1742"/>
      <c r="W13" s="1742"/>
      <c r="X13" s="1743"/>
      <c r="Z13" s="221"/>
      <c r="AA13" s="221"/>
      <c r="AB13" s="221"/>
      <c r="AC13" s="221"/>
      <c r="AD13" s="221"/>
      <c r="AE13" s="221"/>
      <c r="AF13" s="221"/>
      <c r="AG13" s="221"/>
      <c r="AH13" s="221"/>
      <c r="AI13" s="221"/>
      <c r="AJ13" s="221"/>
      <c r="AK13" s="389"/>
    </row>
    <row r="14" spans="1:38" ht="30" customHeight="1" thickBot="1" x14ac:dyDescent="0.2">
      <c r="A14" s="2"/>
      <c r="B14" s="1541"/>
      <c r="C14" s="1734"/>
      <c r="D14" s="1735"/>
      <c r="E14" s="1736"/>
      <c r="F14" s="1744"/>
      <c r="G14" s="1745"/>
      <c r="H14" s="1745"/>
      <c r="I14" s="1745"/>
      <c r="J14" s="1745"/>
      <c r="K14" s="1745"/>
      <c r="L14" s="1745"/>
      <c r="M14" s="1746"/>
      <c r="N14" s="1734"/>
      <c r="O14" s="1735"/>
      <c r="P14" s="1735"/>
      <c r="Q14" s="1747"/>
      <c r="R14" s="1748"/>
      <c r="S14" s="1748"/>
      <c r="T14" s="1748"/>
      <c r="U14" s="1748"/>
      <c r="V14" s="1748"/>
      <c r="W14" s="1748"/>
      <c r="X14" s="1749"/>
      <c r="AA14" s="221"/>
      <c r="AB14" s="221"/>
      <c r="AC14" s="221"/>
      <c r="AD14" s="221"/>
      <c r="AE14" s="221"/>
      <c r="AF14" s="221"/>
      <c r="AG14" s="221"/>
      <c r="AH14" s="221"/>
      <c r="AI14" s="221"/>
      <c r="AJ14" s="221"/>
      <c r="AK14" s="389"/>
    </row>
    <row r="15" spans="1:38" ht="23.25" customHeight="1" thickBot="1" x14ac:dyDescent="0.2">
      <c r="A15" s="2"/>
      <c r="B15" s="559"/>
      <c r="C15" s="1754" t="s">
        <v>320</v>
      </c>
      <c r="D15" s="1754"/>
      <c r="E15" s="1754"/>
      <c r="F15" s="1754"/>
      <c r="G15" s="1754"/>
      <c r="H15" s="1754"/>
      <c r="I15" s="1754"/>
      <c r="J15" s="1754"/>
      <c r="K15" s="1754"/>
      <c r="L15" s="1754"/>
      <c r="M15" s="1754"/>
      <c r="N15" s="1754"/>
      <c r="O15" s="1754"/>
      <c r="P15" s="1754"/>
      <c r="Q15" s="1754"/>
      <c r="R15" s="1754"/>
      <c r="S15" s="1754"/>
      <c r="T15" s="1754"/>
      <c r="U15" s="1754"/>
      <c r="V15" s="1754"/>
      <c r="W15" s="1754"/>
      <c r="X15" s="1754"/>
      <c r="Z15" s="221"/>
      <c r="AA15" s="221"/>
      <c r="AB15" s="221"/>
      <c r="AC15" s="221"/>
      <c r="AD15" s="221"/>
      <c r="AE15" s="221"/>
      <c r="AF15" s="221"/>
      <c r="AG15" s="221"/>
      <c r="AH15" s="221"/>
      <c r="AI15" s="221"/>
      <c r="AJ15" s="221"/>
      <c r="AK15" s="389"/>
    </row>
    <row r="16" spans="1:38" ht="30" customHeight="1" thickBot="1" x14ac:dyDescent="0.2">
      <c r="A16" s="2"/>
      <c r="B16" s="555" t="str">
        <f>IF(OR(G16="",I16="",L16="",O16="",AB16="×"),"×","○")</f>
        <v>×</v>
      </c>
      <c r="C16" s="1750" t="s">
        <v>308</v>
      </c>
      <c r="D16" s="1750"/>
      <c r="E16" s="1751"/>
      <c r="F16" s="21" t="s">
        <v>137</v>
      </c>
      <c r="G16" s="533"/>
      <c r="H16" s="31" t="s">
        <v>42</v>
      </c>
      <c r="I16" s="1752"/>
      <c r="J16" s="1752"/>
      <c r="K16" s="32"/>
      <c r="L16" s="1740"/>
      <c r="M16" s="1740"/>
      <c r="N16" s="637" t="s">
        <v>309</v>
      </c>
      <c r="O16" s="1728"/>
      <c r="P16" s="1728"/>
      <c r="Q16" s="1728"/>
      <c r="R16" s="1728"/>
      <c r="S16" s="1728"/>
      <c r="T16" s="1728"/>
      <c r="U16" s="1728"/>
      <c r="V16" s="1728"/>
      <c r="W16" s="1728"/>
      <c r="X16" s="1729"/>
      <c r="Y16" s="290"/>
      <c r="Z16" s="221"/>
      <c r="AA16" s="221"/>
      <c r="AB16" s="850" t="str">
        <f>IF(OR(AC16="×",AE16="×",AF16="×",AG16="×"),"×","○")</f>
        <v>○</v>
      </c>
      <c r="AC16" s="850" t="str">
        <f>IF(COUNTIF(L16, "*県"), "×", "○")</f>
        <v>○</v>
      </c>
      <c r="AD16" s="850" t="str">
        <f>IF(COUNTIF(L16, "*都"), "×", "○")</f>
        <v>○</v>
      </c>
      <c r="AE16" s="850" t="str">
        <f>IF(OR(AD16="○",AND(AD16="×",L16="京都")),"○","×")</f>
        <v>○</v>
      </c>
      <c r="AF16" s="850" t="str">
        <f>IF(COUNTIF(L16, "*道"), "×", "○")</f>
        <v>○</v>
      </c>
      <c r="AG16" s="850" t="str">
        <f>IF(COUNTIF(L16, "*府"), "×", "○")</f>
        <v>○</v>
      </c>
      <c r="AH16" s="221"/>
      <c r="AI16" s="221"/>
      <c r="AJ16" s="221"/>
      <c r="AK16" s="221"/>
      <c r="AL16" s="389"/>
    </row>
    <row r="17" spans="1:45" ht="30" customHeight="1" thickBot="1" x14ac:dyDescent="0.2">
      <c r="A17" s="2"/>
      <c r="B17" s="555" t="str">
        <f>IF(OR(G17="",I17="",L17="",O17="",AB17="×"),"×","○")</f>
        <v>×</v>
      </c>
      <c r="C17" s="1750" t="s">
        <v>232</v>
      </c>
      <c r="D17" s="1750"/>
      <c r="E17" s="1751"/>
      <c r="F17" s="21" t="s">
        <v>137</v>
      </c>
      <c r="G17" s="533"/>
      <c r="H17" s="31" t="s">
        <v>42</v>
      </c>
      <c r="I17" s="1752"/>
      <c r="J17" s="1752"/>
      <c r="K17" s="32"/>
      <c r="L17" s="1740"/>
      <c r="M17" s="1740"/>
      <c r="N17" s="638" t="s">
        <v>309</v>
      </c>
      <c r="O17" s="1728"/>
      <c r="P17" s="1728"/>
      <c r="Q17" s="1728"/>
      <c r="R17" s="1728"/>
      <c r="S17" s="1728"/>
      <c r="T17" s="1728"/>
      <c r="U17" s="1728"/>
      <c r="V17" s="1728"/>
      <c r="W17" s="1728"/>
      <c r="X17" s="1729"/>
      <c r="Y17" s="290"/>
      <c r="Z17" s="290"/>
      <c r="AA17" s="221"/>
      <c r="AB17" s="850" t="str">
        <f>IF(OR(AC17="×",AE17="×",AF17="×",AG17="×"),"×","○")</f>
        <v>○</v>
      </c>
      <c r="AC17" s="850" t="str">
        <f>IF(COUNTIF(L17, "*県"), "×", "○")</f>
        <v>○</v>
      </c>
      <c r="AD17" s="850" t="str">
        <f>IF(COUNTIF(L17, "*都"), "×", "○")</f>
        <v>○</v>
      </c>
      <c r="AE17" s="850" t="str">
        <f>IF(OR(AD17="○",AND(AD17="×",L17="京都")),"○","×")</f>
        <v>○</v>
      </c>
      <c r="AF17" s="850" t="str">
        <f>IF(COUNTIF(L17, "*道"), "×", "○")</f>
        <v>○</v>
      </c>
      <c r="AG17" s="850" t="str">
        <f>IF(COUNTIF(L17, "*府"), "×", "○")</f>
        <v>○</v>
      </c>
      <c r="AH17" s="221"/>
      <c r="AI17" s="221"/>
      <c r="AJ17" s="221"/>
      <c r="AK17" s="221"/>
      <c r="AL17" s="389"/>
    </row>
    <row r="18" spans="1:45" ht="22.5" customHeight="1" thickBot="1" x14ac:dyDescent="0.2">
      <c r="A18" s="2"/>
      <c r="B18" s="559"/>
      <c r="C18" s="1754" t="s">
        <v>321</v>
      </c>
      <c r="D18" s="1754"/>
      <c r="E18" s="1754"/>
      <c r="F18" s="1754"/>
      <c r="G18" s="1754"/>
      <c r="H18" s="1754"/>
      <c r="I18" s="1754"/>
      <c r="J18" s="1754"/>
      <c r="K18" s="1754"/>
      <c r="L18" s="1754"/>
      <c r="M18" s="1754"/>
      <c r="N18" s="1754"/>
      <c r="O18" s="1754"/>
      <c r="P18" s="1754"/>
      <c r="Q18" s="1754"/>
      <c r="R18" s="1754"/>
      <c r="S18" s="1754"/>
      <c r="T18" s="1754"/>
      <c r="U18" s="1754"/>
      <c r="V18" s="1754"/>
      <c r="W18" s="1754"/>
      <c r="X18" s="1754"/>
      <c r="Z18" s="344"/>
      <c r="AA18" s="344"/>
      <c r="AB18" s="344"/>
      <c r="AC18" s="344"/>
      <c r="AD18" s="344"/>
      <c r="AE18" s="344"/>
      <c r="AF18" s="344"/>
      <c r="AG18" s="344"/>
      <c r="AH18" s="344"/>
      <c r="AI18" s="344"/>
      <c r="AJ18" s="344"/>
      <c r="AK18" s="344"/>
    </row>
    <row r="19" spans="1:45" ht="30" customHeight="1" thickBot="1" x14ac:dyDescent="0.2">
      <c r="A19" s="2"/>
      <c r="B19" s="558" t="str">
        <f>IF(OR(G19="",J19="",M19="",Q19="",T19="",W19=""),"×","○")</f>
        <v>×</v>
      </c>
      <c r="C19" s="1725" t="s">
        <v>233</v>
      </c>
      <c r="D19" s="1725"/>
      <c r="E19" s="1726"/>
      <c r="F19" s="185" t="s">
        <v>234</v>
      </c>
      <c r="G19" s="1755"/>
      <c r="H19" s="1756"/>
      <c r="I19" s="132" t="s">
        <v>316</v>
      </c>
      <c r="J19" s="1756"/>
      <c r="K19" s="1756"/>
      <c r="L19" s="132" t="s">
        <v>317</v>
      </c>
      <c r="M19" s="1756"/>
      <c r="N19" s="1775"/>
      <c r="O19" s="1776" t="s">
        <v>235</v>
      </c>
      <c r="P19" s="1777"/>
      <c r="Q19" s="1778"/>
      <c r="R19" s="1778"/>
      <c r="S19" s="152" t="s">
        <v>318</v>
      </c>
      <c r="T19" s="1778"/>
      <c r="U19" s="1778"/>
      <c r="V19" s="152" t="s">
        <v>319</v>
      </c>
      <c r="W19" s="1757"/>
      <c r="X19" s="1758"/>
      <c r="Y19" s="344"/>
      <c r="Z19" s="344"/>
      <c r="AA19" s="344"/>
      <c r="AB19" s="344"/>
      <c r="AC19" s="344"/>
      <c r="AD19" s="344"/>
      <c r="AE19" s="344"/>
      <c r="AF19" s="344"/>
      <c r="AG19" s="344"/>
      <c r="AH19" s="344"/>
      <c r="AI19" s="344"/>
      <c r="AJ19" s="344"/>
      <c r="AK19" s="344"/>
    </row>
    <row r="20" spans="1:45" s="282" customFormat="1" ht="18.75" customHeight="1" thickBot="1" x14ac:dyDescent="0.2">
      <c r="B20" s="560"/>
      <c r="C20" s="1050" t="str">
        <f>IF(V22="","",K20)</f>
        <v/>
      </c>
      <c r="D20" s="1051" t="str">
        <f>IF(V22="","",IF(H21&lt;2," ",K20+1))</f>
        <v/>
      </c>
      <c r="E20" s="1051" t="str">
        <f>IF(V22="","",IF(H21&lt;3," ",K20+2))</f>
        <v/>
      </c>
      <c r="F20" s="1051" t="str">
        <f>IF(V22="","",IF(H21&lt;4," ",K20+3))</f>
        <v/>
      </c>
      <c r="G20" s="1051" t="str">
        <f>IF(V22="","",IF(H21&lt;5," ",K20+4))</f>
        <v/>
      </c>
      <c r="H20" s="1052" t="str">
        <f>IF(V22="","",IF(H21&lt;6," ",K20+5))</f>
        <v/>
      </c>
      <c r="I20" s="850"/>
      <c r="K20" s="1779" t="str">
        <f>IF(L22="","",DATE(G22,J22,L22))</f>
        <v/>
      </c>
      <c r="L20" s="1779"/>
      <c r="M20" s="1779"/>
      <c r="N20" s="850" t="str">
        <f>IF(O22="","",IF(Q22&lt;=12,"昼","夕"))</f>
        <v/>
      </c>
      <c r="O20" s="1730" t="str">
        <f>IF(L22="","",K20+F21)</f>
        <v/>
      </c>
      <c r="P20" s="1730"/>
      <c r="Q20" s="1730"/>
      <c r="R20" s="869" t="str">
        <f>IF(L22="","",IF(AA22&lt;=12,"朝","昼"))</f>
        <v/>
      </c>
      <c r="S20" s="868"/>
      <c r="T20" s="868"/>
      <c r="U20" s="1730" t="str">
        <f>IF(OR(G22="",J22="",L22=""),"",(K20-◎施設管理!O13))</f>
        <v/>
      </c>
      <c r="V20" s="1730"/>
      <c r="W20" s="868"/>
      <c r="X20" s="366"/>
      <c r="Y20" s="388"/>
      <c r="Z20" s="388"/>
      <c r="AA20" s="388"/>
      <c r="AB20" s="388"/>
      <c r="AC20" s="388"/>
      <c r="AD20" s="388"/>
      <c r="AE20" s="388"/>
      <c r="AF20" s="388"/>
      <c r="AG20" s="388"/>
      <c r="AH20" s="388"/>
      <c r="AI20" s="388"/>
      <c r="AJ20" s="388"/>
      <c r="AK20" s="844"/>
    </row>
    <row r="21" spans="1:45" ht="30" customHeight="1" thickBot="1" x14ac:dyDescent="0.2">
      <c r="A21" s="303"/>
      <c r="B21" s="555" t="str">
        <f>IF(F21="","×","○")</f>
        <v>×</v>
      </c>
      <c r="C21" s="1621" t="s">
        <v>216</v>
      </c>
      <c r="D21" s="1622"/>
      <c r="E21" s="1623"/>
      <c r="F21" s="287"/>
      <c r="G21" s="133" t="s">
        <v>214</v>
      </c>
      <c r="H21" s="294" t="str">
        <f>IF(F21="","",F21+1)</f>
        <v/>
      </c>
      <c r="I21" s="7" t="s">
        <v>215</v>
      </c>
      <c r="J21" s="1643" t="s">
        <v>355</v>
      </c>
      <c r="K21" s="1644"/>
      <c r="L21" s="1644"/>
      <c r="M21" s="1644"/>
      <c r="N21" s="1644"/>
      <c r="O21" s="1644"/>
      <c r="P21" s="1644"/>
      <c r="Q21" s="1644"/>
      <c r="R21" s="1644"/>
      <c r="S21" s="1644"/>
      <c r="T21" s="1644"/>
      <c r="U21" s="1644"/>
      <c r="V21" s="1644"/>
      <c r="W21" s="1644"/>
      <c r="X21" s="1644"/>
      <c r="Y21" s="1644"/>
      <c r="Z21" s="1644"/>
      <c r="AA21" s="1644"/>
      <c r="AB21" s="1644"/>
      <c r="AC21" s="1"/>
      <c r="AD21" s="1"/>
      <c r="AE21" s="285"/>
      <c r="AF21" s="1"/>
      <c r="AG21" s="1"/>
      <c r="AH21" s="1"/>
      <c r="AI21" s="1"/>
      <c r="AJ21" s="1"/>
      <c r="AK21" s="303"/>
    </row>
    <row r="22" spans="1:45" s="1" customFormat="1" ht="30" customHeight="1" thickBot="1" x14ac:dyDescent="0.2">
      <c r="A22" s="303"/>
      <c r="B22" s="555" t="str">
        <f>IF(AND(LEN(G22)=4,J22&lt;&gt;"",L22&lt;&gt;"",Q22&lt;&gt;"",AA22&lt;&gt;""),"○","×")</f>
        <v>×</v>
      </c>
      <c r="C22" s="1466" t="s">
        <v>3</v>
      </c>
      <c r="D22" s="1467"/>
      <c r="E22" s="1468"/>
      <c r="F22" s="301" t="s">
        <v>315</v>
      </c>
      <c r="G22" s="1642"/>
      <c r="H22" s="1642"/>
      <c r="I22" s="6" t="s">
        <v>4</v>
      </c>
      <c r="J22" s="287"/>
      <c r="K22" s="6" t="s">
        <v>0</v>
      </c>
      <c r="L22" s="287"/>
      <c r="M22" s="6" t="s">
        <v>1</v>
      </c>
      <c r="N22" s="6" t="s">
        <v>16</v>
      </c>
      <c r="O22" s="307" t="str">
        <f>TEXT(K20,"aaa")</f>
        <v/>
      </c>
      <c r="P22" s="6" t="s">
        <v>17</v>
      </c>
      <c r="Q22" s="287"/>
      <c r="R22" s="288" t="s">
        <v>53</v>
      </c>
      <c r="S22" s="288" t="s">
        <v>300</v>
      </c>
      <c r="T22" s="308" t="str">
        <f>IF(OR(F21="",L22=""),"",O20)</f>
        <v/>
      </c>
      <c r="U22" s="288" t="s">
        <v>0</v>
      </c>
      <c r="V22" s="309" t="str">
        <f>IF(OR(F21="",L22=""),"",O20)</f>
        <v/>
      </c>
      <c r="W22" s="288" t="s">
        <v>1</v>
      </c>
      <c r="X22" s="288" t="s">
        <v>301</v>
      </c>
      <c r="Y22" s="307" t="str">
        <f>IF(OR(F21="",L22=""),"",TEXT(O20,"aaa"))</f>
        <v/>
      </c>
      <c r="Z22" s="288" t="s">
        <v>17</v>
      </c>
      <c r="AA22" s="287"/>
      <c r="AB22" s="7" t="s">
        <v>53</v>
      </c>
      <c r="AC22" s="305"/>
      <c r="AD22" s="306"/>
      <c r="AE22" s="303"/>
      <c r="AK22" s="303"/>
    </row>
    <row r="23" spans="1:45" ht="5.25" customHeight="1" thickBot="1" x14ac:dyDescent="0.2">
      <c r="A23" s="347"/>
      <c r="B23" s="1054"/>
      <c r="C23" s="355"/>
      <c r="D23" s="1055"/>
      <c r="E23" s="1055"/>
      <c r="F23" s="1055"/>
      <c r="G23" s="1055"/>
      <c r="H23" s="1055"/>
      <c r="I23" s="1055"/>
      <c r="J23" s="1060"/>
      <c r="K23" s="1060"/>
      <c r="L23" s="1061"/>
      <c r="M23" s="1061"/>
      <c r="N23" s="1061"/>
      <c r="O23" s="1061"/>
      <c r="P23" s="1061"/>
      <c r="Q23" s="1061"/>
      <c r="R23" s="1057"/>
      <c r="S23" s="1057"/>
      <c r="T23" s="1057"/>
      <c r="U23" s="1057"/>
      <c r="V23" s="1057"/>
      <c r="W23" s="1058"/>
      <c r="X23" s="1059"/>
      <c r="Y23" s="1059"/>
      <c r="Z23" s="1059"/>
      <c r="AA23" s="1059"/>
      <c r="AB23" s="1059"/>
      <c r="AC23" s="1059"/>
      <c r="AD23" s="1059"/>
      <c r="AE23" s="1059"/>
      <c r="AF23" s="1059"/>
      <c r="AG23" s="1059"/>
      <c r="AH23" s="1059"/>
      <c r="AI23" s="1059"/>
      <c r="AJ23" s="1059"/>
      <c r="AK23" s="222"/>
      <c r="AL23" s="222"/>
    </row>
    <row r="24" spans="1:45" s="49" customFormat="1" ht="30" customHeight="1" thickBot="1" x14ac:dyDescent="0.2">
      <c r="B24" s="582" t="str">
        <f>IF(OR(AND(F21&lt;&gt;0,F24=""),AND(F21=0,F24&lt;&gt;"")),"×","○")</f>
        <v>○</v>
      </c>
      <c r="C24" s="1466" t="s">
        <v>491</v>
      </c>
      <c r="D24" s="1467"/>
      <c r="E24" s="1468"/>
      <c r="F24" s="1474"/>
      <c r="G24" s="1474"/>
      <c r="H24" s="1474"/>
      <c r="I24" s="1475"/>
      <c r="J24" s="1459" t="str">
        <f>IF(F21=0,"　※ 宿泊を伴わない利用期日になっています。","")</f>
        <v>　※ 宿泊を伴わない利用期日になっています。</v>
      </c>
      <c r="K24" s="1460"/>
      <c r="L24" s="1460"/>
      <c r="M24" s="1460"/>
      <c r="N24" s="1460"/>
      <c r="O24" s="1460"/>
      <c r="P24" s="1460"/>
      <c r="Q24" s="1460"/>
      <c r="R24" s="1460"/>
      <c r="S24" s="1460"/>
      <c r="T24" s="1460"/>
      <c r="U24" s="1460"/>
      <c r="V24" s="609"/>
      <c r="W24" s="609"/>
      <c r="X24" s="609"/>
      <c r="Y24" s="609"/>
      <c r="Z24" s="1047"/>
      <c r="AA24" s="1047"/>
      <c r="AB24" s="1047"/>
      <c r="AC24" s="1047"/>
      <c r="AD24" s="1048"/>
      <c r="AE24" s="1049"/>
      <c r="AF24" s="290"/>
      <c r="AG24" s="610"/>
      <c r="AH24" s="609"/>
      <c r="AI24" s="609"/>
      <c r="AL24" s="148"/>
    </row>
    <row r="25" spans="1:45" s="1" customFormat="1" ht="30" customHeight="1" x14ac:dyDescent="0.15">
      <c r="A25" s="22"/>
      <c r="B25" s="22"/>
      <c r="C25" s="8"/>
      <c r="D25" s="22"/>
      <c r="E25" s="22"/>
      <c r="F25" s="22"/>
      <c r="G25" s="22"/>
      <c r="H25" s="22"/>
      <c r="I25" s="3"/>
      <c r="J25" s="3"/>
      <c r="K25" s="9"/>
      <c r="L25" s="3"/>
      <c r="M25" s="1773" t="str">
        <f>IF(L27="","",DATE(G27,J27,L27))</f>
        <v/>
      </c>
      <c r="N25" s="1773"/>
      <c r="O25" s="3"/>
      <c r="P25" s="3"/>
      <c r="Q25" s="3"/>
      <c r="R25" s="3"/>
      <c r="S25" s="3"/>
      <c r="T25" s="3"/>
      <c r="U25" s="3"/>
      <c r="V25" s="3"/>
      <c r="W25" s="3"/>
      <c r="X25" s="3"/>
      <c r="Y25" s="3"/>
      <c r="Z25" s="870"/>
      <c r="AA25" s="870" t="str">
        <f>IF(AA22="","",IF(H21&lt;=1,"","②朝"))</f>
        <v/>
      </c>
      <c r="AB25" s="870" t="str">
        <f>IF(AA22="","",IF(H21&lt;=2,"","③朝"))</f>
        <v/>
      </c>
      <c r="AC25" s="870" t="str">
        <f>IF(AA22="","",IF(H21&lt;=3,"","④朝"))</f>
        <v/>
      </c>
      <c r="AD25" s="870" t="str">
        <f>IF(AA22="","",IF(H21&lt;=4,"","⑤朝"))</f>
        <v/>
      </c>
      <c r="AE25" s="870" t="str">
        <f>IF(AA22="","",IF(H21&lt;=5,"","⑥朝"))</f>
        <v/>
      </c>
      <c r="AF25" s="870"/>
      <c r="AG25" s="1091"/>
      <c r="AH25" s="1092"/>
      <c r="AI25" s="22"/>
      <c r="AK25" s="221"/>
      <c r="AL25" s="221"/>
      <c r="AM25" s="221"/>
      <c r="AN25" s="221"/>
      <c r="AO25" s="221"/>
      <c r="AP25" s="221"/>
      <c r="AQ25" s="221"/>
      <c r="AR25" s="221"/>
      <c r="AS25" s="221"/>
    </row>
    <row r="26" spans="1:45" s="1" customFormat="1" ht="30" customHeight="1" thickBot="1" x14ac:dyDescent="0.2">
      <c r="A26" s="22"/>
      <c r="B26" s="1647" t="s">
        <v>468</v>
      </c>
      <c r="C26" s="1647"/>
      <c r="D26" s="1647"/>
      <c r="E26" s="1647"/>
      <c r="F26" s="1647"/>
      <c r="G26" s="1647"/>
      <c r="H26" s="1647"/>
      <c r="I26" s="1647"/>
      <c r="J26" s="1647"/>
      <c r="K26" s="1647"/>
      <c r="L26" s="1647"/>
      <c r="M26" s="534"/>
      <c r="N26" s="1774" t="str">
        <f>IF(OR(L27="",M25&lt;=R27),"","　※ 提出期限を過ぎています。施設にご連絡ください。")</f>
        <v/>
      </c>
      <c r="O26" s="1774"/>
      <c r="P26" s="1774"/>
      <c r="Q26" s="1774"/>
      <c r="R26" s="1774"/>
      <c r="S26" s="1774"/>
      <c r="T26" s="1774"/>
      <c r="U26" s="1774"/>
      <c r="V26" s="1774"/>
      <c r="W26" s="1774"/>
      <c r="X26" s="1774"/>
      <c r="Y26" s="1774"/>
      <c r="Z26" s="871" t="str">
        <f>IF(AA22="","",IF(L63&lt;&gt;"昼","","①昼"))</f>
        <v/>
      </c>
      <c r="AA26" s="872" t="str">
        <f>IF(AA22="","",IF(OR(AA27&lt;&gt;"",AND(O20=K20+1,R20="昼")),"②昼",""))</f>
        <v/>
      </c>
      <c r="AB26" s="872" t="str">
        <f>IF(AA22="","",IF(OR(AB27&lt;&gt;"",AND(O20=K20+2,R20="昼")),"③昼",""))</f>
        <v/>
      </c>
      <c r="AC26" s="873" t="str">
        <f>IF(AA22="","",IF(OR(AC27&lt;&gt;"",AND(O20=K20+3,R20="昼")),"④昼",""))</f>
        <v/>
      </c>
      <c r="AD26" s="873" t="str">
        <f>IF(AA22="","",IF(OR(AD27&lt;&gt;"",AND(O20=K20+4,R20="昼")),"⑤昼",""))</f>
        <v/>
      </c>
      <c r="AE26" s="870" t="str">
        <f>IF(AA22="","",IF(OR(H21&lt;=5,R20&lt;&gt;"昼",AC65=""),"","⑥昼"))</f>
        <v/>
      </c>
      <c r="AF26" s="870"/>
      <c r="AG26" s="1091"/>
      <c r="AH26" s="1145"/>
      <c r="AI26" s="221"/>
    </row>
    <row r="27" spans="1:45" ht="30" customHeight="1" thickBot="1" x14ac:dyDescent="0.2">
      <c r="B27" s="556" t="str">
        <f>IF(AND(LEN(G27)=4,J27&lt;&gt;"",L27&lt;&gt;"",N26=""),"○","×")</f>
        <v>×</v>
      </c>
      <c r="C27" s="1466" t="s">
        <v>236</v>
      </c>
      <c r="D27" s="1467"/>
      <c r="E27" s="1468"/>
      <c r="F27" s="301" t="s">
        <v>310</v>
      </c>
      <c r="G27" s="1641"/>
      <c r="H27" s="1641"/>
      <c r="I27" s="145" t="s">
        <v>4</v>
      </c>
      <c r="J27" s="227"/>
      <c r="K27" s="6" t="s">
        <v>0</v>
      </c>
      <c r="L27" s="227"/>
      <c r="M27" s="7" t="s">
        <v>1</v>
      </c>
      <c r="N27" s="1645" t="s">
        <v>455</v>
      </c>
      <c r="O27" s="1646"/>
      <c r="P27" s="1646"/>
      <c r="Q27" s="1646"/>
      <c r="R27" s="1780" t="str">
        <f>IF(OR(G22="",J22="",L22=""),"",(WORKDAY.INTL(U20+1,-1,"0000000",◎施設管理!B5:E35)))</f>
        <v/>
      </c>
      <c r="S27" s="1780"/>
      <c r="T27" s="1780"/>
      <c r="U27" s="1780"/>
      <c r="V27" s="1780"/>
      <c r="W27" s="1780"/>
      <c r="X27" s="1780"/>
      <c r="Y27" s="565"/>
      <c r="Z27" s="874" t="str">
        <f>IF(AA22="","",IF(F21=0,"","①夕"))</f>
        <v/>
      </c>
      <c r="AA27" s="875" t="str">
        <f>IF(AA22="","",IF(OR(F21&lt;=1,M65=""),"","②夕"))</f>
        <v/>
      </c>
      <c r="AB27" s="875" t="str">
        <f>IF(AA22="","",IF(OR(F21&lt;=2,Q65=""),"","③夕"))</f>
        <v/>
      </c>
      <c r="AC27" s="873" t="str">
        <f>IF(AA22="","",IF(OR(F21&lt;=3,U65=""),"","④夕"))</f>
        <v/>
      </c>
      <c r="AD27" s="873" t="str">
        <f>IF(AA22="","",IF(OR(F21&lt;=4,U65=""),"","⑤夕"))</f>
        <v/>
      </c>
      <c r="AE27" s="870"/>
      <c r="AF27" s="870"/>
      <c r="AG27" s="1091"/>
      <c r="AH27" s="1145"/>
      <c r="AI27" s="221"/>
      <c r="AN27" s="2"/>
    </row>
    <row r="28" spans="1:45" ht="30" customHeight="1" thickBot="1" x14ac:dyDescent="0.2">
      <c r="A28" s="49"/>
      <c r="B28" s="556" t="str">
        <f>IF(F28="","×","○")</f>
        <v>×</v>
      </c>
      <c r="C28" s="1631" t="s">
        <v>111</v>
      </c>
      <c r="D28" s="1632"/>
      <c r="E28" s="1632"/>
      <c r="F28" s="1633"/>
      <c r="G28" s="1634"/>
      <c r="H28" s="1634"/>
      <c r="I28" s="1634"/>
      <c r="J28" s="1634"/>
      <c r="K28" s="1634"/>
      <c r="L28" s="1634"/>
      <c r="M28" s="1634"/>
      <c r="N28" s="1634"/>
      <c r="O28" s="1634"/>
      <c r="P28" s="1634"/>
      <c r="Q28" s="1634"/>
      <c r="R28" s="1634"/>
      <c r="S28" s="1635"/>
      <c r="U28" s="153"/>
      <c r="V28" s="153"/>
      <c r="W28" s="153"/>
      <c r="X28" s="153"/>
      <c r="Y28" s="150"/>
      <c r="Z28" s="850"/>
      <c r="AA28" s="850"/>
      <c r="AB28" s="850"/>
      <c r="AC28" s="850"/>
      <c r="AD28" s="850"/>
      <c r="AE28" s="850"/>
      <c r="AF28" s="850"/>
      <c r="AM28" s="154"/>
      <c r="AN28" s="154"/>
      <c r="AS28" s="22" t="str">
        <f>IF(AND(入力ページ!AA26&lt;&gt;"",入力ページ!H87&lt;&gt;""),"○",IF(AND(入力ページ!AA26&lt;&gt;"",入力ページ!H87=""),"-",""))</f>
        <v/>
      </c>
    </row>
    <row r="29" spans="1:45" ht="30" customHeight="1" thickBot="1" x14ac:dyDescent="0.2">
      <c r="A29" s="49"/>
      <c r="B29" s="556" t="str">
        <f>IF(F29="","×","○")</f>
        <v>×</v>
      </c>
      <c r="C29" s="1636" t="s">
        <v>70</v>
      </c>
      <c r="D29" s="1637"/>
      <c r="E29" s="1637"/>
      <c r="F29" s="1638"/>
      <c r="G29" s="1639"/>
      <c r="H29" s="1639"/>
      <c r="I29" s="1639"/>
      <c r="J29" s="1639"/>
      <c r="K29" s="1639"/>
      <c r="L29" s="1639"/>
      <c r="M29" s="1639"/>
      <c r="N29" s="1639"/>
      <c r="O29" s="1639"/>
      <c r="P29" s="1639"/>
      <c r="Q29" s="1639"/>
      <c r="R29" s="1639"/>
      <c r="S29" s="1640"/>
      <c r="U29" s="153"/>
      <c r="V29" s="153"/>
      <c r="W29" s="153"/>
      <c r="X29" s="153"/>
      <c r="Y29" s="150"/>
      <c r="Z29" s="1093"/>
      <c r="AA29" s="1093"/>
      <c r="AB29" s="1094"/>
      <c r="AC29" s="1093"/>
      <c r="AD29" s="1094"/>
      <c r="AE29" s="1093"/>
      <c r="AF29" s="1093"/>
      <c r="AG29" s="148"/>
      <c r="AH29" s="148"/>
      <c r="AI29" s="151"/>
      <c r="AJ29" s="151"/>
      <c r="AK29" s="151"/>
      <c r="AL29" s="151"/>
      <c r="AM29" s="151"/>
      <c r="AN29" s="151"/>
    </row>
    <row r="30" spans="1:45" s="49" customFormat="1" ht="30" customHeight="1" thickBot="1" x14ac:dyDescent="0.2">
      <c r="B30" s="556" t="str">
        <f>IF(F30="","×","○")</f>
        <v>×</v>
      </c>
      <c r="C30" s="1624" t="s">
        <v>74</v>
      </c>
      <c r="D30" s="1625"/>
      <c r="E30" s="1626"/>
      <c r="F30" s="1627"/>
      <c r="G30" s="1627"/>
      <c r="H30" s="1627"/>
      <c r="I30" s="1628"/>
      <c r="J30" s="1629"/>
      <c r="K30" s="1630"/>
      <c r="U30" s="153"/>
      <c r="V30" s="153"/>
      <c r="W30" s="153"/>
      <c r="X30" s="153"/>
      <c r="Y30" s="150"/>
      <c r="Z30" s="1093"/>
      <c r="AA30" s="1093"/>
      <c r="AB30" s="1095"/>
      <c r="AC30" s="1096"/>
      <c r="AD30" s="1095"/>
      <c r="AE30" s="1095"/>
      <c r="AF30" s="1095"/>
      <c r="AG30" s="151"/>
      <c r="AH30" s="151"/>
      <c r="AI30" s="151"/>
      <c r="AJ30" s="151"/>
      <c r="AK30" s="151"/>
      <c r="AL30" s="151"/>
      <c r="AM30" s="151"/>
      <c r="AN30" s="151"/>
    </row>
    <row r="31" spans="1:45" s="49" customFormat="1" ht="15" customHeight="1" thickBot="1" x14ac:dyDescent="0.2">
      <c r="C31" s="278"/>
      <c r="D31" s="149"/>
      <c r="E31" s="149"/>
      <c r="F31" s="62"/>
      <c r="G31" s="62"/>
      <c r="H31" s="278"/>
      <c r="I31" s="278"/>
      <c r="J31" s="278"/>
      <c r="K31" s="278"/>
      <c r="L31" s="148"/>
      <c r="M31" s="278"/>
      <c r="N31" s="278"/>
      <c r="O31" s="278"/>
      <c r="P31" s="278"/>
      <c r="Q31" s="278"/>
      <c r="R31" s="278"/>
      <c r="S31" s="278"/>
      <c r="T31" s="278"/>
      <c r="U31" s="278"/>
      <c r="V31" s="539"/>
      <c r="W31" s="539"/>
      <c r="X31" s="539"/>
      <c r="Y31" s="150"/>
      <c r="Z31" s="278"/>
      <c r="AA31" s="53"/>
      <c r="AB31" s="279"/>
      <c r="AC31" s="279"/>
      <c r="AN31" s="148"/>
    </row>
    <row r="32" spans="1:45" s="49" customFormat="1" ht="17.25" customHeight="1" x14ac:dyDescent="0.15">
      <c r="A32" s="22"/>
      <c r="B32" s="1541" t="str">
        <f>IF(AND(Q32="",Q33=""),"○","×")</f>
        <v>×</v>
      </c>
      <c r="C32" s="1838" t="s">
        <v>221</v>
      </c>
      <c r="D32" s="1839"/>
      <c r="E32" s="1840"/>
      <c r="F32" s="1841">
        <f>AC39+AE39</f>
        <v>0</v>
      </c>
      <c r="G32" s="1841"/>
      <c r="H32" s="1843" t="s">
        <v>222</v>
      </c>
      <c r="I32" s="1849" t="s">
        <v>279</v>
      </c>
      <c r="J32" s="1843" t="s">
        <v>224</v>
      </c>
      <c r="K32" s="1843"/>
      <c r="L32" s="1843"/>
      <c r="M32" s="1847">
        <f>Y39+AA39</f>
        <v>0</v>
      </c>
      <c r="N32" s="1847"/>
      <c r="O32" s="1843" t="s">
        <v>222</v>
      </c>
      <c r="P32" s="1845" t="s">
        <v>223</v>
      </c>
      <c r="Q32" s="1459" t="str">
        <f>IF(F32&lt;2,"　※ 1名でのご利用はできません。","")</f>
        <v>　※ 1名でのご利用はできません。</v>
      </c>
      <c r="R32" s="1460"/>
      <c r="S32" s="1460"/>
      <c r="T32" s="1460"/>
      <c r="U32" s="1460"/>
      <c r="V32" s="1460"/>
      <c r="W32" s="1460"/>
      <c r="X32" s="1460"/>
      <c r="Y32" s="1460"/>
      <c r="Z32" s="1460"/>
      <c r="AA32" s="1460"/>
      <c r="AB32" s="1460"/>
      <c r="AC32" s="389"/>
      <c r="AN32" s="148"/>
    </row>
    <row r="33" spans="1:37" s="49" customFormat="1" ht="17.25" customHeight="1" thickBot="1" x14ac:dyDescent="0.2">
      <c r="A33" s="22"/>
      <c r="B33" s="1541"/>
      <c r="C33" s="1621"/>
      <c r="D33" s="1622"/>
      <c r="E33" s="1623"/>
      <c r="F33" s="1842"/>
      <c r="G33" s="1842"/>
      <c r="H33" s="1844"/>
      <c r="I33" s="1850"/>
      <c r="J33" s="1844"/>
      <c r="K33" s="1844"/>
      <c r="L33" s="1844"/>
      <c r="M33" s="1848"/>
      <c r="N33" s="1848"/>
      <c r="O33" s="1844"/>
      <c r="P33" s="1846"/>
      <c r="Q33" s="1459" t="str">
        <f>IF(M32=0,"　※ 大人の方が含まれない人員でのご利用はできません。","")</f>
        <v>　※ 大人の方が含まれない人員でのご利用はできません。</v>
      </c>
      <c r="R33" s="1460"/>
      <c r="S33" s="1460"/>
      <c r="T33" s="1460"/>
      <c r="U33" s="1460"/>
      <c r="V33" s="1460"/>
      <c r="W33" s="1460"/>
      <c r="X33" s="1460"/>
      <c r="Y33" s="1460"/>
      <c r="Z33" s="1460"/>
      <c r="AA33" s="1460"/>
      <c r="AB33" s="1460"/>
      <c r="AC33" s="389"/>
    </row>
    <row r="34" spans="1:37" s="360" customFormat="1" ht="5.25" customHeight="1" thickBot="1" x14ac:dyDescent="0.2">
      <c r="A34" s="347"/>
      <c r="B34" s="1054"/>
      <c r="C34" s="1062"/>
      <c r="D34" s="1062"/>
      <c r="E34" s="1062"/>
      <c r="F34" s="1063"/>
      <c r="G34" s="1063"/>
      <c r="H34" s="1064"/>
      <c r="I34" s="1065"/>
      <c r="J34" s="1064"/>
      <c r="K34" s="1064"/>
      <c r="L34" s="1064"/>
      <c r="M34" s="1066"/>
      <c r="N34" s="1066"/>
      <c r="O34" s="1064"/>
      <c r="P34" s="1067"/>
      <c r="Q34" s="1064"/>
      <c r="R34" s="1062"/>
      <c r="S34" s="1062"/>
      <c r="T34" s="1062"/>
      <c r="U34" s="1068"/>
      <c r="V34" s="1068"/>
      <c r="W34" s="1068"/>
      <c r="X34" s="1068"/>
      <c r="Y34" s="1054"/>
      <c r="Z34" s="1054"/>
      <c r="AA34" s="1054"/>
      <c r="AB34" s="1054"/>
      <c r="AC34" s="1054"/>
      <c r="AD34" s="1054"/>
      <c r="AE34" s="1054"/>
      <c r="AF34" s="347"/>
      <c r="AG34" s="347"/>
      <c r="AH34" s="359"/>
      <c r="AI34" s="359"/>
      <c r="AJ34" s="359"/>
      <c r="AK34" s="845"/>
    </row>
    <row r="35" spans="1:37" s="49" customFormat="1" ht="18.75" customHeight="1" x14ac:dyDescent="0.15">
      <c r="C35" s="1609" t="s">
        <v>103</v>
      </c>
      <c r="D35" s="1610"/>
      <c r="E35" s="1613" t="s">
        <v>81</v>
      </c>
      <c r="F35" s="1614"/>
      <c r="G35" s="1614"/>
      <c r="H35" s="1615"/>
      <c r="I35" s="1613" t="s">
        <v>83</v>
      </c>
      <c r="J35" s="1614"/>
      <c r="K35" s="1614"/>
      <c r="L35" s="1615"/>
      <c r="M35" s="1613" t="s">
        <v>456</v>
      </c>
      <c r="N35" s="1614"/>
      <c r="O35" s="1614"/>
      <c r="P35" s="1615"/>
      <c r="Q35" s="1613" t="s">
        <v>457</v>
      </c>
      <c r="R35" s="1614"/>
      <c r="S35" s="1614"/>
      <c r="T35" s="1615"/>
      <c r="U35" s="1616" t="s">
        <v>357</v>
      </c>
      <c r="V35" s="1614"/>
      <c r="W35" s="1614"/>
      <c r="X35" s="1615"/>
      <c r="Y35" s="1616" t="s">
        <v>358</v>
      </c>
      <c r="Z35" s="1617"/>
      <c r="AA35" s="1617"/>
      <c r="AB35" s="1618"/>
      <c r="AC35" s="1721" t="s">
        <v>80</v>
      </c>
      <c r="AD35" s="1722"/>
      <c r="AE35" s="1722"/>
      <c r="AF35" s="1723"/>
      <c r="AG35" s="147"/>
      <c r="AK35" s="148"/>
    </row>
    <row r="36" spans="1:37" s="49" customFormat="1" ht="18.75" customHeight="1" thickBot="1" x14ac:dyDescent="0.2">
      <c r="C36" s="1611"/>
      <c r="D36" s="1612"/>
      <c r="E36" s="1603" t="s">
        <v>155</v>
      </c>
      <c r="F36" s="1604"/>
      <c r="G36" s="1605" t="s">
        <v>231</v>
      </c>
      <c r="H36" s="1606"/>
      <c r="I36" s="1603" t="s">
        <v>155</v>
      </c>
      <c r="J36" s="1604"/>
      <c r="K36" s="1605" t="s">
        <v>231</v>
      </c>
      <c r="L36" s="1606"/>
      <c r="M36" s="1603" t="s">
        <v>155</v>
      </c>
      <c r="N36" s="1604"/>
      <c r="O36" s="1605" t="s">
        <v>231</v>
      </c>
      <c r="P36" s="1606"/>
      <c r="Q36" s="1603" t="s">
        <v>155</v>
      </c>
      <c r="R36" s="1604"/>
      <c r="S36" s="1605" t="s">
        <v>231</v>
      </c>
      <c r="T36" s="1606"/>
      <c r="U36" s="1603" t="s">
        <v>155</v>
      </c>
      <c r="V36" s="1604"/>
      <c r="W36" s="1605" t="s">
        <v>231</v>
      </c>
      <c r="X36" s="1606"/>
      <c r="Y36" s="1603" t="s">
        <v>155</v>
      </c>
      <c r="Z36" s="1604"/>
      <c r="AA36" s="1605" t="s">
        <v>231</v>
      </c>
      <c r="AB36" s="1606"/>
      <c r="AC36" s="1603" t="s">
        <v>155</v>
      </c>
      <c r="AD36" s="1604"/>
      <c r="AE36" s="1605" t="s">
        <v>231</v>
      </c>
      <c r="AF36" s="1606"/>
      <c r="AG36" s="281" t="str">
        <f>IF(F32=AC39+AE39,"○","×")</f>
        <v>○</v>
      </c>
      <c r="AK36" s="148"/>
    </row>
    <row r="37" spans="1:37" s="49" customFormat="1" ht="30" customHeight="1" x14ac:dyDescent="0.25">
      <c r="C37" s="1771" t="s">
        <v>230</v>
      </c>
      <c r="D37" s="1772"/>
      <c r="E37" s="1607"/>
      <c r="F37" s="1608"/>
      <c r="G37" s="1619"/>
      <c r="H37" s="1620"/>
      <c r="I37" s="1607"/>
      <c r="J37" s="1608"/>
      <c r="K37" s="1619"/>
      <c r="L37" s="1620"/>
      <c r="M37" s="1607"/>
      <c r="N37" s="1608"/>
      <c r="O37" s="1619"/>
      <c r="P37" s="1620"/>
      <c r="Q37" s="1607"/>
      <c r="R37" s="1608"/>
      <c r="S37" s="1619"/>
      <c r="T37" s="1620"/>
      <c r="U37" s="1607"/>
      <c r="V37" s="1608"/>
      <c r="W37" s="1619"/>
      <c r="X37" s="1620"/>
      <c r="Y37" s="1607"/>
      <c r="Z37" s="1608"/>
      <c r="AA37" s="1619"/>
      <c r="AB37" s="1620"/>
      <c r="AC37" s="1711">
        <f>SUM(E37,I37,M37,Q37,U37,Y37)</f>
        <v>0</v>
      </c>
      <c r="AD37" s="1712"/>
      <c r="AE37" s="1713">
        <f>SUM(G37,K37,O37,S37,W37,AA37)</f>
        <v>0</v>
      </c>
      <c r="AF37" s="1714"/>
      <c r="AK37" s="148"/>
    </row>
    <row r="38" spans="1:37" s="49" customFormat="1" ht="30" customHeight="1" thickBot="1" x14ac:dyDescent="0.3">
      <c r="C38" s="1781" t="s">
        <v>79</v>
      </c>
      <c r="D38" s="1782"/>
      <c r="E38" s="1694"/>
      <c r="F38" s="1695"/>
      <c r="G38" s="1597"/>
      <c r="H38" s="1598"/>
      <c r="I38" s="1694"/>
      <c r="J38" s="1695"/>
      <c r="K38" s="1597"/>
      <c r="L38" s="1598"/>
      <c r="M38" s="1694"/>
      <c r="N38" s="1695"/>
      <c r="O38" s="1597"/>
      <c r="P38" s="1598"/>
      <c r="Q38" s="1694"/>
      <c r="R38" s="1695"/>
      <c r="S38" s="1597"/>
      <c r="T38" s="1598"/>
      <c r="U38" s="1694"/>
      <c r="V38" s="1695"/>
      <c r="W38" s="1597"/>
      <c r="X38" s="1598"/>
      <c r="Y38" s="1694"/>
      <c r="Z38" s="1695"/>
      <c r="AA38" s="1597"/>
      <c r="AB38" s="1598"/>
      <c r="AC38" s="1715">
        <f>SUM(E38,I38,M38,Q38,U38,Y38)</f>
        <v>0</v>
      </c>
      <c r="AD38" s="1716"/>
      <c r="AE38" s="1717">
        <f>SUM(G38,K38,O38,S38,W38,AA38)</f>
        <v>0</v>
      </c>
      <c r="AF38" s="1718"/>
      <c r="AK38" s="148"/>
    </row>
    <row r="39" spans="1:37" s="49" customFormat="1" ht="30" customHeight="1" thickTop="1" thickBot="1" x14ac:dyDescent="0.3">
      <c r="C39" s="1692" t="s">
        <v>80</v>
      </c>
      <c r="D39" s="1693"/>
      <c r="E39" s="1480">
        <f>SUM(E37:F38)</f>
        <v>0</v>
      </c>
      <c r="F39" s="1481"/>
      <c r="G39" s="1686">
        <f>SUM(G37:H38)</f>
        <v>0</v>
      </c>
      <c r="H39" s="1687"/>
      <c r="I39" s="1480">
        <f>SUM(I37:J38)</f>
        <v>0</v>
      </c>
      <c r="J39" s="1481"/>
      <c r="K39" s="1686">
        <f>SUM(K37:L38)</f>
        <v>0</v>
      </c>
      <c r="L39" s="1687"/>
      <c r="M39" s="1480">
        <f>SUM(M37:N38)</f>
        <v>0</v>
      </c>
      <c r="N39" s="1481"/>
      <c r="O39" s="1686">
        <f>SUM(O37:P38)</f>
        <v>0</v>
      </c>
      <c r="P39" s="1687"/>
      <c r="Q39" s="1480">
        <f>SUM(Q37:R38)</f>
        <v>0</v>
      </c>
      <c r="R39" s="1481"/>
      <c r="S39" s="1686">
        <f>SUM(S37:T38)</f>
        <v>0</v>
      </c>
      <c r="T39" s="1687"/>
      <c r="U39" s="1480">
        <f>SUM(U37:V38)</f>
        <v>0</v>
      </c>
      <c r="V39" s="1481"/>
      <c r="W39" s="1686">
        <f>SUM(W37:X38)</f>
        <v>0</v>
      </c>
      <c r="X39" s="1687"/>
      <c r="Y39" s="1480">
        <f>SUM(Y37:Z38)</f>
        <v>0</v>
      </c>
      <c r="Z39" s="1481"/>
      <c r="AA39" s="1686">
        <f>SUM(AA37:AB38)</f>
        <v>0</v>
      </c>
      <c r="AB39" s="1687"/>
      <c r="AC39" s="1719">
        <f>SUM(AC37:AD38)</f>
        <v>0</v>
      </c>
      <c r="AD39" s="1720"/>
      <c r="AE39" s="1709">
        <f>SUM(AE37:AF38)</f>
        <v>0</v>
      </c>
      <c r="AF39" s="1710"/>
      <c r="AK39" s="148"/>
    </row>
    <row r="40" spans="1:37" s="49" customFormat="1" ht="11.25" customHeight="1" thickBot="1" x14ac:dyDescent="0.2">
      <c r="A40" s="311"/>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K40" s="148"/>
    </row>
    <row r="41" spans="1:37" s="49" customFormat="1" ht="33.75" customHeight="1" thickBot="1" x14ac:dyDescent="0.2">
      <c r="A41" s="2"/>
      <c r="B41" s="555" t="str">
        <f>IF(V41="","×","○")</f>
        <v>×</v>
      </c>
      <c r="C41" s="1469" t="s">
        <v>458</v>
      </c>
      <c r="D41" s="1470"/>
      <c r="E41" s="1470"/>
      <c r="F41" s="1470"/>
      <c r="G41" s="1470"/>
      <c r="H41" s="1470"/>
      <c r="I41" s="1470"/>
      <c r="J41" s="1470"/>
      <c r="K41" s="1470"/>
      <c r="L41" s="1470"/>
      <c r="M41" s="1470"/>
      <c r="N41" s="1470"/>
      <c r="O41" s="1470"/>
      <c r="P41" s="1470"/>
      <c r="Q41" s="1470"/>
      <c r="R41" s="1470"/>
      <c r="S41" s="1470"/>
      <c r="T41" s="1470"/>
      <c r="U41" s="1471"/>
      <c r="V41" s="1472"/>
      <c r="W41" s="1473"/>
      <c r="X41" s="347"/>
      <c r="Y41" s="22"/>
      <c r="Z41" s="22"/>
      <c r="AA41" s="22"/>
      <c r="AB41" s="22"/>
      <c r="AC41" s="22"/>
      <c r="AD41" s="22"/>
      <c r="AE41" s="22"/>
      <c r="AF41" s="22"/>
      <c r="AG41" s="221"/>
      <c r="AH41" s="221"/>
      <c r="AI41" s="221"/>
      <c r="AJ41" s="389"/>
      <c r="AK41" s="148"/>
    </row>
    <row r="42" spans="1:37" ht="26.25" customHeight="1" x14ac:dyDescent="0.15">
      <c r="I42" s="3"/>
      <c r="J42" s="3"/>
      <c r="K42" s="9"/>
      <c r="L42" s="3"/>
      <c r="M42" s="9"/>
      <c r="N42" s="9"/>
      <c r="O42" s="3"/>
      <c r="P42" s="364"/>
      <c r="Q42" s="364"/>
      <c r="R42" s="364"/>
      <c r="S42" s="364"/>
      <c r="T42" s="364"/>
      <c r="U42" s="364"/>
      <c r="V42" s="364"/>
      <c r="W42" s="364"/>
      <c r="X42" s="364"/>
      <c r="Y42" s="364"/>
      <c r="Z42" s="364"/>
      <c r="AA42" s="364"/>
      <c r="AB42" s="364"/>
      <c r="AC42" s="364"/>
      <c r="AK42" s="2"/>
    </row>
    <row r="43" spans="1:37" ht="30" customHeight="1" x14ac:dyDescent="0.15">
      <c r="B43" s="1647" t="s">
        <v>469</v>
      </c>
      <c r="C43" s="1647"/>
      <c r="D43" s="1647"/>
      <c r="E43" s="1647"/>
      <c r="F43" s="1647"/>
      <c r="G43" s="1647"/>
      <c r="H43" s="1647"/>
      <c r="I43" s="1647"/>
      <c r="J43" s="1647"/>
      <c r="K43" s="1647"/>
      <c r="L43" s="1647"/>
      <c r="M43" s="280"/>
      <c r="N43" s="280"/>
      <c r="O43" s="280"/>
      <c r="P43" s="280"/>
      <c r="Q43" s="280"/>
      <c r="R43" s="280"/>
      <c r="S43" s="280"/>
      <c r="T43" s="280"/>
      <c r="U43" s="280"/>
      <c r="V43" s="171"/>
      <c r="W43" s="171"/>
      <c r="X43" s="171"/>
      <c r="AB43" s="171"/>
      <c r="AC43" s="171"/>
      <c r="AD43" s="171"/>
      <c r="AE43" s="171"/>
      <c r="AF43" s="171"/>
      <c r="AK43" s="2"/>
    </row>
    <row r="44" spans="1:37" ht="59.25" customHeight="1" x14ac:dyDescent="0.15">
      <c r="A44" s="2"/>
      <c r="B44" s="2"/>
      <c r="C44" s="1601" t="s">
        <v>545</v>
      </c>
      <c r="D44" s="1601"/>
      <c r="E44" s="1601"/>
      <c r="F44" s="1601"/>
      <c r="G44" s="1601"/>
      <c r="H44" s="1601"/>
      <c r="I44" s="1601"/>
      <c r="J44" s="1601"/>
      <c r="K44" s="1601"/>
      <c r="L44" s="1601"/>
      <c r="M44" s="1601"/>
      <c r="N44" s="1601"/>
      <c r="O44" s="1601"/>
      <c r="P44" s="1601"/>
      <c r="Q44" s="1601"/>
      <c r="R44" s="1601"/>
      <c r="S44" s="1601"/>
      <c r="T44" s="1601"/>
      <c r="U44" s="1601"/>
      <c r="V44" s="1601"/>
      <c r="W44" s="538"/>
      <c r="AB44" s="357"/>
      <c r="AC44" s="357"/>
      <c r="AD44" s="357"/>
      <c r="AE44" s="357"/>
      <c r="AF44" s="357"/>
      <c r="AG44" s="290"/>
      <c r="AH44" s="290"/>
      <c r="AI44" s="290"/>
      <c r="AK44" s="2"/>
    </row>
    <row r="45" spans="1:37" ht="7.5" customHeight="1" thickBot="1" x14ac:dyDescent="0.2">
      <c r="C45" s="146"/>
      <c r="D45" s="173"/>
      <c r="E45" s="172"/>
      <c r="F45" s="172"/>
      <c r="G45" s="172"/>
      <c r="H45" s="172"/>
      <c r="I45" s="172"/>
      <c r="J45" s="172"/>
      <c r="K45" s="172"/>
      <c r="L45" s="172"/>
      <c r="M45" s="172"/>
      <c r="N45" s="172"/>
      <c r="O45" s="172"/>
      <c r="P45" s="172"/>
      <c r="Q45" s="172"/>
      <c r="R45" s="172"/>
      <c r="S45" s="172"/>
      <c r="T45" s="172"/>
      <c r="U45" s="172"/>
      <c r="V45" s="171"/>
      <c r="W45" s="171"/>
      <c r="X45" s="171"/>
      <c r="Y45" s="171"/>
      <c r="Z45" s="171"/>
      <c r="AA45" s="171"/>
      <c r="AB45" s="171"/>
      <c r="AC45" s="171"/>
      <c r="AD45" s="171"/>
      <c r="AE45" s="171"/>
      <c r="AK45" s="2"/>
    </row>
    <row r="46" spans="1:37" ht="30" customHeight="1" thickBot="1" x14ac:dyDescent="0.2">
      <c r="A46" s="2"/>
      <c r="B46" s="1541" t="str">
        <f>IF(AND(W47="○",W48="○",W49="○",W46="○",OR(I47&lt;&gt;"",D48&lt;&gt;"",D49&lt;&gt;"")),"○","×")</f>
        <v>×</v>
      </c>
      <c r="C46" s="298"/>
      <c r="D46" s="1575" t="s">
        <v>11</v>
      </c>
      <c r="E46" s="1576"/>
      <c r="F46" s="1576"/>
      <c r="G46" s="1576"/>
      <c r="H46" s="1576"/>
      <c r="I46" s="1576"/>
      <c r="J46" s="1576"/>
      <c r="K46" s="1576"/>
      <c r="L46" s="1703"/>
      <c r="M46" s="1575" t="s">
        <v>12</v>
      </c>
      <c r="N46" s="1576"/>
      <c r="O46" s="1703"/>
      <c r="P46" s="1574" t="s">
        <v>240</v>
      </c>
      <c r="Q46" s="1574"/>
      <c r="R46" s="1574"/>
      <c r="S46" s="1575" t="s">
        <v>13</v>
      </c>
      <c r="T46" s="1576"/>
      <c r="U46" s="1576"/>
      <c r="V46" s="1577"/>
      <c r="W46" s="848" t="str">
        <f>IF(AND(X46=Y46,Y46=Z46,X46=Z46),"○","×")</f>
        <v>○</v>
      </c>
      <c r="X46" s="849">
        <f>COUNTA(I47,D48,D49)</f>
        <v>0</v>
      </c>
      <c r="Y46" s="849">
        <f>COUNTA(M47:M49)</f>
        <v>0</v>
      </c>
      <c r="Z46" s="849">
        <f>COUNTA(P47:P49)</f>
        <v>0</v>
      </c>
    </row>
    <row r="47" spans="1:37" ht="30" customHeight="1" x14ac:dyDescent="0.15">
      <c r="B47" s="1541"/>
      <c r="C47" s="295" t="s">
        <v>242</v>
      </c>
      <c r="E47" s="1764" t="s">
        <v>239</v>
      </c>
      <c r="F47" s="1764"/>
      <c r="G47" s="1764"/>
      <c r="H47" s="1764"/>
      <c r="I47" s="1476"/>
      <c r="J47" s="1476"/>
      <c r="K47" s="323" t="s">
        <v>223</v>
      </c>
      <c r="L47" s="324"/>
      <c r="M47" s="1578"/>
      <c r="N47" s="1579"/>
      <c r="O47" s="1580"/>
      <c r="P47" s="1578"/>
      <c r="Q47" s="1579"/>
      <c r="R47" s="1579"/>
      <c r="S47" s="1698"/>
      <c r="T47" s="1699"/>
      <c r="U47" s="1699"/>
      <c r="V47" s="1700"/>
      <c r="W47" s="850" t="str">
        <f>IF((OR(AND(I47&lt;&gt;"",M47&lt;&gt;"",P47&lt;&gt;""),AND(I47="",M47="",P47=""))),"○","×")</f>
        <v>○</v>
      </c>
      <c r="X47" s="1857" t="s">
        <v>548</v>
      </c>
      <c r="Y47" s="1583"/>
      <c r="Z47" s="1584"/>
      <c r="AA47" s="1583" t="s">
        <v>546</v>
      </c>
      <c r="AB47" s="1584"/>
      <c r="AC47" s="1583" t="s">
        <v>547</v>
      </c>
      <c r="AD47" s="1584"/>
      <c r="AE47" s="1583" t="s">
        <v>549</v>
      </c>
      <c r="AF47" s="1584"/>
    </row>
    <row r="48" spans="1:37" ht="30" customHeight="1" thickBot="1" x14ac:dyDescent="0.2">
      <c r="B48" s="1541"/>
      <c r="C48" s="296" t="s">
        <v>241</v>
      </c>
      <c r="D48" s="1704"/>
      <c r="E48" s="1705"/>
      <c r="F48" s="1705"/>
      <c r="G48" s="1705"/>
      <c r="H48" s="1705"/>
      <c r="I48" s="1705"/>
      <c r="J48" s="1705"/>
      <c r="K48" s="1705"/>
      <c r="L48" s="1706"/>
      <c r="M48" s="1542"/>
      <c r="N48" s="1543"/>
      <c r="O48" s="1570"/>
      <c r="P48" s="1542"/>
      <c r="Q48" s="1543"/>
      <c r="R48" s="1543"/>
      <c r="S48" s="1588"/>
      <c r="T48" s="1589"/>
      <c r="U48" s="1589"/>
      <c r="V48" s="1590"/>
      <c r="W48" s="850" t="str">
        <f>IF((OR(AND(D48&lt;&gt;"",M48&lt;&gt;"",P48&lt;&gt;""),AND(D48="",M48="",P48=""))),"○","×")</f>
        <v>○</v>
      </c>
      <c r="X48" s="1858">
        <f>◎施設管理!I10</f>
        <v>200</v>
      </c>
      <c r="Y48" s="1859"/>
      <c r="Z48" s="1860"/>
      <c r="AA48" s="1599">
        <f>SUM(P47:R49)</f>
        <v>0</v>
      </c>
      <c r="AB48" s="1600"/>
      <c r="AC48" s="1581">
        <f>AC39</f>
        <v>0</v>
      </c>
      <c r="AD48" s="1582"/>
      <c r="AE48" s="1581">
        <f>AC48-AA48</f>
        <v>0</v>
      </c>
      <c r="AF48" s="1582"/>
    </row>
    <row r="49" spans="1:43" ht="30" customHeight="1" thickBot="1" x14ac:dyDescent="0.2">
      <c r="B49" s="1541"/>
      <c r="C49" s="297" t="s">
        <v>243</v>
      </c>
      <c r="D49" s="1552"/>
      <c r="E49" s="1553"/>
      <c r="F49" s="1553"/>
      <c r="G49" s="1553"/>
      <c r="H49" s="1553"/>
      <c r="I49" s="1553"/>
      <c r="J49" s="1553"/>
      <c r="K49" s="1553"/>
      <c r="L49" s="1554"/>
      <c r="M49" s="1545"/>
      <c r="N49" s="1546"/>
      <c r="O49" s="1832"/>
      <c r="P49" s="1545"/>
      <c r="Q49" s="1546"/>
      <c r="R49" s="1546"/>
      <c r="S49" s="1571"/>
      <c r="T49" s="1572"/>
      <c r="U49" s="1572"/>
      <c r="V49" s="1573"/>
      <c r="W49" s="850" t="str">
        <f>IF((OR(AND(D49&lt;&gt;"",M49&lt;&gt;"",P49&lt;&gt;""),AND(D49="",M49="",P49=""))),"○","×")</f>
        <v>○</v>
      </c>
      <c r="X49" s="222"/>
      <c r="Y49" s="222"/>
    </row>
    <row r="50" spans="1:43" ht="11.25" customHeight="1" thickBot="1" x14ac:dyDescent="0.2">
      <c r="A50" s="1054"/>
      <c r="B50" s="1054"/>
      <c r="C50" s="355"/>
      <c r="D50" s="1055"/>
      <c r="E50" s="1055"/>
      <c r="F50" s="1055"/>
      <c r="G50" s="1055"/>
      <c r="H50" s="1055"/>
      <c r="I50" s="1055"/>
      <c r="J50" s="1055"/>
      <c r="K50" s="1055"/>
      <c r="L50" s="1056"/>
      <c r="M50" s="1056"/>
      <c r="N50" s="1056"/>
      <c r="O50" s="1056"/>
      <c r="P50" s="1056"/>
      <c r="Q50" s="1056"/>
      <c r="R50" s="1057"/>
      <c r="S50" s="1057"/>
      <c r="T50" s="1057"/>
      <c r="U50" s="1057"/>
      <c r="V50" s="1058"/>
      <c r="W50" s="1059"/>
      <c r="X50" s="1059"/>
      <c r="Y50" s="1059"/>
      <c r="Z50" s="1059"/>
      <c r="AA50" s="1059"/>
      <c r="AB50" s="1059"/>
      <c r="AC50" s="1059"/>
      <c r="AD50" s="356"/>
      <c r="AE50" s="356"/>
      <c r="AF50" s="356"/>
      <c r="AG50" s="356"/>
      <c r="AH50" s="356"/>
      <c r="AI50" s="356"/>
      <c r="AJ50" s="222"/>
      <c r="AK50" s="222"/>
    </row>
    <row r="51" spans="1:43" ht="33.75" customHeight="1" thickBot="1" x14ac:dyDescent="0.2">
      <c r="A51" s="347"/>
      <c r="B51" s="556" t="str">
        <f>IF(U51="","×","○")</f>
        <v>×</v>
      </c>
      <c r="C51" s="1469" t="s">
        <v>460</v>
      </c>
      <c r="D51" s="1470"/>
      <c r="E51" s="1470"/>
      <c r="F51" s="1470"/>
      <c r="G51" s="1470"/>
      <c r="H51" s="1470"/>
      <c r="I51" s="1470"/>
      <c r="J51" s="1470"/>
      <c r="K51" s="1470"/>
      <c r="L51" s="1470"/>
      <c r="M51" s="1470"/>
      <c r="N51" s="1470"/>
      <c r="O51" s="1470"/>
      <c r="P51" s="1470"/>
      <c r="Q51" s="1470"/>
      <c r="R51" s="1470"/>
      <c r="S51" s="1470"/>
      <c r="T51" s="1471"/>
      <c r="U51" s="1472"/>
      <c r="V51" s="1473"/>
      <c r="W51" s="356"/>
      <c r="X51" s="356"/>
      <c r="Y51" s="356"/>
      <c r="Z51" s="356"/>
      <c r="AA51" s="356"/>
      <c r="AB51" s="356"/>
      <c r="AC51" s="356"/>
      <c r="AD51" s="356"/>
      <c r="AE51" s="356"/>
      <c r="AF51" s="356"/>
      <c r="AG51" s="356"/>
      <c r="AH51" s="356"/>
      <c r="AI51" s="222"/>
      <c r="AJ51" s="222"/>
    </row>
    <row r="52" spans="1:43" ht="5.25" customHeight="1" thickBot="1" x14ac:dyDescent="0.2">
      <c r="A52" s="347"/>
      <c r="B52" s="1054"/>
      <c r="C52" s="355"/>
      <c r="D52" s="1055"/>
      <c r="E52" s="1055"/>
      <c r="F52" s="1055"/>
      <c r="G52" s="1055"/>
      <c r="H52" s="1055"/>
      <c r="I52" s="1055"/>
      <c r="J52" s="1055"/>
      <c r="K52" s="1055"/>
      <c r="L52" s="1056"/>
      <c r="M52" s="1056"/>
      <c r="N52" s="1056"/>
      <c r="O52" s="1056"/>
      <c r="P52" s="1056"/>
      <c r="Q52" s="1056"/>
      <c r="R52" s="1057"/>
      <c r="S52" s="1057"/>
      <c r="T52" s="1057"/>
      <c r="U52" s="1057"/>
      <c r="V52" s="1057"/>
      <c r="W52" s="1058"/>
      <c r="X52" s="1059"/>
      <c r="Y52" s="1059"/>
      <c r="Z52" s="356"/>
      <c r="AA52" s="356"/>
      <c r="AB52" s="356"/>
      <c r="AC52" s="356"/>
      <c r="AD52" s="356"/>
      <c r="AE52" s="356"/>
      <c r="AF52" s="356"/>
      <c r="AG52" s="356"/>
      <c r="AH52" s="356"/>
      <c r="AI52" s="356"/>
      <c r="AJ52" s="356"/>
      <c r="AK52" s="222"/>
      <c r="AL52" s="222"/>
      <c r="AM52" s="2"/>
    </row>
    <row r="53" spans="1:43" ht="33.75" customHeight="1" thickBot="1" x14ac:dyDescent="0.2">
      <c r="A53" s="347"/>
      <c r="B53" s="556" t="str">
        <f>IF(U53="","×","○")</f>
        <v>×</v>
      </c>
      <c r="C53" s="1469" t="s">
        <v>476</v>
      </c>
      <c r="D53" s="1470"/>
      <c r="E53" s="1470"/>
      <c r="F53" s="1470"/>
      <c r="G53" s="1470"/>
      <c r="H53" s="1470"/>
      <c r="I53" s="1470"/>
      <c r="J53" s="1470"/>
      <c r="K53" s="1470"/>
      <c r="L53" s="1470"/>
      <c r="M53" s="1470"/>
      <c r="N53" s="1470"/>
      <c r="O53" s="1470"/>
      <c r="P53" s="1470"/>
      <c r="Q53" s="1470"/>
      <c r="R53" s="1470"/>
      <c r="S53" s="1470"/>
      <c r="T53" s="1471"/>
      <c r="U53" s="1472"/>
      <c r="V53" s="1473"/>
      <c r="W53" s="356"/>
      <c r="X53" s="356"/>
      <c r="Y53" s="356"/>
      <c r="Z53" s="356"/>
      <c r="AA53" s="356"/>
      <c r="AB53" s="356"/>
      <c r="AC53" s="356"/>
      <c r="AD53" s="356"/>
      <c r="AE53" s="356"/>
      <c r="AF53" s="356"/>
      <c r="AG53" s="356"/>
      <c r="AH53" s="356"/>
      <c r="AI53" s="222"/>
      <c r="AJ53" s="222"/>
    </row>
    <row r="54" spans="1:43" s="347" customFormat="1" ht="5.25" customHeight="1" thickBot="1" x14ac:dyDescent="0.2">
      <c r="B54" s="1069"/>
      <c r="C54" s="1070"/>
      <c r="D54" s="1070"/>
      <c r="E54" s="1070"/>
      <c r="F54" s="1070"/>
      <c r="G54" s="1070"/>
      <c r="H54" s="1070"/>
      <c r="I54" s="1070"/>
      <c r="J54" s="1070"/>
      <c r="K54" s="1070"/>
      <c r="L54" s="1070"/>
      <c r="M54" s="1070"/>
      <c r="N54" s="1070"/>
      <c r="O54" s="1070"/>
      <c r="P54" s="1070"/>
      <c r="Q54" s="1070"/>
      <c r="R54" s="1070"/>
      <c r="S54" s="1070"/>
      <c r="T54" s="1070"/>
      <c r="U54" s="1071"/>
      <c r="V54" s="1071"/>
      <c r="W54" s="1059"/>
      <c r="X54" s="1059"/>
      <c r="Y54" s="1059"/>
      <c r="Z54" s="356"/>
      <c r="AA54" s="356"/>
      <c r="AB54" s="356"/>
      <c r="AC54" s="356"/>
      <c r="AD54" s="356"/>
      <c r="AE54" s="356"/>
      <c r="AF54" s="356"/>
      <c r="AG54" s="356"/>
      <c r="AH54" s="356"/>
      <c r="AI54" s="358"/>
      <c r="AJ54" s="358"/>
    </row>
    <row r="55" spans="1:43" s="347" customFormat="1" ht="33.75" customHeight="1" thickBot="1" x14ac:dyDescent="0.2">
      <c r="B55" s="556" t="str">
        <f>IF(U55="","×","○")</f>
        <v>×</v>
      </c>
      <c r="C55" s="1469" t="s">
        <v>459</v>
      </c>
      <c r="D55" s="1470"/>
      <c r="E55" s="1470"/>
      <c r="F55" s="1470"/>
      <c r="G55" s="1470"/>
      <c r="H55" s="1470"/>
      <c r="I55" s="1470"/>
      <c r="J55" s="1470"/>
      <c r="K55" s="1470"/>
      <c r="L55" s="1470"/>
      <c r="M55" s="1470"/>
      <c r="N55" s="1470"/>
      <c r="O55" s="1470"/>
      <c r="P55" s="1470"/>
      <c r="Q55" s="1470"/>
      <c r="R55" s="1470"/>
      <c r="S55" s="1470"/>
      <c r="T55" s="1471"/>
      <c r="U55" s="1472"/>
      <c r="V55" s="1473"/>
      <c r="W55" s="356"/>
      <c r="X55" s="356"/>
      <c r="Y55" s="356"/>
      <c r="Z55" s="356"/>
      <c r="AA55" s="356"/>
      <c r="AB55" s="356"/>
      <c r="AC55" s="356"/>
      <c r="AD55" s="356"/>
      <c r="AE55" s="356"/>
      <c r="AF55" s="356"/>
      <c r="AG55" s="356"/>
      <c r="AH55" s="356"/>
      <c r="AI55" s="358"/>
      <c r="AJ55" s="358"/>
    </row>
    <row r="56" spans="1:43" ht="26.25" customHeight="1" x14ac:dyDescent="0.15">
      <c r="C56" s="851"/>
      <c r="D56" s="851"/>
      <c r="E56" s="851"/>
      <c r="F56" s="851"/>
      <c r="G56" s="851"/>
      <c r="H56" s="851"/>
      <c r="I56" s="851"/>
      <c r="J56" s="851"/>
      <c r="K56" s="851"/>
      <c r="L56" s="851"/>
      <c r="M56" s="851"/>
      <c r="N56" s="851"/>
      <c r="O56" s="851"/>
      <c r="P56" s="26"/>
      <c r="Q56" s="4"/>
      <c r="Y56" s="181"/>
      <c r="AB56" s="2"/>
      <c r="AC56" s="1482"/>
      <c r="AD56" s="1482"/>
      <c r="AE56" s="1482"/>
      <c r="AF56" s="1482"/>
      <c r="AG56" s="1482"/>
      <c r="AH56" s="1482"/>
      <c r="AI56" s="1482"/>
      <c r="AK56" s="2"/>
    </row>
    <row r="57" spans="1:43" ht="30" customHeight="1" x14ac:dyDescent="0.15">
      <c r="B57" s="1647" t="s">
        <v>471</v>
      </c>
      <c r="C57" s="1647"/>
      <c r="D57" s="1647"/>
      <c r="E57" s="1647"/>
      <c r="F57" s="1647"/>
      <c r="G57" s="1647"/>
      <c r="H57" s="1585"/>
      <c r="I57" s="1585"/>
      <c r="J57" s="1585"/>
      <c r="K57" s="1585"/>
      <c r="L57" s="1585"/>
      <c r="M57" s="1585"/>
      <c r="N57" s="1585"/>
      <c r="O57" s="1585"/>
      <c r="P57" s="1585"/>
      <c r="Q57" s="1585"/>
      <c r="R57" s="1585"/>
      <c r="S57" s="1585"/>
      <c r="T57" s="1585"/>
      <c r="U57" s="1585"/>
      <c r="V57" s="1585"/>
      <c r="W57" s="1585"/>
      <c r="X57" s="1585"/>
      <c r="Y57" s="1585"/>
      <c r="Z57" s="1585"/>
      <c r="AA57" s="1585"/>
      <c r="AB57" s="2"/>
      <c r="AC57" s="39"/>
      <c r="AD57" s="39"/>
      <c r="AE57" s="39"/>
      <c r="AF57" s="39"/>
      <c r="AG57" s="39"/>
      <c r="AH57" s="39"/>
      <c r="AI57" s="39"/>
      <c r="AK57" s="2"/>
    </row>
    <row r="58" spans="1:43" ht="65.25" customHeight="1" x14ac:dyDescent="0.15">
      <c r="A58" s="2"/>
      <c r="C58" s="1601" t="s">
        <v>581</v>
      </c>
      <c r="D58" s="1601"/>
      <c r="E58" s="1601"/>
      <c r="F58" s="1601"/>
      <c r="G58" s="1601"/>
      <c r="H58" s="1601"/>
      <c r="I58" s="1601"/>
      <c r="J58" s="1601"/>
      <c r="K58" s="1601"/>
      <c r="L58" s="1601"/>
      <c r="M58" s="1601"/>
      <c r="N58" s="1601"/>
      <c r="O58" s="1601"/>
      <c r="P58" s="1601"/>
      <c r="Q58" s="1601"/>
      <c r="R58" s="1601"/>
      <c r="S58" s="1601"/>
      <c r="T58" s="1601"/>
      <c r="U58" s="1601"/>
      <c r="V58" s="1601"/>
      <c r="W58" s="1601"/>
      <c r="X58" s="1601"/>
      <c r="Y58" s="1601"/>
      <c r="Z58" s="1601"/>
      <c r="AA58" s="1601"/>
      <c r="AB58" s="1601"/>
      <c r="AC58" s="1601"/>
      <c r="AD58" s="39"/>
      <c r="AE58" s="39"/>
      <c r="AF58" s="39"/>
      <c r="AG58" s="39"/>
      <c r="AH58" s="39"/>
      <c r="AI58" s="39"/>
      <c r="AK58" s="2"/>
    </row>
    <row r="59" spans="1:43" ht="7.5" customHeight="1" thickBot="1" x14ac:dyDescent="0.2">
      <c r="C59" s="277"/>
      <c r="D59" s="172"/>
      <c r="E59" s="172"/>
      <c r="F59" s="172"/>
      <c r="G59" s="172"/>
      <c r="H59" s="172"/>
      <c r="I59" s="172"/>
      <c r="J59" s="172"/>
      <c r="K59" s="172"/>
      <c r="L59" s="172"/>
      <c r="M59" s="172"/>
      <c r="N59" s="172"/>
      <c r="O59" s="172"/>
      <c r="P59" s="172"/>
      <c r="Q59" s="172"/>
      <c r="R59" s="172"/>
      <c r="S59" s="172"/>
      <c r="T59" s="172"/>
      <c r="U59" s="172"/>
      <c r="V59" s="172"/>
      <c r="W59" s="172"/>
      <c r="X59" s="2"/>
      <c r="Y59" s="2"/>
      <c r="Z59" s="2"/>
      <c r="AA59" s="2"/>
      <c r="AB59" s="2"/>
      <c r="AC59" s="39"/>
      <c r="AD59" s="39"/>
      <c r="AE59" s="39"/>
      <c r="AF59" s="39"/>
      <c r="AG59" s="39"/>
      <c r="AH59" s="39"/>
      <c r="AI59" s="39"/>
      <c r="AK59" s="2"/>
    </row>
    <row r="60" spans="1:43" ht="17.25" customHeight="1" x14ac:dyDescent="0.15">
      <c r="A60" s="2"/>
      <c r="B60" s="1541" t="str">
        <f>IF(H60="","×","○")</f>
        <v>×</v>
      </c>
      <c r="C60" s="1799" t="s">
        <v>330</v>
      </c>
      <c r="D60" s="1800"/>
      <c r="E60" s="1800"/>
      <c r="F60" s="1800"/>
      <c r="G60" s="1801"/>
      <c r="H60" s="1593"/>
      <c r="I60" s="1593"/>
      <c r="J60" s="1593"/>
      <c r="K60" s="1593"/>
      <c r="L60" s="1797" t="str">
        <f>IF(H60="あり","　※ 食物アレルギー調査票〔ＨＰにて別途ダウンロード〕を","")</f>
        <v/>
      </c>
      <c r="M60" s="1798"/>
      <c r="N60" s="1798"/>
      <c r="O60" s="1798"/>
      <c r="P60" s="1798"/>
      <c r="Q60" s="1798"/>
      <c r="R60" s="1798"/>
      <c r="S60" s="1798"/>
      <c r="T60" s="1798"/>
      <c r="U60" s="1798"/>
      <c r="V60" s="1798"/>
      <c r="W60" s="1798"/>
      <c r="X60" s="1798"/>
      <c r="Y60" s="1798"/>
      <c r="Z60" s="1798"/>
      <c r="AA60" s="1798"/>
      <c r="AB60" s="535"/>
      <c r="AC60" s="535"/>
      <c r="AD60" s="68"/>
      <c r="AE60" s="68"/>
      <c r="AF60" s="68"/>
      <c r="AG60" s="68"/>
      <c r="AH60" s="68"/>
      <c r="AI60" s="68"/>
      <c r="AK60" s="68"/>
    </row>
    <row r="61" spans="1:43" ht="17.25" customHeight="1" thickBot="1" x14ac:dyDescent="0.2">
      <c r="A61" s="2"/>
      <c r="B61" s="1541"/>
      <c r="C61" s="1802"/>
      <c r="D61" s="1803"/>
      <c r="E61" s="1803"/>
      <c r="F61" s="1803"/>
      <c r="G61" s="1804"/>
      <c r="H61" s="1594"/>
      <c r="I61" s="1594"/>
      <c r="J61" s="1594"/>
      <c r="K61" s="1594"/>
      <c r="L61" s="1595" t="str">
        <f>IF(H60="あり","　　 ２週間前までに提出してください。","")</f>
        <v/>
      </c>
      <c r="M61" s="1596"/>
      <c r="N61" s="1596"/>
      <c r="O61" s="1596"/>
      <c r="P61" s="1596"/>
      <c r="Q61" s="1596"/>
      <c r="R61" s="1596"/>
      <c r="S61" s="1596"/>
      <c r="T61" s="1596"/>
      <c r="U61" s="1596"/>
      <c r="V61" s="1596"/>
      <c r="W61" s="1596"/>
      <c r="X61" s="1596"/>
      <c r="Y61" s="1596"/>
      <c r="Z61" s="1596"/>
      <c r="AA61" s="1596"/>
      <c r="AB61" s="535"/>
      <c r="AC61" s="535"/>
      <c r="AD61" s="68"/>
      <c r="AE61" s="68"/>
      <c r="AF61" s="68"/>
      <c r="AG61" s="68"/>
      <c r="AH61" s="890"/>
      <c r="AI61" s="890"/>
      <c r="AJ61" s="850"/>
      <c r="AK61" s="1142"/>
      <c r="AL61" s="850"/>
      <c r="AM61" s="850"/>
      <c r="AN61" s="850"/>
      <c r="AO61" s="850"/>
      <c r="AP61" s="850"/>
    </row>
    <row r="62" spans="1:43" ht="11.25" customHeight="1" thickBot="1" x14ac:dyDescent="0.2">
      <c r="C62" s="146"/>
      <c r="D62" s="327"/>
      <c r="E62" s="327"/>
      <c r="F62" s="327"/>
      <c r="G62" s="327"/>
      <c r="H62" s="327"/>
      <c r="I62" s="327"/>
      <c r="J62" s="328"/>
      <c r="K62" s="327"/>
      <c r="L62" s="365"/>
      <c r="M62" s="329"/>
      <c r="N62" s="329"/>
      <c r="O62" s="329"/>
      <c r="P62" s="27"/>
      <c r="Q62" s="329"/>
      <c r="R62" s="329"/>
      <c r="S62" s="329"/>
      <c r="T62" s="27"/>
      <c r="U62" s="329"/>
      <c r="V62" s="329"/>
      <c r="W62" s="329"/>
      <c r="X62" s="329"/>
      <c r="Y62" s="329"/>
      <c r="Z62" s="329"/>
      <c r="AA62" s="329"/>
      <c r="AB62" s="329"/>
      <c r="AC62" s="329"/>
      <c r="AD62" s="146"/>
      <c r="AE62" s="146"/>
      <c r="AH62" s="850"/>
      <c r="AI62" s="850"/>
      <c r="AJ62" s="850"/>
      <c r="AK62" s="876"/>
      <c r="AL62" s="850"/>
      <c r="AM62" s="850"/>
      <c r="AN62" s="850"/>
      <c r="AO62" s="850"/>
      <c r="AP62" s="850"/>
    </row>
    <row r="63" spans="1:43" ht="31.5" customHeight="1" thickBot="1" x14ac:dyDescent="0.2">
      <c r="A63" s="2"/>
      <c r="B63" s="25"/>
      <c r="C63" s="1670">
        <f>G22</f>
        <v>0</v>
      </c>
      <c r="D63" s="1670"/>
      <c r="E63" s="570" t="s">
        <v>14</v>
      </c>
      <c r="F63" s="571">
        <f>J22</f>
        <v>0</v>
      </c>
      <c r="G63" s="570" t="s">
        <v>15</v>
      </c>
      <c r="H63" s="571">
        <f>L22</f>
        <v>0</v>
      </c>
      <c r="I63" s="572" t="s">
        <v>18</v>
      </c>
      <c r="J63" s="573" t="str">
        <f>O22</f>
        <v/>
      </c>
      <c r="K63" s="574" t="s">
        <v>17</v>
      </c>
      <c r="L63" s="575" t="str">
        <f>IF(AND(J22&lt;&gt;"",L22&lt;&gt;""),N20,"")</f>
        <v/>
      </c>
      <c r="M63" s="1602" t="s">
        <v>461</v>
      </c>
      <c r="N63" s="1602"/>
      <c r="O63" s="576" t="str">
        <f>T22</f>
        <v/>
      </c>
      <c r="P63" s="570" t="s">
        <v>15</v>
      </c>
      <c r="Q63" s="577" t="str">
        <f>V22</f>
        <v/>
      </c>
      <c r="R63" s="572" t="s">
        <v>462</v>
      </c>
      <c r="S63" s="578" t="str">
        <f>Y22</f>
        <v/>
      </c>
      <c r="T63" s="574" t="s">
        <v>17</v>
      </c>
      <c r="U63" s="575" t="str">
        <f>IF(AND(T22&lt;&gt;"",V22&lt;&gt;""),R20,"")</f>
        <v/>
      </c>
      <c r="V63" s="1814" t="s">
        <v>582</v>
      </c>
      <c r="W63" s="1814"/>
      <c r="X63" s="1814"/>
      <c r="Y63" s="1814"/>
      <c r="Z63" s="1814"/>
      <c r="AA63" s="1814"/>
      <c r="AB63" s="1814"/>
      <c r="AC63" s="1814"/>
      <c r="AD63" s="1814"/>
      <c r="AE63" s="1815"/>
      <c r="AF63" s="223"/>
      <c r="AG63" s="223"/>
      <c r="AH63" s="1143"/>
      <c r="AI63" s="1143"/>
      <c r="AJ63" s="1144"/>
      <c r="AK63" s="1144"/>
      <c r="AL63" s="850"/>
      <c r="AM63" s="850"/>
      <c r="AN63" s="850"/>
      <c r="AO63" s="850"/>
      <c r="AP63" s="850"/>
      <c r="AQ63" s="1042"/>
    </row>
    <row r="64" spans="1:43" ht="5.25" customHeight="1" thickBot="1" x14ac:dyDescent="0.2">
      <c r="A64" s="2"/>
      <c r="B64" s="70"/>
      <c r="C64" s="292"/>
      <c r="D64" s="292"/>
      <c r="E64" s="293"/>
      <c r="F64" s="292"/>
      <c r="G64" s="293"/>
      <c r="H64" s="545"/>
      <c r="I64" s="545"/>
      <c r="J64" s="546"/>
      <c r="K64" s="547"/>
      <c r="L64" s="548"/>
      <c r="M64" s="549"/>
      <c r="N64" s="549"/>
      <c r="O64" s="550"/>
      <c r="P64" s="546"/>
      <c r="Q64" s="551"/>
      <c r="R64" s="545"/>
      <c r="S64" s="552"/>
      <c r="T64" s="547"/>
      <c r="U64" s="548"/>
      <c r="V64" s="537"/>
      <c r="W64" s="537"/>
      <c r="X64" s="537"/>
      <c r="Y64" s="537"/>
      <c r="Z64" s="537"/>
      <c r="AA64" s="537"/>
      <c r="AB64" s="566"/>
      <c r="AC64" s="567"/>
      <c r="AD64" s="567"/>
      <c r="AE64" s="567"/>
      <c r="AF64" s="223"/>
      <c r="AG64" s="223"/>
      <c r="AH64" s="1143"/>
      <c r="AI64" s="1143"/>
      <c r="AJ64" s="1144"/>
      <c r="AK64" s="1144"/>
      <c r="AL64" s="850"/>
      <c r="AM64" s="850"/>
      <c r="AN64" s="850"/>
      <c r="AO64" s="850"/>
      <c r="AP64" s="850"/>
      <c r="AQ64" s="1042"/>
    </row>
    <row r="65" spans="1:44" s="68" customFormat="1" ht="18" customHeight="1" x14ac:dyDescent="0.15">
      <c r="A65" s="70"/>
      <c r="B65" s="1541" t="str">
        <f>IF(AND(AK69="○",AK71="○",AL66="○",AL69="○",AL71="○",AM66="○",AM69="○",AM71="○",AN66="○",AN69="○",AN71="○",AO66="○",AO69="○",AO71="○",AP66="○",AP69="○",AL72="○",AK73="○"),"○","×")</f>
        <v>×</v>
      </c>
      <c r="C65" s="553"/>
      <c r="D65" s="553"/>
      <c r="E65" s="553"/>
      <c r="F65" s="553"/>
      <c r="G65" s="554"/>
      <c r="H65" s="335" t="s">
        <v>344</v>
      </c>
      <c r="I65" s="1567" t="str">
        <f>IF(V22="","",K20)</f>
        <v/>
      </c>
      <c r="J65" s="1567"/>
      <c r="K65" s="336" t="str">
        <f>"（"&amp;O22&amp;"）"</f>
        <v>（）</v>
      </c>
      <c r="L65" s="543" t="s">
        <v>345</v>
      </c>
      <c r="M65" s="1479" t="str">
        <f>IF(V22="","",IF(H21&lt;2," ",K20+1))</f>
        <v/>
      </c>
      <c r="N65" s="1479"/>
      <c r="O65" s="336" t="str">
        <f>IF(H21&lt;2," ","（"&amp;TEXT(M65,"aaa")&amp;"）")</f>
        <v>（）</v>
      </c>
      <c r="P65" s="544" t="s">
        <v>346</v>
      </c>
      <c r="Q65" s="1816" t="str">
        <f>IF(V22="","",IF(H21&lt;3," ",K20+2))</f>
        <v/>
      </c>
      <c r="R65" s="1567"/>
      <c r="S65" s="336" t="str">
        <f>IF(H21&lt;3," ","（"&amp;TEXT(Q65,"aaa")&amp;"）")</f>
        <v>（）</v>
      </c>
      <c r="T65" s="544" t="s">
        <v>347</v>
      </c>
      <c r="U65" s="1816" t="str">
        <f>IF(V22="","",IF(H21&lt;4," ",K20+3))</f>
        <v/>
      </c>
      <c r="V65" s="1567"/>
      <c r="W65" s="336" t="str">
        <f>IF(H21&lt;4," ","（"&amp;TEXT(U65,"aaa")&amp;"）")</f>
        <v>（）</v>
      </c>
      <c r="X65" s="544" t="s">
        <v>348</v>
      </c>
      <c r="Y65" s="1479" t="str">
        <f>IF(V22="","",IF(H21&lt;5," ",K20+4))</f>
        <v/>
      </c>
      <c r="Z65" s="1479"/>
      <c r="AA65" s="336" t="str">
        <f>IF(H21&lt;5," ","（"&amp;TEXT(Y65,"aaa")&amp;"）")</f>
        <v>（）</v>
      </c>
      <c r="AB65" s="335" t="s">
        <v>349</v>
      </c>
      <c r="AC65" s="1567" t="str">
        <f>IF(V22="","",IF(H21&lt;6," ",K20+5))</f>
        <v/>
      </c>
      <c r="AD65" s="1567"/>
      <c r="AE65" s="336" t="str">
        <f>IF(H21&lt;6," ","（"&amp;TEXT(AC65,"aaa")&amp;"）")</f>
        <v>（）</v>
      </c>
      <c r="AF65" s="367"/>
      <c r="AG65" s="368"/>
      <c r="AH65" s="1053"/>
      <c r="AI65" s="1053"/>
      <c r="AJ65" s="876"/>
      <c r="AK65" s="877" t="str">
        <f>IF(V22="","",K20)</f>
        <v/>
      </c>
      <c r="AL65" s="877" t="str">
        <f>IF(V22="","",IF(H21&lt;2," ",K20+1))</f>
        <v/>
      </c>
      <c r="AM65" s="877" t="str">
        <f>IF(V22="","",IF(H21&lt;3," ",K20+2))</f>
        <v/>
      </c>
      <c r="AN65" s="877" t="str">
        <f>IF(V22="","",IF(H21&lt;4," ",K20+3))</f>
        <v/>
      </c>
      <c r="AO65" s="877" t="str">
        <f>IF(V22="","",IF(H21&lt;5," ",K20+4))</f>
        <v/>
      </c>
      <c r="AP65" s="877" t="str">
        <f>IF(V22="","",IF(H21&lt;6," ",K20+5))</f>
        <v/>
      </c>
      <c r="AQ65" s="1139"/>
      <c r="AR65" s="1139"/>
    </row>
    <row r="66" spans="1:44" s="68" customFormat="1" ht="18" customHeight="1" thickBot="1" x14ac:dyDescent="0.2">
      <c r="A66" s="70"/>
      <c r="B66" s="1541"/>
      <c r="C66" s="553"/>
      <c r="D66" s="553"/>
      <c r="E66" s="553"/>
      <c r="F66" s="553"/>
      <c r="G66" s="554"/>
      <c r="H66" s="1591" t="s">
        <v>352</v>
      </c>
      <c r="I66" s="1592"/>
      <c r="J66" s="1568" t="s">
        <v>333</v>
      </c>
      <c r="K66" s="1569"/>
      <c r="L66" s="1586" t="s">
        <v>352</v>
      </c>
      <c r="M66" s="1587"/>
      <c r="N66" s="1568" t="s">
        <v>333</v>
      </c>
      <c r="O66" s="1569"/>
      <c r="P66" s="1586" t="s">
        <v>352</v>
      </c>
      <c r="Q66" s="1587"/>
      <c r="R66" s="1568" t="s">
        <v>333</v>
      </c>
      <c r="S66" s="1569"/>
      <c r="T66" s="1586" t="s">
        <v>352</v>
      </c>
      <c r="U66" s="1587"/>
      <c r="V66" s="1568" t="s">
        <v>333</v>
      </c>
      <c r="W66" s="1569"/>
      <c r="X66" s="1586" t="s">
        <v>352</v>
      </c>
      <c r="Y66" s="1587"/>
      <c r="Z66" s="1568" t="s">
        <v>333</v>
      </c>
      <c r="AA66" s="1569"/>
      <c r="AB66" s="1591" t="s">
        <v>352</v>
      </c>
      <c r="AC66" s="1592"/>
      <c r="AD66" s="1568" t="s">
        <v>333</v>
      </c>
      <c r="AE66" s="1569"/>
      <c r="AF66" s="369"/>
      <c r="AG66" s="370"/>
      <c r="AH66" s="1053"/>
      <c r="AI66" s="1053"/>
      <c r="AJ66" s="878" t="s">
        <v>313</v>
      </c>
      <c r="AK66" s="879"/>
      <c r="AL66" s="880" t="str">
        <f>IF(OR(H21&lt;=1,AND(L67&lt;&gt;"",L68&lt;&gt;"",L69&lt;&gt;"",L70&lt;&gt;"")),"○","×")</f>
        <v>×</v>
      </c>
      <c r="AM66" s="879" t="str">
        <f>IF(OR(H21&lt;=2,AND(P67&lt;&gt;"",P68&lt;&gt;"",P69&lt;&gt;"",P70&lt;&gt;"")),"○","×")</f>
        <v>×</v>
      </c>
      <c r="AN66" s="880" t="str">
        <f>IF(OR(H21&lt;=3,AND(T67&lt;&gt;"",T68&lt;&gt;"",T69&lt;&gt;"",T70&lt;&gt;"")),"○","×")</f>
        <v>×</v>
      </c>
      <c r="AO66" s="879" t="str">
        <f>IF(OR(H21&lt;=4,AND(X67&lt;&gt;"",X68&lt;&gt;"",X69&lt;&gt;"",X70&lt;&gt;"")),"○","×")</f>
        <v>×</v>
      </c>
      <c r="AP66" s="879" t="str">
        <f>IF(OR(H21&lt;=5,AND(AB67&lt;&gt;"",AB68&lt;&gt;"",AB69&lt;&gt;"",AB70&lt;&gt;"")),"○","×")</f>
        <v>×</v>
      </c>
      <c r="AQ66" s="1139"/>
      <c r="AR66" s="1139"/>
    </row>
    <row r="67" spans="1:44" s="68" customFormat="1" ht="26.25" customHeight="1" thickTop="1" x14ac:dyDescent="0.2">
      <c r="A67" s="70"/>
      <c r="B67" s="1541"/>
      <c r="C67" s="1675" t="s">
        <v>258</v>
      </c>
      <c r="D67" s="1671" t="s">
        <v>126</v>
      </c>
      <c r="E67" s="1672"/>
      <c r="F67" s="1676" t="s">
        <v>311</v>
      </c>
      <c r="G67" s="1677"/>
      <c r="H67" s="1673"/>
      <c r="I67" s="1674"/>
      <c r="J67" s="1072"/>
      <c r="K67" s="1073" t="s">
        <v>134</v>
      </c>
      <c r="L67" s="1707"/>
      <c r="M67" s="1708"/>
      <c r="N67" s="1148"/>
      <c r="O67" s="326" t="s">
        <v>134</v>
      </c>
      <c r="P67" s="1707"/>
      <c r="Q67" s="1708"/>
      <c r="R67" s="1148"/>
      <c r="S67" s="326" t="s">
        <v>134</v>
      </c>
      <c r="T67" s="1707"/>
      <c r="U67" s="1708"/>
      <c r="V67" s="1148"/>
      <c r="W67" s="326" t="s">
        <v>134</v>
      </c>
      <c r="X67" s="1707"/>
      <c r="Y67" s="1708"/>
      <c r="Z67" s="1148"/>
      <c r="AA67" s="326" t="s">
        <v>134</v>
      </c>
      <c r="AB67" s="1707"/>
      <c r="AC67" s="1708"/>
      <c r="AD67" s="1148"/>
      <c r="AE67" s="326" t="s">
        <v>134</v>
      </c>
      <c r="AF67" s="1701"/>
      <c r="AG67" s="1702"/>
      <c r="AH67" s="881"/>
      <c r="AI67" s="881"/>
      <c r="AJ67" s="878"/>
      <c r="AK67" s="879"/>
      <c r="AL67" s="880"/>
      <c r="AM67" s="879"/>
      <c r="AN67" s="880"/>
      <c r="AO67" s="879"/>
      <c r="AP67" s="879"/>
      <c r="AQ67" s="1139"/>
      <c r="AR67" s="1139"/>
    </row>
    <row r="68" spans="1:44" s="68" customFormat="1" ht="26.25" customHeight="1" x14ac:dyDescent="0.2">
      <c r="A68" s="70"/>
      <c r="B68" s="1541"/>
      <c r="C68" s="1650"/>
      <c r="D68" s="1678" t="s">
        <v>127</v>
      </c>
      <c r="E68" s="1679"/>
      <c r="F68" s="1680">
        <f>◎施設管理!J10</f>
        <v>370</v>
      </c>
      <c r="G68" s="1681"/>
      <c r="H68" s="1688"/>
      <c r="I68" s="1689"/>
      <c r="J68" s="1074"/>
      <c r="K68" s="1075" t="s">
        <v>134</v>
      </c>
      <c r="L68" s="1648"/>
      <c r="M68" s="1649"/>
      <c r="N68" s="1146"/>
      <c r="O68" s="322" t="s">
        <v>134</v>
      </c>
      <c r="P68" s="1648"/>
      <c r="Q68" s="1649"/>
      <c r="R68" s="1146"/>
      <c r="S68" s="322" t="s">
        <v>134</v>
      </c>
      <c r="T68" s="1648"/>
      <c r="U68" s="1649"/>
      <c r="V68" s="1146"/>
      <c r="W68" s="322" t="s">
        <v>134</v>
      </c>
      <c r="X68" s="1648"/>
      <c r="Y68" s="1649"/>
      <c r="Z68" s="1146"/>
      <c r="AA68" s="322" t="s">
        <v>134</v>
      </c>
      <c r="AB68" s="1648"/>
      <c r="AC68" s="1649"/>
      <c r="AD68" s="1146"/>
      <c r="AE68" s="322" t="s">
        <v>134</v>
      </c>
      <c r="AF68" s="283"/>
      <c r="AG68" s="283"/>
      <c r="AH68" s="881"/>
      <c r="AI68" s="881"/>
      <c r="AJ68" s="878" t="s">
        <v>314</v>
      </c>
      <c r="AK68" s="881" t="str">
        <f>IF(OR(L63&lt;&gt;"昼",AND(H71&lt;&gt;"",H72&lt;&gt;"",H73&lt;&gt;"",H74&lt;&gt;"")),"○","×")</f>
        <v>○</v>
      </c>
      <c r="AL68" s="882" t="str">
        <f>IF(OR(AA26="",AND(L71&lt;&gt;"",L72&lt;&gt;"",L73&lt;&gt;"",L74&lt;&gt;"")),"○","×")</f>
        <v>○</v>
      </c>
      <c r="AM68" s="882" t="str">
        <f>IF(OR(AB26="",AND(P71&lt;&gt;"",P72&lt;&gt;"",P73&lt;&gt;"",P74&lt;&gt;"")),"○","×")</f>
        <v>○</v>
      </c>
      <c r="AN68" s="882" t="str">
        <f>IF(OR(AC26="",AND(T71&lt;&gt;"",T72&lt;&gt;"",T73&lt;&gt;"",T74&lt;&gt;"")),"○","×")</f>
        <v>○</v>
      </c>
      <c r="AO68" s="882" t="str">
        <f>IF(OR(AD26="",AND(X71&lt;&gt;"",X72&lt;&gt;"",X73&lt;&gt;"",X74&lt;&gt;"")),"○","×")</f>
        <v>○</v>
      </c>
      <c r="AP68" s="882" t="str">
        <f>IF(OR(AE26="",AND(AB71&lt;&gt;"",AB72&lt;&gt;"",AB73&lt;&gt;"",AB74&lt;&gt;"")),"○","×")</f>
        <v>○</v>
      </c>
      <c r="AQ68" s="1139"/>
      <c r="AR68" s="1139"/>
    </row>
    <row r="69" spans="1:44" s="68" customFormat="1" ht="26.25" customHeight="1" x14ac:dyDescent="0.2">
      <c r="A69" s="70"/>
      <c r="B69" s="1541"/>
      <c r="C69" s="1650"/>
      <c r="D69" s="1696" t="s">
        <v>84</v>
      </c>
      <c r="E69" s="1697"/>
      <c r="F69" s="1656">
        <f>◎施設管理!K10</f>
        <v>530</v>
      </c>
      <c r="G69" s="1657"/>
      <c r="H69" s="1690"/>
      <c r="I69" s="1691"/>
      <c r="J69" s="1074"/>
      <c r="K69" s="1076" t="s">
        <v>134</v>
      </c>
      <c r="L69" s="1483"/>
      <c r="M69" s="1484"/>
      <c r="N69" s="1146"/>
      <c r="O69" s="322" t="s">
        <v>134</v>
      </c>
      <c r="P69" s="1483"/>
      <c r="Q69" s="1484"/>
      <c r="R69" s="1146"/>
      <c r="S69" s="322" t="s">
        <v>134</v>
      </c>
      <c r="T69" s="1483"/>
      <c r="U69" s="1484"/>
      <c r="V69" s="1146"/>
      <c r="W69" s="322" t="s">
        <v>134</v>
      </c>
      <c r="X69" s="1483"/>
      <c r="Y69" s="1484"/>
      <c r="Z69" s="1146"/>
      <c r="AA69" s="322" t="s">
        <v>134</v>
      </c>
      <c r="AB69" s="1483"/>
      <c r="AC69" s="1484"/>
      <c r="AD69" s="1146"/>
      <c r="AE69" s="322" t="s">
        <v>134</v>
      </c>
      <c r="AF69" s="283"/>
      <c r="AG69" s="283"/>
      <c r="AH69" s="881"/>
      <c r="AI69" s="881"/>
      <c r="AJ69" s="878"/>
      <c r="AK69" s="883" t="str">
        <f>IF(AND(AK68="×",H75=""),"×","○")</f>
        <v>○</v>
      </c>
      <c r="AL69" s="884" t="str">
        <f>IF(AND(AL68="×",L75=""),"×","○")</f>
        <v>○</v>
      </c>
      <c r="AM69" s="884" t="str">
        <f>IF(AND(AM68="×",P75=""),"×","○")</f>
        <v>○</v>
      </c>
      <c r="AN69" s="884" t="str">
        <f>IF(AND(AN68="×",T75=""),"×","○")</f>
        <v>○</v>
      </c>
      <c r="AO69" s="884" t="str">
        <f>IF(AND(AO68="×",X75=""),"×","○")</f>
        <v>○</v>
      </c>
      <c r="AP69" s="884" t="str">
        <f>IF(AND(AP68="×",AB75=""),"×","○")</f>
        <v>○</v>
      </c>
      <c r="AQ69" s="1139"/>
      <c r="AR69" s="1139"/>
    </row>
    <row r="70" spans="1:44" s="68" customFormat="1" ht="26.25" customHeight="1" thickBot="1" x14ac:dyDescent="0.25">
      <c r="A70" s="70"/>
      <c r="B70" s="1541"/>
      <c r="C70" s="1651"/>
      <c r="D70" s="1682" t="s">
        <v>125</v>
      </c>
      <c r="E70" s="1683"/>
      <c r="F70" s="1684">
        <f>◎施設管理!L10</f>
        <v>640</v>
      </c>
      <c r="G70" s="1685"/>
      <c r="H70" s="1809"/>
      <c r="I70" s="1810"/>
      <c r="J70" s="1077"/>
      <c r="K70" s="1078" t="s">
        <v>134</v>
      </c>
      <c r="L70" s="1485"/>
      <c r="M70" s="1486"/>
      <c r="N70" s="1149"/>
      <c r="O70" s="333" t="s">
        <v>134</v>
      </c>
      <c r="P70" s="1485"/>
      <c r="Q70" s="1486"/>
      <c r="R70" s="1149"/>
      <c r="S70" s="333" t="s">
        <v>134</v>
      </c>
      <c r="T70" s="1485"/>
      <c r="U70" s="1486"/>
      <c r="V70" s="1149"/>
      <c r="W70" s="333" t="s">
        <v>134</v>
      </c>
      <c r="X70" s="1485"/>
      <c r="Y70" s="1486"/>
      <c r="Z70" s="1149"/>
      <c r="AA70" s="333" t="s">
        <v>134</v>
      </c>
      <c r="AB70" s="1485"/>
      <c r="AC70" s="1486"/>
      <c r="AD70" s="1149"/>
      <c r="AE70" s="333" t="s">
        <v>134</v>
      </c>
      <c r="AF70" s="283"/>
      <c r="AG70" s="283"/>
      <c r="AH70" s="881"/>
      <c r="AI70" s="881"/>
      <c r="AJ70" s="878" t="s">
        <v>494</v>
      </c>
      <c r="AK70" s="881" t="str">
        <f>IF(OR(F21=0,AND(H76&lt;&gt;"",H77&lt;&gt;"",H78&lt;&gt;"",H79&lt;&gt;"")),"○","×")</f>
        <v>○</v>
      </c>
      <c r="AL70" s="882" t="str">
        <f>IF(OR(AA27="",AND(L76&lt;&gt;"",L77&lt;&gt;"",L78&lt;&gt;"",L79&lt;&gt;"")),"○","×")</f>
        <v>○</v>
      </c>
      <c r="AM70" s="882" t="str">
        <f>IF(OR(AB27="",AND(P76&lt;&gt;"",P77&lt;&gt;"",P78&lt;&gt;"",P79&lt;&gt;"")),"○","×")</f>
        <v>○</v>
      </c>
      <c r="AN70" s="882" t="str">
        <f>IF(OR(AC27="",AND(T76&lt;&gt;"",T77&lt;&gt;"",T78&lt;&gt;"",T79&lt;&gt;"")),"○","×")</f>
        <v>○</v>
      </c>
      <c r="AO70" s="881" t="str">
        <f>IF(OR(AD27="",AND(X76&lt;&gt;"",X77&lt;&gt;"",X78&lt;&gt;"",X79&lt;&gt;"")),"○","×")</f>
        <v>○</v>
      </c>
      <c r="AP70" s="881"/>
      <c r="AQ70" s="1139"/>
      <c r="AR70" s="1139"/>
    </row>
    <row r="71" spans="1:44" s="68" customFormat="1" ht="26.25" customHeight="1" x14ac:dyDescent="0.2">
      <c r="A71" s="70"/>
      <c r="B71" s="1541"/>
      <c r="C71" s="1650" t="s">
        <v>259</v>
      </c>
      <c r="D71" s="1664" t="s">
        <v>126</v>
      </c>
      <c r="E71" s="1665"/>
      <c r="F71" s="1666" t="s">
        <v>311</v>
      </c>
      <c r="G71" s="1667"/>
      <c r="H71" s="1477"/>
      <c r="I71" s="1478"/>
      <c r="J71" s="1146"/>
      <c r="K71" s="322" t="s">
        <v>134</v>
      </c>
      <c r="L71" s="1477"/>
      <c r="M71" s="1478"/>
      <c r="N71" s="1150"/>
      <c r="O71" s="330" t="s">
        <v>134</v>
      </c>
      <c r="P71" s="1477"/>
      <c r="Q71" s="1478"/>
      <c r="R71" s="1150"/>
      <c r="S71" s="330" t="s">
        <v>134</v>
      </c>
      <c r="T71" s="1477"/>
      <c r="U71" s="1478"/>
      <c r="V71" s="1150"/>
      <c r="W71" s="330" t="s">
        <v>134</v>
      </c>
      <c r="X71" s="1477"/>
      <c r="Y71" s="1478"/>
      <c r="Z71" s="1150"/>
      <c r="AA71" s="330" t="s">
        <v>134</v>
      </c>
      <c r="AB71" s="1477"/>
      <c r="AC71" s="1478"/>
      <c r="AD71" s="1150"/>
      <c r="AE71" s="330" t="s">
        <v>134</v>
      </c>
      <c r="AF71" s="283"/>
      <c r="AG71" s="283"/>
      <c r="AH71" s="881"/>
      <c r="AI71" s="881"/>
      <c r="AJ71" s="881"/>
      <c r="AK71" s="883" t="str">
        <f>IF(AND(AK70="×",H80=""),"×","○")</f>
        <v>○</v>
      </c>
      <c r="AL71" s="884" t="str">
        <f>IF(AND(AL70="×",L80=""),"×","○")</f>
        <v>○</v>
      </c>
      <c r="AM71" s="884" t="str">
        <f>IF(AND(AM70="×",P80=""),"×","○")</f>
        <v>○</v>
      </c>
      <c r="AN71" s="884" t="str">
        <f>IF(AND(AN70="×",T80=""),"×","○")</f>
        <v>○</v>
      </c>
      <c r="AO71" s="883" t="str">
        <f>IF(AND(AO70="×",X80=""),"×","○")</f>
        <v>○</v>
      </c>
      <c r="AP71" s="883"/>
      <c r="AQ71" s="1139"/>
      <c r="AR71" s="1139"/>
    </row>
    <row r="72" spans="1:44" s="68" customFormat="1" ht="26.25" customHeight="1" x14ac:dyDescent="0.2">
      <c r="A72" s="70"/>
      <c r="B72" s="1541"/>
      <c r="C72" s="1650"/>
      <c r="D72" s="1807" t="s">
        <v>127</v>
      </c>
      <c r="E72" s="1808"/>
      <c r="F72" s="1654">
        <f>◎施設管理!M10</f>
        <v>400</v>
      </c>
      <c r="G72" s="1655"/>
      <c r="H72" s="1483"/>
      <c r="I72" s="1484"/>
      <c r="J72" s="1146"/>
      <c r="K72" s="321" t="s">
        <v>134</v>
      </c>
      <c r="L72" s="1483"/>
      <c r="M72" s="1484"/>
      <c r="N72" s="1151"/>
      <c r="O72" s="321" t="s">
        <v>134</v>
      </c>
      <c r="P72" s="1483"/>
      <c r="Q72" s="1484"/>
      <c r="R72" s="1151"/>
      <c r="S72" s="321" t="s">
        <v>134</v>
      </c>
      <c r="T72" s="1483"/>
      <c r="U72" s="1484"/>
      <c r="V72" s="1151"/>
      <c r="W72" s="321" t="s">
        <v>134</v>
      </c>
      <c r="X72" s="1483"/>
      <c r="Y72" s="1484"/>
      <c r="Z72" s="1151"/>
      <c r="AA72" s="321" t="s">
        <v>134</v>
      </c>
      <c r="AB72" s="1483"/>
      <c r="AC72" s="1484"/>
      <c r="AD72" s="1151"/>
      <c r="AE72" s="321" t="s">
        <v>134</v>
      </c>
      <c r="AF72" s="283"/>
      <c r="AG72" s="283"/>
      <c r="AH72" s="881"/>
      <c r="AI72" s="881"/>
      <c r="AJ72" s="883" t="s">
        <v>351</v>
      </c>
      <c r="AK72" s="885">
        <f>COUNT(J71,J72,J73,J74,J76,J77,J78,J79,N67,N68,N69,N70,N71,N72,N73,N74,N76,N77,N78,N79,R67,R68,R69,R70,R71,R72,R73,R74,R76,R77,R78,R79,V67,V68,V69,V70,V71,V72,V73,V74,V76,V77,V78,V79,Z67,Z68,Z69,Z70,Z71,Z72,Z73,Z74,Z76,Z77,Z78,Z79,AD67,AD68,AD69,AD70,AD71,AD72,AD73,AD74)</f>
        <v>0</v>
      </c>
      <c r="AL72" s="886" t="str">
        <f>IF(AND(H60="あり",AK72=0),"×","○")</f>
        <v>○</v>
      </c>
      <c r="AM72" s="881"/>
      <c r="AN72" s="881"/>
      <c r="AO72" s="881"/>
      <c r="AP72" s="881"/>
      <c r="AQ72" s="1139"/>
      <c r="AR72" s="1139"/>
    </row>
    <row r="73" spans="1:44" s="68" customFormat="1" ht="26.25" customHeight="1" x14ac:dyDescent="0.2">
      <c r="A73" s="70"/>
      <c r="B73" s="1541"/>
      <c r="C73" s="1650"/>
      <c r="D73" s="1661" t="s">
        <v>84</v>
      </c>
      <c r="E73" s="1662"/>
      <c r="F73" s="1769">
        <f>◎施設管理!N10</f>
        <v>550</v>
      </c>
      <c r="G73" s="1770"/>
      <c r="H73" s="1483"/>
      <c r="I73" s="1484"/>
      <c r="J73" s="1146"/>
      <c r="K73" s="321" t="s">
        <v>134</v>
      </c>
      <c r="L73" s="1483"/>
      <c r="M73" s="1484"/>
      <c r="N73" s="1151"/>
      <c r="O73" s="321" t="s">
        <v>134</v>
      </c>
      <c r="P73" s="1483"/>
      <c r="Q73" s="1484"/>
      <c r="R73" s="1151"/>
      <c r="S73" s="321" t="s">
        <v>134</v>
      </c>
      <c r="T73" s="1483"/>
      <c r="U73" s="1484"/>
      <c r="V73" s="1151"/>
      <c r="W73" s="321" t="s">
        <v>134</v>
      </c>
      <c r="X73" s="1483"/>
      <c r="Y73" s="1484"/>
      <c r="Z73" s="1151"/>
      <c r="AA73" s="321" t="s">
        <v>134</v>
      </c>
      <c r="AB73" s="1483"/>
      <c r="AC73" s="1484"/>
      <c r="AD73" s="1151"/>
      <c r="AE73" s="321" t="s">
        <v>134</v>
      </c>
      <c r="AF73" s="283"/>
      <c r="AG73" s="283"/>
      <c r="AH73" s="881"/>
      <c r="AI73" s="881"/>
      <c r="AJ73" s="881"/>
      <c r="AK73" s="887" t="str">
        <f>IF(AND(AK74="○",AK75="○",AL73="○",AL74="○",AL75="○",AM73="○",AM74="○",AM75="○",AN73="○",AN74="○",AN75="○",AO73="○",AO74="○",AO75="○",AP73="○",AP74="○"),"○","×")</f>
        <v>○</v>
      </c>
      <c r="AL73" s="888" t="str">
        <f>IF(AND(AA25="",OR(L67&lt;&gt;"",L68&lt;&gt;"",L69&lt;&gt;"",L70&lt;&gt;"",N67&lt;&gt;"",N68&lt;&gt;"",N69&lt;&gt;"",N70&lt;&gt;"")),"×","○")</f>
        <v>○</v>
      </c>
      <c r="AM73" s="888" t="str">
        <f>IF(AND(AB25="",OR(P67&lt;&gt;"",P68&lt;&gt;"",P69&lt;&gt;"",P70&lt;&gt;"",R67&lt;&gt;"",R68&lt;&gt;"",R69&lt;&gt;"",R70&lt;&gt;"")),"×","○")</f>
        <v>○</v>
      </c>
      <c r="AN73" s="888" t="str">
        <f>IF(AND(AC25="",OR(T67&lt;&gt;"",T68&lt;&gt;"",T69&lt;&gt;"",T70&lt;&gt;"",V67&lt;&gt;"",V68&lt;&gt;"",V69&lt;&gt;"",V70&lt;&gt;"")),"×","○")</f>
        <v>○</v>
      </c>
      <c r="AO73" s="888" t="str">
        <f>IF(AND(AD25="",OR(X67&lt;&gt;"",X68&lt;&gt;"",X69&lt;&gt;"",X70&lt;&gt;"",Z67&lt;&gt;"",Z68&lt;&gt;"",Z69&lt;&gt;"",Z70&lt;&gt;"")),"×","○")</f>
        <v>○</v>
      </c>
      <c r="AP73" s="888" t="str">
        <f>IF(AND(AE25="",OR(AB67&lt;&gt;"",AB68&lt;&gt;"",AB69&lt;&gt;"",AB70&lt;&gt;"",AD67&lt;&gt;"",AD68&lt;&gt;"",AD69&lt;&gt;"",AD70&lt;&gt;"")),"×","○")</f>
        <v>○</v>
      </c>
      <c r="AQ73" s="1139"/>
      <c r="AR73" s="1139"/>
    </row>
    <row r="74" spans="1:44" s="68" customFormat="1" ht="26.25" customHeight="1" x14ac:dyDescent="0.2">
      <c r="A74" s="70"/>
      <c r="B74" s="1541"/>
      <c r="C74" s="1650"/>
      <c r="D74" s="1537" t="s">
        <v>125</v>
      </c>
      <c r="E74" s="1663"/>
      <c r="F74" s="1652">
        <f>◎施設管理!O10</f>
        <v>670</v>
      </c>
      <c r="G74" s="1653"/>
      <c r="H74" s="1563"/>
      <c r="I74" s="1564"/>
      <c r="J74" s="1146"/>
      <c r="K74" s="321" t="s">
        <v>134</v>
      </c>
      <c r="L74" s="1563"/>
      <c r="M74" s="1564"/>
      <c r="N74" s="1146"/>
      <c r="O74" s="331" t="s">
        <v>134</v>
      </c>
      <c r="P74" s="1563"/>
      <c r="Q74" s="1564"/>
      <c r="R74" s="1146"/>
      <c r="S74" s="331" t="s">
        <v>134</v>
      </c>
      <c r="T74" s="1563"/>
      <c r="U74" s="1564"/>
      <c r="V74" s="1146"/>
      <c r="W74" s="331" t="s">
        <v>134</v>
      </c>
      <c r="X74" s="1563"/>
      <c r="Y74" s="1564"/>
      <c r="Z74" s="1146"/>
      <c r="AA74" s="331" t="s">
        <v>134</v>
      </c>
      <c r="AB74" s="1563"/>
      <c r="AC74" s="1564"/>
      <c r="AD74" s="1146"/>
      <c r="AE74" s="331" t="s">
        <v>134</v>
      </c>
      <c r="AF74" s="283"/>
      <c r="AG74" s="283"/>
      <c r="AH74" s="881"/>
      <c r="AI74" s="881"/>
      <c r="AJ74" s="881"/>
      <c r="AK74" s="881" t="str">
        <f>IF(AND(Z26="",OR(H71&lt;&gt;"",H72&lt;&gt;"",H73&lt;&gt;"",H74&lt;&gt;"",J71&lt;&gt;"",J72&lt;&gt;"",J73&lt;&gt;"",J74&lt;&gt;"",H75&lt;&gt;"")),"×","○")</f>
        <v>○</v>
      </c>
      <c r="AL74" s="888" t="str">
        <f>IF(AND(AA26="",OR(L71&lt;&gt;"",L72&lt;&gt;"",L73&lt;&gt;"",L74&lt;&gt;"",N71&lt;&gt;"",N72&lt;&gt;"",N73&lt;&gt;"",N74&lt;&gt;"",L75&lt;&gt;"")),"×","○")</f>
        <v>○</v>
      </c>
      <c r="AM74" s="888" t="str">
        <f>IF(AND(AB26="",OR(P71&lt;&gt;"",P72&lt;&gt;"",P73&lt;&gt;"",P74&lt;&gt;"",R71&lt;&gt;"",R72&lt;&gt;"",R73&lt;&gt;"",R74&lt;&gt;"",P75&lt;&gt;"")),"×","○")</f>
        <v>○</v>
      </c>
      <c r="AN74" s="888" t="str">
        <f>IF(AND(AC26="",OR(T71&lt;&gt;"",T72&lt;&gt;"",T73&lt;&gt;"",T74&lt;&gt;"",V71&lt;&gt;"",V72&lt;&gt;"",V73&lt;&gt;"",V74&lt;&gt;"",T75&lt;&gt;"")),"×","○")</f>
        <v>○</v>
      </c>
      <c r="AO74" s="888" t="str">
        <f>IF(AND(AD26="",OR(X71&lt;&gt;"",X72&lt;&gt;"",X73&lt;&gt;"",X74&lt;&gt;"",Z71&lt;&gt;"",Z72&lt;&gt;"",Z73&lt;&gt;"",Z74&lt;&gt;"",X75&lt;&gt;"")),"×","○")</f>
        <v>○</v>
      </c>
      <c r="AP74" s="888" t="str">
        <f>IF(AND(AE26="",OR(AB71&lt;&gt;"",AB72&lt;&gt;"",AB73&lt;&gt;"",AB74&lt;&gt;"",AD71&lt;&gt;"",AD72&lt;&gt;"",AD73&lt;&gt;"",AD74&lt;&gt;"",AB75&lt;&gt;"")),"×","○")</f>
        <v>○</v>
      </c>
      <c r="AQ74" s="1139"/>
      <c r="AR74" s="1139"/>
    </row>
    <row r="75" spans="1:44" s="68" customFormat="1" ht="26.25" customHeight="1" thickBot="1" x14ac:dyDescent="0.25">
      <c r="A75" s="70"/>
      <c r="B75" s="1541"/>
      <c r="C75" s="1651"/>
      <c r="D75" s="1658" t="s">
        <v>312</v>
      </c>
      <c r="E75" s="1659"/>
      <c r="F75" s="1659"/>
      <c r="G75" s="1660"/>
      <c r="H75" s="1565"/>
      <c r="I75" s="1566"/>
      <c r="J75" s="1566"/>
      <c r="K75" s="325" t="s">
        <v>244</v>
      </c>
      <c r="L75" s="1565"/>
      <c r="M75" s="1566"/>
      <c r="N75" s="1566"/>
      <c r="O75" s="325" t="s">
        <v>244</v>
      </c>
      <c r="P75" s="1565"/>
      <c r="Q75" s="1566"/>
      <c r="R75" s="1566"/>
      <c r="S75" s="325" t="s">
        <v>244</v>
      </c>
      <c r="T75" s="1565"/>
      <c r="U75" s="1566"/>
      <c r="V75" s="1566"/>
      <c r="W75" s="325" t="s">
        <v>244</v>
      </c>
      <c r="X75" s="1565"/>
      <c r="Y75" s="1566"/>
      <c r="Z75" s="1566"/>
      <c r="AA75" s="325" t="s">
        <v>244</v>
      </c>
      <c r="AB75" s="1565"/>
      <c r="AC75" s="1566"/>
      <c r="AD75" s="1566"/>
      <c r="AE75" s="325" t="s">
        <v>244</v>
      </c>
      <c r="AF75" s="289"/>
      <c r="AG75" s="289"/>
      <c r="AH75" s="882"/>
      <c r="AI75" s="882"/>
      <c r="AJ75" s="882"/>
      <c r="AK75" s="881" t="str">
        <f>IF(AND(Z27="",OR(H76&lt;&gt;"",H77&lt;&gt;"",H78&lt;&gt;"",H79&lt;&gt;"",J76&lt;&gt;"",J77&lt;&gt;"",J78&lt;&gt;"",J79&lt;&gt;"",H80&lt;&gt;"")),"×","○")</f>
        <v>○</v>
      </c>
      <c r="AL75" s="888" t="str">
        <f>IF(AND(AA27="",OR(L76&lt;&gt;"",L77&lt;&gt;"",L78&lt;&gt;"",L79&lt;&gt;"",N76&lt;&gt;"",N77&lt;&gt;"",N78&lt;&gt;"",N79&lt;&gt;"",L80&lt;&gt;"")),"×","○")</f>
        <v>○</v>
      </c>
      <c r="AM75" s="888" t="str">
        <f>IF(AND(AB27="",OR(P76&lt;&gt;"",P77&lt;&gt;"",P78&lt;&gt;"",P79&lt;&gt;"",R76&lt;&gt;"",R77&lt;&gt;"",R78&lt;&gt;"",R79&lt;&gt;"",P80&lt;&gt;"")),"×","○")</f>
        <v>○</v>
      </c>
      <c r="AN75" s="888" t="str">
        <f>IF(AND(AC27="",OR(T76&lt;&gt;"",T77&lt;&gt;"",T78&lt;&gt;"",T79&lt;&gt;"",V76&lt;&gt;"",V77&lt;&gt;"",V78&lt;&gt;"",V79&lt;&gt;"",T80&lt;&gt;"")),"×","○")</f>
        <v>○</v>
      </c>
      <c r="AO75" s="888" t="str">
        <f>IF(AND(AD27="",OR(X76&lt;&gt;"",X77&lt;&gt;"",X78&lt;&gt;"",X79&lt;&gt;"",Z76&lt;&gt;"",Z77&lt;&gt;"",Z78&lt;&gt;"",Z79&lt;&gt;"",X80&lt;&gt;"")),"×","○")</f>
        <v>○</v>
      </c>
      <c r="AP75" s="889"/>
      <c r="AQ75" s="1139"/>
      <c r="AR75" s="1139"/>
    </row>
    <row r="76" spans="1:44" s="68" customFormat="1" ht="26.25" customHeight="1" x14ac:dyDescent="0.2">
      <c r="A76" s="70"/>
      <c r="B76" s="1541"/>
      <c r="C76" s="1817" t="s">
        <v>260</v>
      </c>
      <c r="D76" s="1664" t="s">
        <v>126</v>
      </c>
      <c r="E76" s="1805"/>
      <c r="F76" s="1823" t="s">
        <v>311</v>
      </c>
      <c r="G76" s="1667"/>
      <c r="H76" s="1477"/>
      <c r="I76" s="1478"/>
      <c r="J76" s="1147"/>
      <c r="K76" s="330" t="s">
        <v>134</v>
      </c>
      <c r="L76" s="1477"/>
      <c r="M76" s="1478"/>
      <c r="N76" s="1150"/>
      <c r="O76" s="330" t="s">
        <v>134</v>
      </c>
      <c r="P76" s="1477"/>
      <c r="Q76" s="1478"/>
      <c r="R76" s="1150"/>
      <c r="S76" s="330" t="s">
        <v>134</v>
      </c>
      <c r="T76" s="1477"/>
      <c r="U76" s="1478"/>
      <c r="V76" s="1150"/>
      <c r="W76" s="330" t="s">
        <v>134</v>
      </c>
      <c r="X76" s="1477"/>
      <c r="Y76" s="1478"/>
      <c r="Z76" s="1150"/>
      <c r="AA76" s="330" t="s">
        <v>134</v>
      </c>
      <c r="AB76" s="1824"/>
      <c r="AC76" s="1825"/>
      <c r="AD76" s="1079"/>
      <c r="AE76" s="1080" t="s">
        <v>134</v>
      </c>
      <c r="AF76" s="289"/>
      <c r="AG76" s="289"/>
      <c r="AH76" s="882"/>
      <c r="AI76" s="882"/>
      <c r="AJ76" s="881"/>
      <c r="AK76" s="881"/>
      <c r="AL76" s="881"/>
      <c r="AM76" s="881"/>
      <c r="AN76" s="881"/>
      <c r="AO76" s="890"/>
      <c r="AP76" s="890"/>
      <c r="AQ76" s="1139"/>
      <c r="AR76" s="1139"/>
    </row>
    <row r="77" spans="1:44" s="68" customFormat="1" ht="26.25" customHeight="1" x14ac:dyDescent="0.2">
      <c r="A77" s="70"/>
      <c r="B77" s="1541"/>
      <c r="C77" s="1818"/>
      <c r="D77" s="1807" t="s">
        <v>127</v>
      </c>
      <c r="E77" s="1833"/>
      <c r="F77" s="1811">
        <f>◎施設管理!P10</f>
        <v>440</v>
      </c>
      <c r="G77" s="1655"/>
      <c r="H77" s="1483"/>
      <c r="I77" s="1484"/>
      <c r="J77" s="1147"/>
      <c r="K77" s="321" t="s">
        <v>134</v>
      </c>
      <c r="L77" s="1483"/>
      <c r="M77" s="1484"/>
      <c r="N77" s="1151"/>
      <c r="O77" s="321" t="s">
        <v>134</v>
      </c>
      <c r="P77" s="1483"/>
      <c r="Q77" s="1484"/>
      <c r="R77" s="1151"/>
      <c r="S77" s="321" t="s">
        <v>134</v>
      </c>
      <c r="T77" s="1483"/>
      <c r="U77" s="1484"/>
      <c r="V77" s="1151"/>
      <c r="W77" s="321" t="s">
        <v>134</v>
      </c>
      <c r="X77" s="1483"/>
      <c r="Y77" s="1484"/>
      <c r="Z77" s="1151"/>
      <c r="AA77" s="321" t="s">
        <v>134</v>
      </c>
      <c r="AB77" s="1690"/>
      <c r="AC77" s="1691"/>
      <c r="AD77" s="1081"/>
      <c r="AE77" s="1076" t="s">
        <v>134</v>
      </c>
      <c r="AF77" s="289"/>
      <c r="AG77" s="289"/>
      <c r="AH77" s="289"/>
      <c r="AI77" s="1141"/>
      <c r="AJ77" s="1140"/>
      <c r="AK77" s="1140"/>
      <c r="AL77" s="1140"/>
      <c r="AM77" s="1140"/>
      <c r="AN77" s="1140"/>
      <c r="AO77" s="1139"/>
      <c r="AP77" s="1139"/>
      <c r="AQ77" s="1139"/>
      <c r="AR77" s="1139"/>
    </row>
    <row r="78" spans="1:44" s="68" customFormat="1" ht="26.25" customHeight="1" x14ac:dyDescent="0.2">
      <c r="A78" s="70"/>
      <c r="B78" s="1541"/>
      <c r="C78" s="1818"/>
      <c r="D78" s="1661" t="s">
        <v>84</v>
      </c>
      <c r="E78" s="1812"/>
      <c r="F78" s="1806">
        <f>◎施設管理!Q10</f>
        <v>880</v>
      </c>
      <c r="G78" s="1770"/>
      <c r="H78" s="1483"/>
      <c r="I78" s="1484"/>
      <c r="J78" s="1147"/>
      <c r="K78" s="321" t="s">
        <v>134</v>
      </c>
      <c r="L78" s="1483"/>
      <c r="M78" s="1484"/>
      <c r="N78" s="1151"/>
      <c r="O78" s="321" t="s">
        <v>134</v>
      </c>
      <c r="P78" s="1483"/>
      <c r="Q78" s="1484"/>
      <c r="R78" s="1151"/>
      <c r="S78" s="321" t="s">
        <v>134</v>
      </c>
      <c r="T78" s="1483"/>
      <c r="U78" s="1484"/>
      <c r="V78" s="1151"/>
      <c r="W78" s="321" t="s">
        <v>134</v>
      </c>
      <c r="X78" s="1483"/>
      <c r="Y78" s="1484"/>
      <c r="Z78" s="1151"/>
      <c r="AA78" s="321" t="s">
        <v>134</v>
      </c>
      <c r="AB78" s="1690"/>
      <c r="AC78" s="1691"/>
      <c r="AD78" s="1081"/>
      <c r="AE78" s="1076" t="s">
        <v>134</v>
      </c>
      <c r="AF78" s="289"/>
      <c r="AG78" s="289"/>
      <c r="AH78" s="289"/>
      <c r="AI78" s="1045"/>
      <c r="AJ78" s="1046"/>
      <c r="AK78" s="1046"/>
      <c r="AL78" s="1046"/>
      <c r="AM78" s="1046"/>
      <c r="AN78" s="1046"/>
      <c r="AO78" s="1043"/>
      <c r="AP78" s="1043"/>
      <c r="AQ78" s="1043"/>
    </row>
    <row r="79" spans="1:44" s="68" customFormat="1" ht="26.25" customHeight="1" x14ac:dyDescent="0.2">
      <c r="A79" s="70"/>
      <c r="B79" s="1541"/>
      <c r="C79" s="1818"/>
      <c r="D79" s="1537" t="s">
        <v>125</v>
      </c>
      <c r="E79" s="1538"/>
      <c r="F79" s="1813">
        <f>◎施設管理!R10</f>
        <v>1090</v>
      </c>
      <c r="G79" s="1653"/>
      <c r="H79" s="1563"/>
      <c r="I79" s="1564"/>
      <c r="J79" s="1147"/>
      <c r="K79" s="331" t="s">
        <v>134</v>
      </c>
      <c r="L79" s="1563"/>
      <c r="M79" s="1564"/>
      <c r="N79" s="1146"/>
      <c r="O79" s="331" t="s">
        <v>134</v>
      </c>
      <c r="P79" s="1563"/>
      <c r="Q79" s="1564"/>
      <c r="R79" s="1146"/>
      <c r="S79" s="331" t="s">
        <v>134</v>
      </c>
      <c r="T79" s="1563"/>
      <c r="U79" s="1564"/>
      <c r="V79" s="1146"/>
      <c r="W79" s="331" t="s">
        <v>134</v>
      </c>
      <c r="X79" s="1563"/>
      <c r="Y79" s="1564"/>
      <c r="Z79" s="1146"/>
      <c r="AA79" s="331" t="s">
        <v>134</v>
      </c>
      <c r="AB79" s="1767"/>
      <c r="AC79" s="1768"/>
      <c r="AD79" s="1082"/>
      <c r="AE79" s="1083" t="s">
        <v>134</v>
      </c>
      <c r="AF79" s="289"/>
      <c r="AG79" s="289"/>
      <c r="AH79" s="289"/>
      <c r="AI79" s="1045"/>
      <c r="AJ79" s="1044"/>
      <c r="AK79" s="1044"/>
      <c r="AL79" s="1044"/>
      <c r="AM79" s="1044"/>
      <c r="AN79" s="1044"/>
      <c r="AO79" s="1043"/>
      <c r="AP79" s="1043"/>
      <c r="AQ79" s="1043"/>
    </row>
    <row r="80" spans="1:44" s="68" customFormat="1" ht="26.25" customHeight="1" thickBot="1" x14ac:dyDescent="0.25">
      <c r="A80" s="70"/>
      <c r="B80" s="1541"/>
      <c r="C80" s="1819"/>
      <c r="D80" s="1820" t="s">
        <v>312</v>
      </c>
      <c r="E80" s="1821"/>
      <c r="F80" s="1821"/>
      <c r="G80" s="1822"/>
      <c r="H80" s="1565"/>
      <c r="I80" s="1566"/>
      <c r="J80" s="1566"/>
      <c r="K80" s="332" t="s">
        <v>244</v>
      </c>
      <c r="L80" s="1565"/>
      <c r="M80" s="1566"/>
      <c r="N80" s="1566"/>
      <c r="O80" s="332" t="s">
        <v>244</v>
      </c>
      <c r="P80" s="1565"/>
      <c r="Q80" s="1566"/>
      <c r="R80" s="1566"/>
      <c r="S80" s="332" t="s">
        <v>244</v>
      </c>
      <c r="T80" s="1565"/>
      <c r="U80" s="1566"/>
      <c r="V80" s="1566"/>
      <c r="W80" s="332" t="s">
        <v>244</v>
      </c>
      <c r="X80" s="1565"/>
      <c r="Y80" s="1566"/>
      <c r="Z80" s="1566"/>
      <c r="AA80" s="332" t="s">
        <v>244</v>
      </c>
      <c r="AB80" s="1765"/>
      <c r="AC80" s="1766"/>
      <c r="AD80" s="1766"/>
      <c r="AE80" s="1084" t="s">
        <v>244</v>
      </c>
      <c r="AF80" s="289"/>
      <c r="AG80" s="289"/>
      <c r="AH80" s="289"/>
      <c r="AI80" s="289"/>
      <c r="AJ80" s="283"/>
      <c r="AK80" s="283"/>
      <c r="AL80" s="283"/>
      <c r="AM80" s="283"/>
      <c r="AN80" s="283"/>
    </row>
    <row r="81" spans="1:42" ht="11.25" customHeight="1" thickBot="1" x14ac:dyDescent="0.2">
      <c r="A81" s="347"/>
      <c r="B81" s="1054"/>
      <c r="C81" s="355"/>
      <c r="D81" s="1055"/>
      <c r="E81" s="1055"/>
      <c r="F81" s="1055"/>
      <c r="G81" s="1055"/>
      <c r="H81" s="1055"/>
      <c r="I81" s="1055"/>
      <c r="J81" s="1055"/>
      <c r="K81" s="1055"/>
      <c r="L81" s="1056"/>
      <c r="M81" s="1056"/>
      <c r="N81" s="1056"/>
      <c r="O81" s="1056"/>
      <c r="P81" s="1056"/>
      <c r="Q81" s="1056"/>
      <c r="R81" s="1057"/>
      <c r="S81" s="1057"/>
      <c r="T81" s="1057"/>
      <c r="U81" s="1057"/>
      <c r="V81" s="1058"/>
      <c r="W81" s="1059"/>
      <c r="X81" s="1059"/>
      <c r="Y81" s="1059"/>
      <c r="Z81" s="1059"/>
      <c r="AA81" s="1059"/>
      <c r="AB81" s="1059"/>
      <c r="AC81" s="1059"/>
      <c r="AD81" s="1059"/>
      <c r="AE81" s="1059"/>
      <c r="AF81" s="356"/>
      <c r="AG81" s="356"/>
      <c r="AH81" s="356"/>
      <c r="AI81" s="356"/>
      <c r="AJ81" s="222"/>
      <c r="AK81" s="222"/>
    </row>
    <row r="82" spans="1:42" ht="33.75" customHeight="1" thickBot="1" x14ac:dyDescent="0.2">
      <c r="A82" s="347"/>
      <c r="B82" s="556" t="str">
        <f>IF(U82="","×","○")</f>
        <v>×</v>
      </c>
      <c r="C82" s="1469" t="s">
        <v>472</v>
      </c>
      <c r="D82" s="1470"/>
      <c r="E82" s="1470"/>
      <c r="F82" s="1470"/>
      <c r="G82" s="1470"/>
      <c r="H82" s="1470"/>
      <c r="I82" s="1470"/>
      <c r="J82" s="1470"/>
      <c r="K82" s="1470"/>
      <c r="L82" s="1470"/>
      <c r="M82" s="1470"/>
      <c r="N82" s="1470"/>
      <c r="O82" s="1470"/>
      <c r="P82" s="1470"/>
      <c r="Q82" s="1470"/>
      <c r="R82" s="1470"/>
      <c r="S82" s="1470"/>
      <c r="T82" s="1471"/>
      <c r="U82" s="1472"/>
      <c r="V82" s="1473"/>
      <c r="W82" s="356"/>
      <c r="X82" s="356"/>
      <c r="Y82" s="356"/>
      <c r="Z82" s="356"/>
      <c r="AA82" s="356"/>
      <c r="AB82" s="356"/>
      <c r="AC82" s="356"/>
      <c r="AD82" s="356"/>
      <c r="AE82" s="356"/>
      <c r="AF82" s="356"/>
      <c r="AG82" s="356"/>
      <c r="AH82" s="356"/>
      <c r="AI82" s="222"/>
      <c r="AJ82" s="222"/>
      <c r="AK82" s="2"/>
    </row>
    <row r="83" spans="1:42" s="347" customFormat="1" ht="7.5" customHeight="1" x14ac:dyDescent="0.15">
      <c r="A83" s="1054"/>
      <c r="B83" s="1069"/>
      <c r="C83" s="1070"/>
      <c r="D83" s="1070"/>
      <c r="E83" s="1070"/>
      <c r="F83" s="1070"/>
      <c r="G83" s="1070"/>
      <c r="H83" s="1070"/>
      <c r="I83" s="1070"/>
      <c r="J83" s="1070"/>
      <c r="K83" s="1070"/>
      <c r="L83" s="1070"/>
      <c r="M83" s="1070"/>
      <c r="N83" s="1070"/>
      <c r="O83" s="1070"/>
      <c r="P83" s="1070"/>
      <c r="Q83" s="1070"/>
      <c r="R83" s="1070"/>
      <c r="S83" s="1070"/>
      <c r="T83" s="1070"/>
      <c r="U83" s="1071"/>
      <c r="V83" s="1071"/>
      <c r="W83" s="1059"/>
      <c r="X83" s="1059"/>
      <c r="Y83" s="356"/>
      <c r="Z83" s="356"/>
      <c r="AA83" s="356"/>
      <c r="AB83" s="356"/>
      <c r="AC83" s="356"/>
      <c r="AD83" s="356"/>
      <c r="AE83" s="356"/>
      <c r="AF83" s="356"/>
      <c r="AG83" s="356"/>
      <c r="AH83" s="356"/>
      <c r="AI83" s="358"/>
      <c r="AJ83" s="358"/>
      <c r="AK83" s="39"/>
    </row>
    <row r="84" spans="1:42" ht="22.5" customHeight="1" x14ac:dyDescent="0.2">
      <c r="B84" s="1831" t="s">
        <v>464</v>
      </c>
      <c r="C84" s="1831"/>
      <c r="D84" s="1831"/>
      <c r="E84" s="1831"/>
      <c r="F84" s="1831"/>
      <c r="G84" s="1831"/>
      <c r="H84" s="1831"/>
      <c r="I84" s="170"/>
      <c r="J84" s="170"/>
      <c r="K84" s="170"/>
      <c r="L84" s="170"/>
      <c r="M84" s="170"/>
      <c r="N84" s="170"/>
      <c r="O84" s="170"/>
      <c r="P84" s="47"/>
      <c r="Q84" s="47"/>
      <c r="R84" s="47"/>
      <c r="S84" s="223"/>
      <c r="T84" s="170"/>
      <c r="U84" s="170"/>
      <c r="V84" s="170"/>
      <c r="W84" s="170"/>
      <c r="Z84" s="284"/>
      <c r="AA84" s="283"/>
      <c r="AB84" s="283"/>
      <c r="AC84" s="283"/>
      <c r="AD84" s="283"/>
      <c r="AE84" s="68"/>
      <c r="AF84" s="68"/>
      <c r="AG84" s="177"/>
      <c r="AH84" s="177"/>
      <c r="AJ84" s="177"/>
      <c r="AK84" s="177"/>
      <c r="AL84" s="68"/>
      <c r="AM84" s="68"/>
      <c r="AN84" s="68"/>
      <c r="AO84" s="68"/>
      <c r="AP84" s="68"/>
    </row>
    <row r="85" spans="1:42" ht="37.5" customHeight="1" x14ac:dyDescent="0.15">
      <c r="A85" s="2"/>
      <c r="B85" s="2"/>
      <c r="C85" s="1601" t="s">
        <v>463</v>
      </c>
      <c r="D85" s="1601"/>
      <c r="E85" s="1601"/>
      <c r="F85" s="1601"/>
      <c r="G85" s="1601"/>
      <c r="H85" s="1601"/>
      <c r="I85" s="1601"/>
      <c r="J85" s="1601"/>
      <c r="K85" s="1601"/>
      <c r="L85" s="1601"/>
      <c r="M85" s="1601"/>
      <c r="N85" s="1601"/>
      <c r="O85" s="1601"/>
      <c r="P85" s="1601"/>
      <c r="Q85" s="1601"/>
      <c r="R85" s="1601"/>
      <c r="S85" s="1601"/>
      <c r="T85" s="1601"/>
      <c r="U85" s="1601"/>
      <c r="V85" s="1601"/>
      <c r="W85" s="538"/>
      <c r="AB85" s="357"/>
      <c r="AC85" s="357"/>
      <c r="AD85" s="357"/>
      <c r="AE85" s="357"/>
      <c r="AF85" s="357"/>
      <c r="AG85" s="290"/>
      <c r="AH85" s="290"/>
      <c r="AI85" s="290"/>
      <c r="AK85" s="2"/>
    </row>
    <row r="86" spans="1:42" ht="7.5" customHeight="1" thickBot="1" x14ac:dyDescent="0.2">
      <c r="C86" s="146"/>
      <c r="D86" s="173"/>
      <c r="E86" s="172"/>
      <c r="F86" s="172"/>
      <c r="G86" s="172"/>
      <c r="H86" s="172"/>
      <c r="I86" s="172"/>
      <c r="J86" s="172"/>
      <c r="K86" s="172"/>
      <c r="L86" s="172"/>
      <c r="M86" s="172"/>
      <c r="N86" s="172"/>
      <c r="O86" s="172"/>
      <c r="P86" s="172"/>
      <c r="Q86" s="172"/>
      <c r="R86" s="172"/>
      <c r="S86" s="172"/>
      <c r="T86" s="172"/>
      <c r="U86" s="172"/>
      <c r="V86" s="171"/>
      <c r="W86" s="171"/>
      <c r="X86" s="171"/>
      <c r="Y86" s="171"/>
      <c r="Z86" s="171"/>
      <c r="AA86" s="171"/>
      <c r="AB86" s="171"/>
      <c r="AC86" s="171"/>
      <c r="AD86" s="171"/>
      <c r="AE86" s="357"/>
      <c r="AK86" s="2"/>
    </row>
    <row r="87" spans="1:42" ht="30" customHeight="1" thickBot="1" x14ac:dyDescent="0.2">
      <c r="A87" s="2"/>
      <c r="B87" s="1541" t="str">
        <f>IF(AND(P88="○",P89="○",P90="○",P87="○",OR(I88&lt;&gt;"",D89&lt;&gt;"",D90&lt;&gt;"")),"○","×")</f>
        <v>×</v>
      </c>
      <c r="C87" s="298"/>
      <c r="D87" s="1575" t="s">
        <v>11</v>
      </c>
      <c r="E87" s="1576"/>
      <c r="F87" s="1576"/>
      <c r="G87" s="1576"/>
      <c r="H87" s="1576"/>
      <c r="I87" s="1576"/>
      <c r="J87" s="1576"/>
      <c r="K87" s="1576"/>
      <c r="L87" s="1703"/>
      <c r="M87" s="1575" t="s">
        <v>12</v>
      </c>
      <c r="N87" s="1576"/>
      <c r="O87" s="1577"/>
      <c r="P87" s="848" t="str">
        <f>IF(Q87=R87,"○","×")</f>
        <v>○</v>
      </c>
      <c r="Q87" s="849">
        <f>COUNTA(I88,D89,D90)</f>
        <v>0</v>
      </c>
      <c r="R87" s="849">
        <f>COUNTA(M88:M90)</f>
        <v>0</v>
      </c>
      <c r="S87" s="849"/>
      <c r="AE87" s="357"/>
      <c r="AG87" s="2"/>
      <c r="AH87" s="2"/>
      <c r="AK87" s="2"/>
    </row>
    <row r="88" spans="1:42" ht="30" customHeight="1" x14ac:dyDescent="0.15">
      <c r="A88" s="2"/>
      <c r="B88" s="1541"/>
      <c r="C88" s="299" t="s">
        <v>242</v>
      </c>
      <c r="D88" s="363"/>
      <c r="E88" s="1764" t="s">
        <v>239</v>
      </c>
      <c r="F88" s="1764"/>
      <c r="G88" s="1764"/>
      <c r="H88" s="1764"/>
      <c r="I88" s="1476"/>
      <c r="J88" s="1476"/>
      <c r="K88" s="361" t="s">
        <v>223</v>
      </c>
      <c r="L88" s="362"/>
      <c r="M88" s="1578"/>
      <c r="N88" s="1579"/>
      <c r="O88" s="1861"/>
      <c r="P88" s="850" t="str">
        <f>IF((OR(AND(I88&lt;&gt;"",M88&lt;&gt;""),AND(I88="",M88=""))),"○","×")</f>
        <v>○</v>
      </c>
      <c r="Q88" s="850"/>
      <c r="R88" s="850"/>
      <c r="S88" s="850"/>
      <c r="AE88" s="357"/>
      <c r="AG88" s="2"/>
      <c r="AH88" s="2"/>
    </row>
    <row r="89" spans="1:42" ht="30" customHeight="1" x14ac:dyDescent="0.15">
      <c r="B89" s="1541"/>
      <c r="C89" s="300" t="s">
        <v>241</v>
      </c>
      <c r="D89" s="1549"/>
      <c r="E89" s="1550"/>
      <c r="F89" s="1550"/>
      <c r="G89" s="1550"/>
      <c r="H89" s="1550"/>
      <c r="I89" s="1550"/>
      <c r="J89" s="1550"/>
      <c r="K89" s="1550"/>
      <c r="L89" s="1551"/>
      <c r="M89" s="1542"/>
      <c r="N89" s="1543"/>
      <c r="O89" s="1544"/>
      <c r="P89" s="850" t="str">
        <f>IF((OR(AND(D89&lt;&gt;"",M89&lt;&gt;""),AND(D89="",M89=""))),"○","×")</f>
        <v>○</v>
      </c>
      <c r="Q89" s="850"/>
      <c r="R89" s="850"/>
      <c r="S89" s="850"/>
      <c r="AE89" s="357"/>
      <c r="AG89" s="2"/>
      <c r="AH89" s="2"/>
    </row>
    <row r="90" spans="1:42" ht="30" customHeight="1" thickBot="1" x14ac:dyDescent="0.2">
      <c r="B90" s="1541"/>
      <c r="C90" s="334" t="s">
        <v>243</v>
      </c>
      <c r="D90" s="1552"/>
      <c r="E90" s="1553"/>
      <c r="F90" s="1553"/>
      <c r="G90" s="1553"/>
      <c r="H90" s="1553"/>
      <c r="I90" s="1553"/>
      <c r="J90" s="1553"/>
      <c r="K90" s="1553"/>
      <c r="L90" s="1554"/>
      <c r="M90" s="1545"/>
      <c r="N90" s="1546"/>
      <c r="O90" s="1547"/>
      <c r="P90" s="850" t="str">
        <f>IF((OR(AND(D90&lt;&gt;"",M90&lt;&gt;""),AND(D90="",M90=""))),"○","×")</f>
        <v>○</v>
      </c>
      <c r="Q90" s="850"/>
      <c r="R90" s="850"/>
      <c r="S90" s="850"/>
      <c r="AE90" s="357"/>
      <c r="AG90" s="2"/>
      <c r="AH90" s="2"/>
    </row>
    <row r="91" spans="1:42" ht="26.25" customHeight="1" x14ac:dyDescent="0.15">
      <c r="C91" s="22"/>
      <c r="D91" s="33" t="s">
        <v>43</v>
      </c>
      <c r="E91" s="33"/>
      <c r="F91" s="33"/>
      <c r="G91" s="33"/>
      <c r="H91" s="33"/>
      <c r="I91" s="33"/>
      <c r="J91" s="33"/>
      <c r="K91" s="33"/>
      <c r="L91" s="33"/>
      <c r="M91" s="33"/>
      <c r="N91" s="33"/>
      <c r="O91" s="33"/>
      <c r="P91" s="33"/>
      <c r="Q91" s="33"/>
      <c r="R91" s="33"/>
      <c r="S91" s="291"/>
      <c r="T91" s="33"/>
      <c r="U91" s="182"/>
      <c r="V91" s="182"/>
      <c r="W91" s="182"/>
      <c r="X91" s="182"/>
      <c r="Y91" s="182"/>
      <c r="Z91" s="182"/>
      <c r="AA91" s="182"/>
      <c r="AB91" s="182"/>
      <c r="AC91" s="182"/>
      <c r="AD91" s="182"/>
      <c r="AE91" s="182"/>
      <c r="AF91" s="182"/>
      <c r="AG91" s="182"/>
      <c r="AH91" s="2"/>
      <c r="AK91" s="2"/>
    </row>
    <row r="92" spans="1:42" ht="30" customHeight="1" x14ac:dyDescent="0.15">
      <c r="B92" s="1796" t="s">
        <v>470</v>
      </c>
      <c r="C92" s="1796"/>
      <c r="D92" s="1796"/>
      <c r="E92" s="1796"/>
      <c r="F92" s="1796"/>
      <c r="G92" s="1796"/>
      <c r="H92" s="1796"/>
      <c r="I92" s="1796"/>
      <c r="J92" s="1796"/>
      <c r="K92" s="1796"/>
      <c r="M92" s="22"/>
      <c r="N92" s="22"/>
      <c r="X92" s="542"/>
      <c r="Y92" s="542"/>
      <c r="Z92" s="542"/>
      <c r="AA92" s="542"/>
      <c r="AB92" s="542"/>
      <c r="AC92" s="542"/>
      <c r="AD92" s="542"/>
      <c r="AE92" s="542"/>
      <c r="AF92" s="542"/>
      <c r="AG92" s="286"/>
      <c r="AH92" s="286"/>
      <c r="AI92" s="286"/>
      <c r="AK92" s="2"/>
    </row>
    <row r="93" spans="1:42" ht="15" customHeight="1" thickBot="1" x14ac:dyDescent="0.2">
      <c r="A93" s="2"/>
      <c r="B93" s="559"/>
      <c r="C93" s="1826" t="s">
        <v>466</v>
      </c>
      <c r="D93" s="1826"/>
      <c r="E93" s="1826"/>
      <c r="F93" s="1826"/>
      <c r="G93" s="1826"/>
      <c r="H93" s="1826"/>
      <c r="I93" s="1826"/>
      <c r="J93" s="1753"/>
      <c r="K93" s="1753"/>
      <c r="L93" s="1753"/>
      <c r="M93" s="1753"/>
      <c r="N93" s="1753"/>
      <c r="O93" s="1753"/>
      <c r="P93" s="1753"/>
      <c r="Q93" s="1753"/>
      <c r="R93" s="1753"/>
      <c r="S93" s="1753"/>
      <c r="T93" s="1753"/>
      <c r="U93" s="1753"/>
      <c r="V93" s="1753"/>
      <c r="W93" s="1753"/>
      <c r="X93" s="1753"/>
      <c r="Z93" s="221"/>
      <c r="AA93" s="221"/>
      <c r="AB93" s="221"/>
      <c r="AC93" s="221"/>
      <c r="AD93" s="221"/>
      <c r="AE93" s="221"/>
      <c r="AF93" s="221"/>
      <c r="AG93" s="221"/>
      <c r="AH93" s="221"/>
      <c r="AI93" s="221"/>
      <c r="AJ93" s="221"/>
      <c r="AK93" s="389"/>
    </row>
    <row r="94" spans="1:42" s="49" customFormat="1" ht="30" customHeight="1" thickBot="1" x14ac:dyDescent="0.2">
      <c r="B94" s="556" t="str">
        <f>IF(OR(AND(F94="なし",O94&lt;&gt;""),AND(F94="あり",O94="")),"×","○")</f>
        <v>○</v>
      </c>
      <c r="C94" s="1624" t="s">
        <v>451</v>
      </c>
      <c r="D94" s="1625"/>
      <c r="E94" s="1626"/>
      <c r="F94" s="1793" t="str">
        <f>IF(OR(SUM(H75)&gt;0,SUM(H80)&gt;0,SUM(L75)&gt;0,SUM(L80)&gt;0,SUM(P75)&gt;0,SUM(P80)&gt;0,SUM(T75)&gt;0,SUM(T80)&gt;0,SUM(X75)&gt;0,SUM(X80)&gt;0,SUM(AB75)&gt;0),"あり","なし")</f>
        <v>なし</v>
      </c>
      <c r="G94" s="1794"/>
      <c r="H94" s="1794"/>
      <c r="I94" s="1795"/>
      <c r="J94" s="568"/>
      <c r="K94" s="1560" t="s">
        <v>465</v>
      </c>
      <c r="L94" s="1561"/>
      <c r="M94" s="1561"/>
      <c r="N94" s="1562"/>
      <c r="O94" s="1827"/>
      <c r="P94" s="1827"/>
      <c r="Q94" s="1827"/>
      <c r="R94" s="1827"/>
      <c r="S94" s="1827"/>
      <c r="T94" s="1828"/>
      <c r="U94" s="1829"/>
      <c r="V94" s="1830"/>
      <c r="W94" s="1830"/>
      <c r="X94" s="1830"/>
      <c r="Y94" s="1830"/>
      <c r="Z94" s="1830"/>
      <c r="AA94" s="1830"/>
      <c r="AB94" s="1830"/>
      <c r="AC94" s="1830"/>
      <c r="AD94" s="1830"/>
      <c r="AE94" s="1830"/>
      <c r="AF94" s="1830"/>
      <c r="AG94" s="22"/>
      <c r="AH94" s="2"/>
      <c r="AI94" s="22"/>
      <c r="AJ94" s="22"/>
      <c r="AK94" s="2"/>
      <c r="AL94" s="22"/>
      <c r="AM94" s="22"/>
    </row>
    <row r="95" spans="1:42" ht="11.25" customHeight="1" thickBot="1" x14ac:dyDescent="0.2">
      <c r="B95" s="229"/>
      <c r="C95" s="1085"/>
      <c r="D95" s="1086"/>
      <c r="E95" s="1086"/>
      <c r="F95" s="1086"/>
      <c r="G95" s="1086"/>
      <c r="H95" s="1086"/>
      <c r="I95" s="1086"/>
      <c r="J95" s="1087"/>
      <c r="K95" s="1088"/>
      <c r="L95" s="1088"/>
      <c r="M95" s="1088"/>
      <c r="N95" s="1088"/>
      <c r="O95" s="1089"/>
      <c r="P95" s="1089"/>
      <c r="Q95" s="1089"/>
      <c r="R95" s="1088"/>
      <c r="S95" s="1088"/>
      <c r="T95" s="1090"/>
      <c r="U95" s="1090"/>
      <c r="V95" s="1090"/>
      <c r="W95" s="27"/>
      <c r="X95" s="27"/>
      <c r="Y95" s="27"/>
      <c r="Z95" s="27"/>
      <c r="AA95" s="27"/>
      <c r="AB95" s="27"/>
      <c r="AC95" s="27"/>
      <c r="AD95" s="2"/>
      <c r="AE95" s="2"/>
      <c r="AK95" s="2"/>
    </row>
    <row r="96" spans="1:42" s="49" customFormat="1" ht="17.25" customHeight="1" x14ac:dyDescent="0.15">
      <c r="B96" s="1541" t="str">
        <f>IF(OR(F96="",AND(O94="使い捨て食器を購入",F96="なし")),"×","○")</f>
        <v>×</v>
      </c>
      <c r="C96" s="1783" t="s">
        <v>246</v>
      </c>
      <c r="D96" s="1784"/>
      <c r="E96" s="1785"/>
      <c r="F96" s="1593"/>
      <c r="G96" s="1593"/>
      <c r="H96" s="1593"/>
      <c r="I96" s="1789"/>
      <c r="J96" s="1459" t="str">
        <f>IF(O94="使い捨て食器を購入","　※ 『使い捨て食器』を忘れずに発注してください。↓","")</f>
        <v/>
      </c>
      <c r="K96" s="1774"/>
      <c r="L96" s="1774"/>
      <c r="M96" s="1774"/>
      <c r="N96" s="1774"/>
      <c r="O96" s="1774"/>
      <c r="P96" s="1774"/>
      <c r="Q96" s="1774"/>
      <c r="R96" s="1774"/>
      <c r="S96" s="1774"/>
      <c r="T96" s="1774"/>
      <c r="U96" s="1774"/>
      <c r="V96" s="1774"/>
      <c r="W96" s="1774"/>
      <c r="X96" s="1774"/>
      <c r="Y96" s="1774"/>
      <c r="Z96" s="1774"/>
      <c r="AA96" s="1774"/>
      <c r="AB96" s="1774"/>
      <c r="AC96" s="1774"/>
      <c r="AD96" s="1774"/>
      <c r="AE96" s="1774"/>
      <c r="AF96" s="320"/>
      <c r="AG96" s="320"/>
      <c r="AH96" s="320"/>
      <c r="AI96" s="320"/>
      <c r="AJ96" s="22"/>
      <c r="AK96" s="2"/>
      <c r="AL96" s="22"/>
      <c r="AM96" s="22"/>
      <c r="AN96" s="22"/>
      <c r="AO96" s="22"/>
      <c r="AP96" s="22"/>
    </row>
    <row r="97" spans="1:42" s="49" customFormat="1" ht="17.25" customHeight="1" thickBot="1" x14ac:dyDescent="0.2">
      <c r="B97" s="1541"/>
      <c r="C97" s="1786"/>
      <c r="D97" s="1787"/>
      <c r="E97" s="1788"/>
      <c r="F97" s="1594"/>
      <c r="G97" s="1594"/>
      <c r="H97" s="1594"/>
      <c r="I97" s="1790"/>
      <c r="J97" s="1791" t="str">
        <f>IF(AND(B94="○",B96="○",F96="なし"),"　※ ここまでで不備がなければ、このシートの入力は以上です。","")</f>
        <v/>
      </c>
      <c r="K97" s="1792"/>
      <c r="L97" s="1792"/>
      <c r="M97" s="1792"/>
      <c r="N97" s="1792"/>
      <c r="O97" s="1792"/>
      <c r="P97" s="1792"/>
      <c r="Q97" s="1792"/>
      <c r="R97" s="1792"/>
      <c r="S97" s="1792"/>
      <c r="T97" s="1792"/>
      <c r="U97" s="1792"/>
      <c r="V97" s="1792"/>
      <c r="W97" s="1792"/>
      <c r="X97" s="1792"/>
      <c r="Y97" s="1792"/>
      <c r="Z97" s="1792"/>
      <c r="AA97" s="1792"/>
      <c r="AB97" s="1792"/>
      <c r="AC97" s="1792"/>
      <c r="AD97" s="1792"/>
      <c r="AE97" s="1792"/>
      <c r="AF97" s="536"/>
      <c r="AG97" s="536"/>
      <c r="AH97" s="536"/>
      <c r="AI97" s="536"/>
      <c r="AJ97" s="22"/>
      <c r="AK97" s="2"/>
      <c r="AL97" s="22"/>
      <c r="AM97" s="22"/>
      <c r="AN97" s="22"/>
      <c r="AO97" s="22"/>
      <c r="AP97" s="22"/>
    </row>
    <row r="98" spans="1:42" ht="26.25" customHeight="1" x14ac:dyDescent="0.2">
      <c r="C98" s="39"/>
      <c r="D98" s="39"/>
      <c r="E98" s="39"/>
      <c r="F98" s="39"/>
      <c r="G98" s="183"/>
      <c r="H98" s="183"/>
      <c r="I98" s="600"/>
      <c r="J98" s="1465" t="str">
        <f>IF(AND(B94="○",B96="○",F96="なし"),"　　 下部より『名簿入力』､『⑥利用計画書』のシートへお進みください。","")</f>
        <v/>
      </c>
      <c r="K98" s="1465"/>
      <c r="L98" s="1465"/>
      <c r="M98" s="1465"/>
      <c r="N98" s="1465"/>
      <c r="O98" s="1465"/>
      <c r="P98" s="1465"/>
      <c r="Q98" s="1465"/>
      <c r="R98" s="1465"/>
      <c r="S98" s="1465"/>
      <c r="T98" s="1465"/>
      <c r="U98" s="1465"/>
      <c r="V98" s="1465"/>
      <c r="W98" s="1465"/>
      <c r="X98" s="1465"/>
      <c r="Y98" s="1465"/>
      <c r="Z98" s="1465"/>
      <c r="AA98" s="1465"/>
      <c r="AB98" s="1465"/>
      <c r="AC98" s="1465"/>
      <c r="AD98" s="1465"/>
      <c r="AE98" s="1465"/>
      <c r="AF98" s="68"/>
      <c r="AG98" s="177"/>
      <c r="AH98" s="177"/>
      <c r="AJ98" s="177"/>
      <c r="AK98" s="151"/>
      <c r="AL98" s="49"/>
      <c r="AM98" s="49"/>
      <c r="AN98" s="49"/>
      <c r="AO98" s="49"/>
      <c r="AP98" s="49"/>
    </row>
    <row r="99" spans="1:42" ht="22.5" customHeight="1" x14ac:dyDescent="0.2">
      <c r="B99" s="1831" t="s">
        <v>467</v>
      </c>
      <c r="C99" s="1831"/>
      <c r="D99" s="1831"/>
      <c r="E99" s="1831"/>
      <c r="F99" s="1831"/>
      <c r="G99" s="1831"/>
      <c r="H99" s="1831"/>
      <c r="I99" s="1831"/>
      <c r="J99" s="1831"/>
      <c r="K99" s="170"/>
      <c r="L99" s="170"/>
      <c r="M99" s="170"/>
      <c r="N99" s="170"/>
      <c r="O99" s="170"/>
      <c r="P99" s="170"/>
      <c r="Q99" s="170"/>
      <c r="R99" s="170"/>
      <c r="S99" s="170"/>
      <c r="T99" s="47"/>
      <c r="U99" s="47"/>
      <c r="V99" s="47"/>
      <c r="W99" s="170"/>
      <c r="Z99" s="284"/>
      <c r="AA99" s="283"/>
      <c r="AB99" s="283"/>
      <c r="AC99" s="283"/>
      <c r="AD99" s="283"/>
      <c r="AE99" s="68"/>
      <c r="AF99" s="68"/>
      <c r="AG99" s="177"/>
      <c r="AH99" s="177"/>
      <c r="AJ99" s="177"/>
      <c r="AK99" s="177"/>
      <c r="AL99" s="68"/>
      <c r="AM99" s="68"/>
      <c r="AN99" s="68"/>
      <c r="AO99" s="68"/>
      <c r="AP99" s="68"/>
    </row>
    <row r="100" spans="1:42" ht="37.5" customHeight="1" x14ac:dyDescent="0.15">
      <c r="A100" s="2"/>
      <c r="B100" s="2"/>
      <c r="C100" s="1601" t="s">
        <v>463</v>
      </c>
      <c r="D100" s="1601"/>
      <c r="E100" s="1601"/>
      <c r="F100" s="1601"/>
      <c r="G100" s="1601"/>
      <c r="H100" s="1601"/>
      <c r="I100" s="1601"/>
      <c r="J100" s="1601"/>
      <c r="K100" s="1601"/>
      <c r="L100" s="1601"/>
      <c r="M100" s="1601"/>
      <c r="N100" s="1601"/>
      <c r="O100" s="1601"/>
      <c r="P100" s="1601"/>
      <c r="Q100" s="1601"/>
      <c r="R100" s="1601"/>
      <c r="S100" s="1601"/>
      <c r="T100" s="1601"/>
      <c r="U100" s="1601"/>
      <c r="V100" s="1601"/>
      <c r="W100" s="538"/>
      <c r="AB100" s="357"/>
      <c r="AC100" s="357"/>
      <c r="AD100" s="357"/>
      <c r="AE100" s="357"/>
      <c r="AF100" s="357"/>
      <c r="AG100" s="290"/>
      <c r="AH100" s="290"/>
      <c r="AI100" s="290"/>
      <c r="AK100" s="2"/>
    </row>
    <row r="101" spans="1:42" ht="7.5" customHeight="1" thickBot="1" x14ac:dyDescent="0.2">
      <c r="C101" s="146"/>
      <c r="D101" s="173"/>
      <c r="E101" s="172"/>
      <c r="F101" s="172"/>
      <c r="G101" s="172"/>
      <c r="H101" s="172"/>
      <c r="I101" s="172"/>
      <c r="J101" s="172"/>
      <c r="K101" s="172"/>
      <c r="L101" s="172"/>
      <c r="M101" s="172"/>
      <c r="N101" s="172"/>
      <c r="O101" s="172"/>
      <c r="P101" s="172"/>
      <c r="Q101" s="172"/>
      <c r="R101" s="172"/>
      <c r="S101" s="172"/>
      <c r="T101" s="172"/>
      <c r="U101" s="172"/>
      <c r="V101" s="171"/>
      <c r="W101" s="171"/>
      <c r="X101" s="171"/>
      <c r="Y101" s="171"/>
      <c r="Z101" s="171"/>
      <c r="AA101" s="171"/>
      <c r="AB101" s="171"/>
      <c r="AC101" s="171"/>
      <c r="AD101" s="171"/>
      <c r="AE101" s="357"/>
      <c r="AK101" s="2"/>
    </row>
    <row r="102" spans="1:42" ht="30" customHeight="1" thickBot="1" x14ac:dyDescent="0.2">
      <c r="A102" s="2"/>
      <c r="B102" s="1541" t="str">
        <f>IF(OR(F96="なし",AND(T103="○",T104="○",T105="○",T102="○",OR(I103&lt;&gt;"",D104&lt;&gt;"",D105&lt;&gt;""))),"○","×")</f>
        <v>×</v>
      </c>
      <c r="C102" s="298"/>
      <c r="D102" s="1575" t="s">
        <v>11</v>
      </c>
      <c r="E102" s="1576"/>
      <c r="F102" s="1576"/>
      <c r="G102" s="1576"/>
      <c r="H102" s="1576"/>
      <c r="I102" s="1576"/>
      <c r="J102" s="1576"/>
      <c r="K102" s="1576"/>
      <c r="L102" s="1703"/>
      <c r="M102" s="1575" t="s">
        <v>12</v>
      </c>
      <c r="N102" s="1576"/>
      <c r="O102" s="1703"/>
      <c r="P102" s="1575" t="s">
        <v>13</v>
      </c>
      <c r="Q102" s="1576"/>
      <c r="R102" s="1576"/>
      <c r="S102" s="1577"/>
      <c r="T102" s="848" t="str">
        <f>IF(U102=V102,"○","×")</f>
        <v>○</v>
      </c>
      <c r="U102" s="849">
        <f>COUNTA(I103,D104,D105)</f>
        <v>0</v>
      </c>
      <c r="V102" s="849">
        <f>COUNTA(M103:M105)</f>
        <v>0</v>
      </c>
      <c r="W102" s="171"/>
      <c r="Z102" s="284"/>
      <c r="AA102" s="283"/>
    </row>
    <row r="103" spans="1:42" ht="30" customHeight="1" x14ac:dyDescent="0.15">
      <c r="B103" s="1541"/>
      <c r="C103" s="295" t="s">
        <v>242</v>
      </c>
      <c r="E103" s="1764" t="s">
        <v>239</v>
      </c>
      <c r="F103" s="1764"/>
      <c r="G103" s="1764"/>
      <c r="H103" s="1764"/>
      <c r="I103" s="1476"/>
      <c r="J103" s="1476"/>
      <c r="K103" s="342" t="s">
        <v>223</v>
      </c>
      <c r="L103" s="343"/>
      <c r="M103" s="1578"/>
      <c r="N103" s="1579"/>
      <c r="O103" s="1580"/>
      <c r="P103" s="1698"/>
      <c r="Q103" s="1699"/>
      <c r="R103" s="1699"/>
      <c r="S103" s="1700"/>
      <c r="T103" s="850" t="str">
        <f>IF((OR(AND(I103&lt;&gt;"",M103&lt;&gt;""),AND(I103="",M103=""))),"○","×")</f>
        <v>○</v>
      </c>
      <c r="U103" s="892"/>
      <c r="V103" s="850"/>
    </row>
    <row r="104" spans="1:42" ht="30" customHeight="1" x14ac:dyDescent="0.15">
      <c r="B104" s="1541"/>
      <c r="C104" s="296" t="s">
        <v>241</v>
      </c>
      <c r="D104" s="1704"/>
      <c r="E104" s="1705"/>
      <c r="F104" s="1705"/>
      <c r="G104" s="1705"/>
      <c r="H104" s="1705"/>
      <c r="I104" s="1705"/>
      <c r="J104" s="1705"/>
      <c r="K104" s="1705"/>
      <c r="L104" s="1706"/>
      <c r="M104" s="1542"/>
      <c r="N104" s="1543"/>
      <c r="O104" s="1570"/>
      <c r="P104" s="1588"/>
      <c r="Q104" s="1589"/>
      <c r="R104" s="1589"/>
      <c r="S104" s="1590"/>
      <c r="T104" s="850" t="str">
        <f>IF((OR(AND(D104&lt;&gt;"",M104&lt;&gt;""),AND(D104="",M104=""))),"○","×")</f>
        <v>○</v>
      </c>
      <c r="U104" s="893"/>
      <c r="V104" s="893"/>
      <c r="W104" s="891"/>
      <c r="X104" s="891"/>
      <c r="Y104" s="891"/>
      <c r="Z104" s="891"/>
      <c r="AA104" s="891"/>
      <c r="AB104" s="891"/>
      <c r="AC104" s="891"/>
      <c r="AD104" s="891"/>
      <c r="AE104" s="891"/>
      <c r="AF104" s="891"/>
    </row>
    <row r="105" spans="1:42" ht="30" customHeight="1" thickBot="1" x14ac:dyDescent="0.2">
      <c r="B105" s="1541"/>
      <c r="C105" s="297" t="s">
        <v>243</v>
      </c>
      <c r="D105" s="1552"/>
      <c r="E105" s="1553"/>
      <c r="F105" s="1553"/>
      <c r="G105" s="1553"/>
      <c r="H105" s="1553"/>
      <c r="I105" s="1553"/>
      <c r="J105" s="1553"/>
      <c r="K105" s="1553"/>
      <c r="L105" s="1554"/>
      <c r="M105" s="1545"/>
      <c r="N105" s="1546"/>
      <c r="O105" s="1832"/>
      <c r="P105" s="1571"/>
      <c r="Q105" s="1572"/>
      <c r="R105" s="1572"/>
      <c r="S105" s="1573"/>
      <c r="T105" s="850" t="str">
        <f>IF((OR(AND(D105&lt;&gt;"",M105&lt;&gt;""),AND(D105="",M105=""))),"○","×")</f>
        <v>○</v>
      </c>
      <c r="U105" s="892"/>
      <c r="V105" s="850"/>
    </row>
    <row r="106" spans="1:42" ht="26.25" customHeight="1" x14ac:dyDescent="0.25">
      <c r="A106" s="379" t="e">
        <f>IF(AND(#REF!="",#REF!=""),"○","×")</f>
        <v>#REF!</v>
      </c>
      <c r="B106" s="379"/>
      <c r="C106" s="1548" t="s">
        <v>503</v>
      </c>
      <c r="D106" s="1548"/>
      <c r="E106" s="1548"/>
      <c r="F106" s="1548"/>
      <c r="G106" s="1548"/>
      <c r="H106" s="1548"/>
      <c r="I106" s="1548"/>
      <c r="J106" s="1548"/>
      <c r="K106" s="1548"/>
      <c r="L106" s="1548"/>
      <c r="M106" s="1548"/>
      <c r="N106" s="1548"/>
      <c r="O106" s="1548"/>
      <c r="P106" s="1548"/>
      <c r="Q106" s="1548"/>
      <c r="R106" s="1548"/>
      <c r="S106" s="1548"/>
      <c r="T106" s="1548"/>
      <c r="U106" s="1548"/>
      <c r="V106" s="1548"/>
      <c r="W106" s="1548"/>
      <c r="X106" s="1548"/>
      <c r="Y106" s="1548"/>
      <c r="Z106" s="1548"/>
      <c r="AA106" s="1548"/>
      <c r="AB106" s="347"/>
      <c r="AC106" s="347"/>
      <c r="AD106" s="347"/>
      <c r="AE106" s="347"/>
      <c r="AF106" s="347"/>
      <c r="AG106" s="378"/>
      <c r="AH106" s="378"/>
      <c r="AI106" s="378"/>
      <c r="AJ106" s="347"/>
      <c r="AK106" s="2"/>
    </row>
    <row r="107" spans="1:42" ht="3.75" customHeight="1" thickBot="1" x14ac:dyDescent="0.2">
      <c r="A107" s="379"/>
      <c r="B107" s="379"/>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347"/>
      <c r="AC107" s="347"/>
      <c r="AD107" s="347"/>
      <c r="AE107" s="347"/>
      <c r="AF107" s="347"/>
      <c r="AG107" s="378"/>
      <c r="AH107" s="378"/>
      <c r="AI107" s="378"/>
      <c r="AJ107" s="347"/>
      <c r="AK107" s="2"/>
    </row>
    <row r="108" spans="1:42" ht="22.5" customHeight="1" thickBot="1" x14ac:dyDescent="0.2">
      <c r="A108" s="379"/>
      <c r="B108" s="1541" t="str">
        <f>IF(OR(F96="なし",AND(AE109="○",AE110="○",AE111="○",AE112="○",AA108="○",AA109="○",OR(L109&lt;&gt;"",L110&lt;&gt;"",L111&lt;&gt;"",L112&lt;&gt;""))),"○","×")</f>
        <v>×</v>
      </c>
      <c r="C108" s="1517">
        <v>1</v>
      </c>
      <c r="D108" s="1532" t="s">
        <v>21</v>
      </c>
      <c r="E108" s="1533"/>
      <c r="F108" s="1533"/>
      <c r="G108" s="1536"/>
      <c r="H108" s="1532" t="s">
        <v>450</v>
      </c>
      <c r="I108" s="1533"/>
      <c r="J108" s="1533"/>
      <c r="K108" s="1536"/>
      <c r="L108" s="1532" t="s">
        <v>54</v>
      </c>
      <c r="M108" s="1533"/>
      <c r="N108" s="1533"/>
      <c r="O108" s="1533"/>
      <c r="P108" s="1533"/>
      <c r="Q108" s="1533"/>
      <c r="R108" s="1533"/>
      <c r="S108" s="1534"/>
      <c r="T108" s="1535" t="s">
        <v>25</v>
      </c>
      <c r="U108" s="1534"/>
      <c r="V108" s="1535" t="s">
        <v>26</v>
      </c>
      <c r="W108" s="1534"/>
      <c r="X108" s="1535" t="s">
        <v>24</v>
      </c>
      <c r="Y108" s="1533"/>
      <c r="Z108" s="1536"/>
      <c r="AA108" s="848" t="str">
        <f>IF(AND(AB108=AC108,AC108=AD108,AB108=AD108),"○","×")</f>
        <v>○</v>
      </c>
      <c r="AB108" s="849">
        <f>COUNTA(L109,L110,L111,L112)</f>
        <v>0</v>
      </c>
      <c r="AC108" s="849">
        <f>COUNTA(T109,T110,T111,T112)</f>
        <v>0</v>
      </c>
      <c r="AD108" s="849">
        <f>COUNTA(V109,V110,V111,V112)</f>
        <v>0</v>
      </c>
      <c r="AE108" s="876"/>
      <c r="AK108" s="378"/>
      <c r="AL108" s="347"/>
      <c r="AM108" s="2"/>
    </row>
    <row r="109" spans="1:42" ht="21" customHeight="1" x14ac:dyDescent="0.15">
      <c r="A109" s="379"/>
      <c r="B109" s="1541"/>
      <c r="C109" s="1518"/>
      <c r="D109" s="1520"/>
      <c r="E109" s="1520"/>
      <c r="F109" s="1520"/>
      <c r="G109" s="1521"/>
      <c r="H109" s="1524"/>
      <c r="I109" s="1525"/>
      <c r="J109" s="1525"/>
      <c r="K109" s="1526"/>
      <c r="L109" s="1497"/>
      <c r="M109" s="1498"/>
      <c r="N109" s="1498"/>
      <c r="O109" s="1498"/>
      <c r="P109" s="1498"/>
      <c r="Q109" s="1498"/>
      <c r="R109" s="1498"/>
      <c r="S109" s="1499"/>
      <c r="T109" s="1539"/>
      <c r="U109" s="1540"/>
      <c r="V109" s="1558"/>
      <c r="W109" s="1559"/>
      <c r="X109" s="1488">
        <f>T109*V109</f>
        <v>0</v>
      </c>
      <c r="Y109" s="1489"/>
      <c r="Z109" s="1490"/>
      <c r="AA109" s="894" t="str">
        <f>IF(OR(D109="",H109="",H111="",J111=""),"×","○")</f>
        <v>×</v>
      </c>
      <c r="AB109" s="895"/>
      <c r="AC109" s="895"/>
      <c r="AD109" s="896"/>
      <c r="AE109" s="850" t="str">
        <f>IF((OR(AND(L109&lt;&gt;"",T109&lt;&gt;"",V109&lt;&gt;""),AND(L109="",T109="",V109=""))),"○","×")</f>
        <v>○</v>
      </c>
    </row>
    <row r="110" spans="1:42" ht="21" customHeight="1" thickBot="1" x14ac:dyDescent="0.2">
      <c r="A110" s="379"/>
      <c r="B110" s="1541"/>
      <c r="C110" s="1518"/>
      <c r="D110" s="1520"/>
      <c r="E110" s="1520"/>
      <c r="F110" s="1520"/>
      <c r="G110" s="1521"/>
      <c r="H110" s="1527"/>
      <c r="I110" s="1528"/>
      <c r="J110" s="1528"/>
      <c r="K110" s="1529"/>
      <c r="L110" s="1514"/>
      <c r="M110" s="1515"/>
      <c r="N110" s="1515"/>
      <c r="O110" s="1515"/>
      <c r="P110" s="1515"/>
      <c r="Q110" s="1515"/>
      <c r="R110" s="1515"/>
      <c r="S110" s="1516"/>
      <c r="T110" s="1500"/>
      <c r="U110" s="1501"/>
      <c r="V110" s="1508"/>
      <c r="W110" s="1509"/>
      <c r="X110" s="1491">
        <f>T110*V110</f>
        <v>0</v>
      </c>
      <c r="Y110" s="1492"/>
      <c r="Z110" s="1493"/>
      <c r="AA110" s="895"/>
      <c r="AB110" s="895"/>
      <c r="AC110" s="895"/>
      <c r="AD110" s="896"/>
      <c r="AE110" s="850" t="str">
        <f>IF((OR(AND(L110&lt;&gt;"",T110&lt;&gt;"",V110&lt;&gt;""),AND(L110="",T110="",V110=""))),"○","×")</f>
        <v>○</v>
      </c>
    </row>
    <row r="111" spans="1:42" ht="21" customHeight="1" thickBot="1" x14ac:dyDescent="0.2">
      <c r="A111" s="379"/>
      <c r="B111" s="1541"/>
      <c r="C111" s="1518"/>
      <c r="D111" s="1520"/>
      <c r="E111" s="1520"/>
      <c r="F111" s="1520"/>
      <c r="G111" s="1521"/>
      <c r="H111" s="1530"/>
      <c r="I111" s="1502" t="s">
        <v>53</v>
      </c>
      <c r="J111" s="1504"/>
      <c r="K111" s="1506" t="s">
        <v>46</v>
      </c>
      <c r="L111" s="1514"/>
      <c r="M111" s="1515"/>
      <c r="N111" s="1515"/>
      <c r="O111" s="1515"/>
      <c r="P111" s="1515"/>
      <c r="Q111" s="1515"/>
      <c r="R111" s="1515"/>
      <c r="S111" s="1516"/>
      <c r="T111" s="1500"/>
      <c r="U111" s="1501"/>
      <c r="V111" s="1508"/>
      <c r="W111" s="1509"/>
      <c r="X111" s="1491">
        <f>T111*V111</f>
        <v>0</v>
      </c>
      <c r="Y111" s="1492"/>
      <c r="Z111" s="1493"/>
      <c r="AA111" s="1555" t="s">
        <v>354</v>
      </c>
      <c r="AB111" s="1556"/>
      <c r="AC111" s="1556"/>
      <c r="AD111" s="1557"/>
      <c r="AE111" s="850" t="str">
        <f>IF((OR(AND(L111&lt;&gt;"",T111&lt;&gt;"",V111&lt;&gt;""),AND(L111="",T111="",V111=""))),"○","×")</f>
        <v>○</v>
      </c>
    </row>
    <row r="112" spans="1:42" ht="21" customHeight="1" thickBot="1" x14ac:dyDescent="0.2">
      <c r="A112" s="379"/>
      <c r="B112" s="1541"/>
      <c r="C112" s="1519"/>
      <c r="D112" s="1522"/>
      <c r="E112" s="1522"/>
      <c r="F112" s="1522"/>
      <c r="G112" s="1523"/>
      <c r="H112" s="1531"/>
      <c r="I112" s="1503"/>
      <c r="J112" s="1505"/>
      <c r="K112" s="1507"/>
      <c r="L112" s="1761"/>
      <c r="M112" s="1762"/>
      <c r="N112" s="1762"/>
      <c r="O112" s="1762"/>
      <c r="P112" s="1762"/>
      <c r="Q112" s="1762"/>
      <c r="R112" s="1762"/>
      <c r="S112" s="1763"/>
      <c r="T112" s="1510"/>
      <c r="U112" s="1511"/>
      <c r="V112" s="1512"/>
      <c r="W112" s="1513"/>
      <c r="X112" s="1494">
        <f>T112*V112</f>
        <v>0</v>
      </c>
      <c r="Y112" s="1495"/>
      <c r="Z112" s="1496"/>
      <c r="AA112" s="1759">
        <f>SUM(X109:Z112)</f>
        <v>0</v>
      </c>
      <c r="AB112" s="1760"/>
      <c r="AC112" s="1760"/>
      <c r="AD112" s="46" t="s">
        <v>59</v>
      </c>
      <c r="AE112" s="850" t="str">
        <f>IF((OR(AND(L112&lt;&gt;"",T112&lt;&gt;"",V112&lt;&gt;""),AND(L112="",T112="",V112=""))),"○","×")</f>
        <v>○</v>
      </c>
      <c r="AK112" s="2"/>
    </row>
    <row r="113" spans="1:39" ht="32.25" customHeight="1" thickBot="1" x14ac:dyDescent="0.2">
      <c r="A113" s="2"/>
      <c r="B113" s="559"/>
      <c r="C113" s="1754" t="s">
        <v>473</v>
      </c>
      <c r="D113" s="1754"/>
      <c r="E113" s="1754"/>
      <c r="F113" s="1754"/>
      <c r="G113" s="1754"/>
      <c r="H113" s="1754"/>
      <c r="I113" s="1754"/>
      <c r="J113" s="1754"/>
      <c r="K113" s="1754"/>
      <c r="L113" s="1754"/>
      <c r="M113" s="1754"/>
      <c r="N113" s="1754"/>
      <c r="O113" s="1754"/>
      <c r="P113" s="1754"/>
      <c r="Q113" s="1754"/>
      <c r="R113" s="1754"/>
      <c r="S113" s="1754"/>
      <c r="T113" s="1754"/>
      <c r="U113" s="1754"/>
      <c r="V113" s="1754"/>
      <c r="W113" s="1754"/>
      <c r="X113" s="1754"/>
      <c r="Y113" s="1754"/>
      <c r="Z113" s="1754"/>
      <c r="AA113" s="221"/>
      <c r="AB113" s="221"/>
      <c r="AC113" s="221"/>
      <c r="AD113" s="221"/>
      <c r="AE113" s="221"/>
      <c r="AF113" s="221"/>
      <c r="AG113" s="221"/>
      <c r="AH113" s="221"/>
      <c r="AI113" s="221"/>
      <c r="AJ113" s="221"/>
      <c r="AK113" s="389"/>
    </row>
    <row r="114" spans="1:39" ht="22.5" customHeight="1" thickBot="1" x14ac:dyDescent="0.2">
      <c r="A114" s="379"/>
      <c r="B114" s="1487" t="str">
        <f>IF(AND(AE115="○",AE116="○",AE117="○",AE118="○",AA114="○",AA115="○"),"○","×")</f>
        <v>○</v>
      </c>
      <c r="C114" s="1517">
        <v>2</v>
      </c>
      <c r="D114" s="1532" t="s">
        <v>21</v>
      </c>
      <c r="E114" s="1533"/>
      <c r="F114" s="1533"/>
      <c r="G114" s="1536"/>
      <c r="H114" s="1532" t="s">
        <v>450</v>
      </c>
      <c r="I114" s="1533"/>
      <c r="J114" s="1533"/>
      <c r="K114" s="1536"/>
      <c r="L114" s="1532" t="s">
        <v>54</v>
      </c>
      <c r="M114" s="1533"/>
      <c r="N114" s="1533"/>
      <c r="O114" s="1533"/>
      <c r="P114" s="1533"/>
      <c r="Q114" s="1533"/>
      <c r="R114" s="1533"/>
      <c r="S114" s="1534"/>
      <c r="T114" s="1535" t="s">
        <v>25</v>
      </c>
      <c r="U114" s="1534"/>
      <c r="V114" s="1535" t="s">
        <v>26</v>
      </c>
      <c r="W114" s="1534"/>
      <c r="X114" s="1535" t="s">
        <v>24</v>
      </c>
      <c r="Y114" s="1533"/>
      <c r="Z114" s="1536"/>
      <c r="AA114" s="848" t="str">
        <f>IF(AND(AB114=AC114,AC114=AD114,AB114=AD114),"○","×")</f>
        <v>○</v>
      </c>
      <c r="AB114" s="849">
        <f>COUNTA(L115,L116,L117,L118)</f>
        <v>0</v>
      </c>
      <c r="AC114" s="849">
        <f>COUNTA(T115,T116,T117,T118)</f>
        <v>0</v>
      </c>
      <c r="AD114" s="849">
        <f>COUNTA(V115,V116,V117,V118)</f>
        <v>0</v>
      </c>
      <c r="AE114" s="876"/>
      <c r="AK114" s="378"/>
      <c r="AL114" s="347"/>
      <c r="AM114" s="2"/>
    </row>
    <row r="115" spans="1:39" ht="21" customHeight="1" x14ac:dyDescent="0.15">
      <c r="A115" s="379"/>
      <c r="B115" s="1487"/>
      <c r="C115" s="1518"/>
      <c r="D115" s="1520"/>
      <c r="E115" s="1520"/>
      <c r="F115" s="1520"/>
      <c r="G115" s="1521"/>
      <c r="H115" s="1524"/>
      <c r="I115" s="1525"/>
      <c r="J115" s="1525"/>
      <c r="K115" s="1526"/>
      <c r="L115" s="1497"/>
      <c r="M115" s="1498"/>
      <c r="N115" s="1498"/>
      <c r="O115" s="1498"/>
      <c r="P115" s="1498"/>
      <c r="Q115" s="1498"/>
      <c r="R115" s="1498"/>
      <c r="S115" s="1499"/>
      <c r="T115" s="1539"/>
      <c r="U115" s="1540"/>
      <c r="V115" s="1558"/>
      <c r="W115" s="1559"/>
      <c r="X115" s="1488">
        <f>T115*V115</f>
        <v>0</v>
      </c>
      <c r="Y115" s="1489"/>
      <c r="Z115" s="1490"/>
      <c r="AA115" s="894" t="str">
        <f>IF(OR(AND(D115="",H115="",H117="",J117="",L115=""),AND(D115&lt;&gt;"",H115&lt;&gt;"",H117&lt;&gt;"",J117&lt;&gt;"",L115&lt;&gt;"")),"○","×")</f>
        <v>○</v>
      </c>
      <c r="AB115" s="897"/>
      <c r="AC115" s="895"/>
      <c r="AD115" s="896"/>
      <c r="AE115" s="850" t="str">
        <f>IF((OR(AND(L115&lt;&gt;"",T115&lt;&gt;"",V115&lt;&gt;""),AND(L115="",T115="",V115=""))),"○","×")</f>
        <v>○</v>
      </c>
    </row>
    <row r="116" spans="1:39" ht="21" customHeight="1" thickBot="1" x14ac:dyDescent="0.2">
      <c r="A116" s="379"/>
      <c r="B116" s="1487"/>
      <c r="C116" s="1518"/>
      <c r="D116" s="1520"/>
      <c r="E116" s="1520"/>
      <c r="F116" s="1520"/>
      <c r="G116" s="1521"/>
      <c r="H116" s="1527"/>
      <c r="I116" s="1528"/>
      <c r="J116" s="1528"/>
      <c r="K116" s="1529"/>
      <c r="L116" s="1514"/>
      <c r="M116" s="1515"/>
      <c r="N116" s="1515"/>
      <c r="O116" s="1515"/>
      <c r="P116" s="1515"/>
      <c r="Q116" s="1515"/>
      <c r="R116" s="1515"/>
      <c r="S116" s="1516"/>
      <c r="T116" s="1500"/>
      <c r="U116" s="1501"/>
      <c r="V116" s="1508"/>
      <c r="W116" s="1509"/>
      <c r="X116" s="1491">
        <f>T116*V116</f>
        <v>0</v>
      </c>
      <c r="Y116" s="1492"/>
      <c r="Z116" s="1493"/>
      <c r="AA116" s="895"/>
      <c r="AB116" s="895"/>
      <c r="AC116" s="895"/>
      <c r="AD116" s="896"/>
      <c r="AE116" s="850" t="str">
        <f>IF((OR(AND(L116&lt;&gt;"",T116&lt;&gt;"",V116&lt;&gt;""),AND(L116="",T116="",V116=""))),"○","×")</f>
        <v>○</v>
      </c>
    </row>
    <row r="117" spans="1:39" ht="21" customHeight="1" thickBot="1" x14ac:dyDescent="0.2">
      <c r="A117" s="379"/>
      <c r="B117" s="1487"/>
      <c r="C117" s="1518"/>
      <c r="D117" s="1520"/>
      <c r="E117" s="1520"/>
      <c r="F117" s="1520"/>
      <c r="G117" s="1521"/>
      <c r="H117" s="1530"/>
      <c r="I117" s="1502" t="s">
        <v>53</v>
      </c>
      <c r="J117" s="1504"/>
      <c r="K117" s="1506" t="s">
        <v>46</v>
      </c>
      <c r="L117" s="1514"/>
      <c r="M117" s="1515"/>
      <c r="N117" s="1515"/>
      <c r="O117" s="1515"/>
      <c r="P117" s="1515"/>
      <c r="Q117" s="1515"/>
      <c r="R117" s="1515"/>
      <c r="S117" s="1516"/>
      <c r="T117" s="1500"/>
      <c r="U117" s="1501"/>
      <c r="V117" s="1508"/>
      <c r="W117" s="1509"/>
      <c r="X117" s="1491">
        <f>T117*V117</f>
        <v>0</v>
      </c>
      <c r="Y117" s="1492"/>
      <c r="Z117" s="1493"/>
      <c r="AA117" s="1555" t="s">
        <v>354</v>
      </c>
      <c r="AB117" s="1556"/>
      <c r="AC117" s="1556"/>
      <c r="AD117" s="1557"/>
      <c r="AE117" s="850" t="str">
        <f>IF((OR(AND(L117&lt;&gt;"",T117&lt;&gt;"",V117&lt;&gt;""),AND(L117="",T117="",V117=""))),"○","×")</f>
        <v>○</v>
      </c>
    </row>
    <row r="118" spans="1:39" ht="21" customHeight="1" thickBot="1" x14ac:dyDescent="0.2">
      <c r="A118" s="379"/>
      <c r="B118" s="1487"/>
      <c r="C118" s="1519"/>
      <c r="D118" s="1522"/>
      <c r="E118" s="1522"/>
      <c r="F118" s="1522"/>
      <c r="G118" s="1523"/>
      <c r="H118" s="1531"/>
      <c r="I118" s="1503"/>
      <c r="J118" s="1505"/>
      <c r="K118" s="1507"/>
      <c r="L118" s="1761"/>
      <c r="M118" s="1762"/>
      <c r="N118" s="1762"/>
      <c r="O118" s="1762"/>
      <c r="P118" s="1762"/>
      <c r="Q118" s="1762"/>
      <c r="R118" s="1762"/>
      <c r="S118" s="1763"/>
      <c r="T118" s="1510"/>
      <c r="U118" s="1511"/>
      <c r="V118" s="1512"/>
      <c r="W118" s="1513"/>
      <c r="X118" s="1494">
        <f>T118*V118</f>
        <v>0</v>
      </c>
      <c r="Y118" s="1495"/>
      <c r="Z118" s="1496"/>
      <c r="AA118" s="1759">
        <f>SUM(X115:Z118)</f>
        <v>0</v>
      </c>
      <c r="AB118" s="1760"/>
      <c r="AC118" s="1760"/>
      <c r="AD118" s="46" t="s">
        <v>59</v>
      </c>
      <c r="AE118" s="850" t="str">
        <f>IF((OR(AND(L118&lt;&gt;"",T118&lt;&gt;"",V118&lt;&gt;""),AND(L118="",T118="",V118=""))),"○","×")</f>
        <v>○</v>
      </c>
    </row>
    <row r="119" spans="1:39" ht="5.25" customHeight="1" thickBot="1" x14ac:dyDescent="0.2">
      <c r="A119" s="379"/>
      <c r="B119" s="379"/>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347"/>
      <c r="AC119" s="347"/>
      <c r="AD119" s="347"/>
      <c r="AE119" s="347"/>
      <c r="AF119" s="347"/>
      <c r="AG119" s="378"/>
      <c r="AH119" s="378"/>
      <c r="AI119" s="378"/>
      <c r="AJ119" s="347"/>
      <c r="AK119" s="2"/>
    </row>
    <row r="120" spans="1:39" ht="22.5" customHeight="1" thickBot="1" x14ac:dyDescent="0.2">
      <c r="A120" s="379"/>
      <c r="B120" s="1487" t="str">
        <f>IF(AND(AE121="○",AE122="○",AE123="○",AE124="○",AA120="○",AA121="○"),"○","×")</f>
        <v>○</v>
      </c>
      <c r="C120" s="1517">
        <v>3</v>
      </c>
      <c r="D120" s="1532" t="s">
        <v>21</v>
      </c>
      <c r="E120" s="1533"/>
      <c r="F120" s="1533"/>
      <c r="G120" s="1536"/>
      <c r="H120" s="1532" t="s">
        <v>450</v>
      </c>
      <c r="I120" s="1533"/>
      <c r="J120" s="1533"/>
      <c r="K120" s="1536"/>
      <c r="L120" s="1532" t="s">
        <v>54</v>
      </c>
      <c r="M120" s="1533"/>
      <c r="N120" s="1533"/>
      <c r="O120" s="1533"/>
      <c r="P120" s="1533"/>
      <c r="Q120" s="1533"/>
      <c r="R120" s="1533"/>
      <c r="S120" s="1534"/>
      <c r="T120" s="1535" t="s">
        <v>25</v>
      </c>
      <c r="U120" s="1534"/>
      <c r="V120" s="1535" t="s">
        <v>26</v>
      </c>
      <c r="W120" s="1534"/>
      <c r="X120" s="1535" t="s">
        <v>24</v>
      </c>
      <c r="Y120" s="1533"/>
      <c r="Z120" s="1536"/>
      <c r="AA120" s="848" t="str">
        <f>IF(AND(AB120=AC120,AC120=AD120,AB120=AD120),"○","×")</f>
        <v>○</v>
      </c>
      <c r="AB120" s="849">
        <f>COUNTA(L121,L122,L123,L124)</f>
        <v>0</v>
      </c>
      <c r="AC120" s="849">
        <f>COUNTA(T121,T122,T123,T124)</f>
        <v>0</v>
      </c>
      <c r="AD120" s="849">
        <f>COUNTA(V121,V122,V123,V124)</f>
        <v>0</v>
      </c>
      <c r="AE120" s="876"/>
      <c r="AF120" s="850"/>
      <c r="AK120" s="378"/>
      <c r="AL120" s="347"/>
      <c r="AM120" s="2"/>
    </row>
    <row r="121" spans="1:39" ht="21" customHeight="1" x14ac:dyDescent="0.15">
      <c r="A121" s="379"/>
      <c r="B121" s="1487"/>
      <c r="C121" s="1518"/>
      <c r="D121" s="1520"/>
      <c r="E121" s="1520"/>
      <c r="F121" s="1520"/>
      <c r="G121" s="1521"/>
      <c r="H121" s="1524"/>
      <c r="I121" s="1525"/>
      <c r="J121" s="1525"/>
      <c r="K121" s="1526"/>
      <c r="L121" s="1497"/>
      <c r="M121" s="1498"/>
      <c r="N121" s="1498"/>
      <c r="O121" s="1498"/>
      <c r="P121" s="1498"/>
      <c r="Q121" s="1498"/>
      <c r="R121" s="1498"/>
      <c r="S121" s="1499"/>
      <c r="T121" s="1539"/>
      <c r="U121" s="1540"/>
      <c r="V121" s="1558"/>
      <c r="W121" s="1559"/>
      <c r="X121" s="1488">
        <f>T121*V121</f>
        <v>0</v>
      </c>
      <c r="Y121" s="1489"/>
      <c r="Z121" s="1490"/>
      <c r="AA121" s="894" t="str">
        <f>IF(OR(AND(D121="",H121="",H123="",J123="",L121=""),AND(D121&lt;&gt;"",H121&lt;&gt;"",H123&lt;&gt;"",J123&lt;&gt;"",L121&lt;&gt;"")),"○","×")</f>
        <v>○</v>
      </c>
      <c r="AB121" s="897"/>
      <c r="AC121" s="895"/>
      <c r="AD121" s="896"/>
      <c r="AE121" s="850" t="str">
        <f>IF((OR(AND(L121&lt;&gt;"",T121&lt;&gt;"",V121&lt;&gt;""),AND(L121="",T121="",V121=""))),"○","×")</f>
        <v>○</v>
      </c>
      <c r="AF121" s="850"/>
    </row>
    <row r="122" spans="1:39" ht="21" customHeight="1" thickBot="1" x14ac:dyDescent="0.2">
      <c r="A122" s="379"/>
      <c r="B122" s="1487"/>
      <c r="C122" s="1518"/>
      <c r="D122" s="1520"/>
      <c r="E122" s="1520"/>
      <c r="F122" s="1520"/>
      <c r="G122" s="1521"/>
      <c r="H122" s="1527"/>
      <c r="I122" s="1528"/>
      <c r="J122" s="1528"/>
      <c r="K122" s="1529"/>
      <c r="L122" s="1514"/>
      <c r="M122" s="1515"/>
      <c r="N122" s="1515"/>
      <c r="O122" s="1515"/>
      <c r="P122" s="1515"/>
      <c r="Q122" s="1515"/>
      <c r="R122" s="1515"/>
      <c r="S122" s="1516"/>
      <c r="T122" s="1500"/>
      <c r="U122" s="1501"/>
      <c r="V122" s="1508"/>
      <c r="W122" s="1509"/>
      <c r="X122" s="1491">
        <f>T122*V122</f>
        <v>0</v>
      </c>
      <c r="Y122" s="1492"/>
      <c r="Z122" s="1493"/>
      <c r="AA122" s="895"/>
      <c r="AB122" s="895"/>
      <c r="AC122" s="895"/>
      <c r="AD122" s="896"/>
      <c r="AE122" s="850" t="str">
        <f>IF((OR(AND(L122&lt;&gt;"",T122&lt;&gt;"",V122&lt;&gt;""),AND(L122="",T122="",V122=""))),"○","×")</f>
        <v>○</v>
      </c>
      <c r="AF122" s="850"/>
    </row>
    <row r="123" spans="1:39" ht="21" customHeight="1" thickBot="1" x14ac:dyDescent="0.2">
      <c r="A123" s="379"/>
      <c r="B123" s="1487"/>
      <c r="C123" s="1518"/>
      <c r="D123" s="1520"/>
      <c r="E123" s="1520"/>
      <c r="F123" s="1520"/>
      <c r="G123" s="1521"/>
      <c r="H123" s="1530"/>
      <c r="I123" s="1502" t="s">
        <v>53</v>
      </c>
      <c r="J123" s="1504"/>
      <c r="K123" s="1506" t="s">
        <v>46</v>
      </c>
      <c r="L123" s="1514"/>
      <c r="M123" s="1515"/>
      <c r="N123" s="1515"/>
      <c r="O123" s="1515"/>
      <c r="P123" s="1515"/>
      <c r="Q123" s="1515"/>
      <c r="R123" s="1515"/>
      <c r="S123" s="1516"/>
      <c r="T123" s="1500"/>
      <c r="U123" s="1501"/>
      <c r="V123" s="1508"/>
      <c r="W123" s="1509"/>
      <c r="X123" s="1491">
        <f>T123*V123</f>
        <v>0</v>
      </c>
      <c r="Y123" s="1492"/>
      <c r="Z123" s="1493"/>
      <c r="AA123" s="1555" t="s">
        <v>354</v>
      </c>
      <c r="AB123" s="1556"/>
      <c r="AC123" s="1556"/>
      <c r="AD123" s="1557"/>
      <c r="AE123" s="850" t="str">
        <f>IF((OR(AND(L123&lt;&gt;"",T123&lt;&gt;"",V123&lt;&gt;""),AND(L123="",T123="",V123=""))),"○","×")</f>
        <v>○</v>
      </c>
    </row>
    <row r="124" spans="1:39" ht="21" customHeight="1" thickBot="1" x14ac:dyDescent="0.2">
      <c r="A124" s="379"/>
      <c r="B124" s="1487"/>
      <c r="C124" s="1519"/>
      <c r="D124" s="1522"/>
      <c r="E124" s="1522"/>
      <c r="F124" s="1522"/>
      <c r="G124" s="1523"/>
      <c r="H124" s="1531"/>
      <c r="I124" s="1503"/>
      <c r="J124" s="1505"/>
      <c r="K124" s="1507"/>
      <c r="L124" s="1761"/>
      <c r="M124" s="1762"/>
      <c r="N124" s="1762"/>
      <c r="O124" s="1762"/>
      <c r="P124" s="1762"/>
      <c r="Q124" s="1762"/>
      <c r="R124" s="1762"/>
      <c r="S124" s="1763"/>
      <c r="T124" s="1510"/>
      <c r="U124" s="1511"/>
      <c r="V124" s="1512"/>
      <c r="W124" s="1513"/>
      <c r="X124" s="1494">
        <f>T124*V124</f>
        <v>0</v>
      </c>
      <c r="Y124" s="1495"/>
      <c r="Z124" s="1496"/>
      <c r="AA124" s="1759">
        <f>SUM(X121:Z124)</f>
        <v>0</v>
      </c>
      <c r="AB124" s="1760"/>
      <c r="AC124" s="1760"/>
      <c r="AD124" s="46" t="s">
        <v>59</v>
      </c>
      <c r="AE124" s="850" t="str">
        <f>IF((OR(AND(L124&lt;&gt;"",T124&lt;&gt;"",V124&lt;&gt;""),AND(L124="",T124="",V124=""))),"○","×")</f>
        <v>○</v>
      </c>
    </row>
    <row r="125" spans="1:39" ht="3.75" customHeight="1" thickBot="1" x14ac:dyDescent="0.2">
      <c r="A125" s="379"/>
      <c r="B125" s="379"/>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347"/>
      <c r="AC125" s="347"/>
      <c r="AD125" s="347"/>
      <c r="AE125" s="347"/>
      <c r="AF125" s="347"/>
      <c r="AG125" s="378"/>
      <c r="AH125" s="378"/>
      <c r="AI125" s="378"/>
      <c r="AJ125" s="347"/>
      <c r="AK125" s="2"/>
    </row>
    <row r="126" spans="1:39" ht="22.5" customHeight="1" thickBot="1" x14ac:dyDescent="0.2">
      <c r="A126" s="379"/>
      <c r="B126" s="1487" t="str">
        <f>IF(AND(AE127="○",AE128="○",AE129="○",AE130="○",AA126="○",AA127="○"),"○","×")</f>
        <v>○</v>
      </c>
      <c r="C126" s="1517">
        <v>4</v>
      </c>
      <c r="D126" s="1532" t="s">
        <v>21</v>
      </c>
      <c r="E126" s="1533"/>
      <c r="F126" s="1533"/>
      <c r="G126" s="1536"/>
      <c r="H126" s="1532" t="s">
        <v>450</v>
      </c>
      <c r="I126" s="1533"/>
      <c r="J126" s="1533"/>
      <c r="K126" s="1536"/>
      <c r="L126" s="1532" t="s">
        <v>54</v>
      </c>
      <c r="M126" s="1533"/>
      <c r="N126" s="1533"/>
      <c r="O126" s="1533"/>
      <c r="P126" s="1533"/>
      <c r="Q126" s="1533"/>
      <c r="R126" s="1533"/>
      <c r="S126" s="1534"/>
      <c r="T126" s="1535" t="s">
        <v>25</v>
      </c>
      <c r="U126" s="1534"/>
      <c r="V126" s="1535" t="s">
        <v>26</v>
      </c>
      <c r="W126" s="1534"/>
      <c r="X126" s="1535" t="s">
        <v>24</v>
      </c>
      <c r="Y126" s="1533"/>
      <c r="Z126" s="1536"/>
      <c r="AA126" s="848" t="str">
        <f>IF(AND(AB126=AC126,AC126=AD126,AB126=AD126),"○","×")</f>
        <v>○</v>
      </c>
      <c r="AB126" s="849">
        <f>COUNTA(L127,L128,L129,L130)</f>
        <v>0</v>
      </c>
      <c r="AC126" s="849">
        <f>COUNTA(T127,T128,T129,T130)</f>
        <v>0</v>
      </c>
      <c r="AD126" s="849">
        <f>COUNTA(V127,V128,V129,V130)</f>
        <v>0</v>
      </c>
      <c r="AE126" s="876"/>
      <c r="AK126" s="378"/>
      <c r="AL126" s="347"/>
      <c r="AM126" s="2"/>
    </row>
    <row r="127" spans="1:39" ht="21" customHeight="1" x14ac:dyDescent="0.15">
      <c r="A127" s="379"/>
      <c r="B127" s="1487"/>
      <c r="C127" s="1518"/>
      <c r="D127" s="1520"/>
      <c r="E127" s="1520"/>
      <c r="F127" s="1520"/>
      <c r="G127" s="1521"/>
      <c r="H127" s="1524"/>
      <c r="I127" s="1525"/>
      <c r="J127" s="1525"/>
      <c r="K127" s="1526"/>
      <c r="L127" s="1497"/>
      <c r="M127" s="1498"/>
      <c r="N127" s="1498"/>
      <c r="O127" s="1498"/>
      <c r="P127" s="1498"/>
      <c r="Q127" s="1498"/>
      <c r="R127" s="1498"/>
      <c r="S127" s="1499"/>
      <c r="T127" s="1539"/>
      <c r="U127" s="1540"/>
      <c r="V127" s="1558"/>
      <c r="W127" s="1559"/>
      <c r="X127" s="1488">
        <f>T127*V127</f>
        <v>0</v>
      </c>
      <c r="Y127" s="1489"/>
      <c r="Z127" s="1490"/>
      <c r="AA127" s="894" t="str">
        <f>IF(OR(AND(D127="",H127="",H129="",J129="",L127=""),AND(D127&lt;&gt;"",H127&lt;&gt;"",H129&lt;&gt;"",J129&lt;&gt;"",L127&lt;&gt;"")),"○","×")</f>
        <v>○</v>
      </c>
      <c r="AB127" s="897"/>
      <c r="AC127" s="895"/>
      <c r="AD127" s="896"/>
      <c r="AE127" s="850" t="str">
        <f>IF((OR(AND(L127&lt;&gt;"",T127&lt;&gt;"",V127&lt;&gt;""),AND(L127="",T127="",V127=""))),"○","×")</f>
        <v>○</v>
      </c>
    </row>
    <row r="128" spans="1:39" ht="21" customHeight="1" thickBot="1" x14ac:dyDescent="0.2">
      <c r="A128" s="379"/>
      <c r="B128" s="1487"/>
      <c r="C128" s="1518"/>
      <c r="D128" s="1520"/>
      <c r="E128" s="1520"/>
      <c r="F128" s="1520"/>
      <c r="G128" s="1521"/>
      <c r="H128" s="1527"/>
      <c r="I128" s="1528"/>
      <c r="J128" s="1528"/>
      <c r="K128" s="1529"/>
      <c r="L128" s="1514"/>
      <c r="M128" s="1515"/>
      <c r="N128" s="1515"/>
      <c r="O128" s="1515"/>
      <c r="P128" s="1515"/>
      <c r="Q128" s="1515"/>
      <c r="R128" s="1515"/>
      <c r="S128" s="1516"/>
      <c r="T128" s="1500"/>
      <c r="U128" s="1501"/>
      <c r="V128" s="1508"/>
      <c r="W128" s="1509"/>
      <c r="X128" s="1491">
        <f>T128*V128</f>
        <v>0</v>
      </c>
      <c r="Y128" s="1492"/>
      <c r="Z128" s="1493"/>
      <c r="AA128" s="895"/>
      <c r="AB128" s="895"/>
      <c r="AC128" s="895"/>
      <c r="AD128" s="896"/>
      <c r="AE128" s="850" t="str">
        <f>IF((OR(AND(L128&lt;&gt;"",T128&lt;&gt;"",V128&lt;&gt;""),AND(L128="",T128="",V128=""))),"○","×")</f>
        <v>○</v>
      </c>
    </row>
    <row r="129" spans="1:39" ht="21" customHeight="1" thickBot="1" x14ac:dyDescent="0.2">
      <c r="A129" s="379"/>
      <c r="B129" s="1487"/>
      <c r="C129" s="1518"/>
      <c r="D129" s="1520"/>
      <c r="E129" s="1520"/>
      <c r="F129" s="1520"/>
      <c r="G129" s="1521"/>
      <c r="H129" s="1530"/>
      <c r="I129" s="1502" t="s">
        <v>53</v>
      </c>
      <c r="J129" s="1504"/>
      <c r="K129" s="1506" t="s">
        <v>46</v>
      </c>
      <c r="L129" s="1514"/>
      <c r="M129" s="1515"/>
      <c r="N129" s="1515"/>
      <c r="O129" s="1515"/>
      <c r="P129" s="1515"/>
      <c r="Q129" s="1515"/>
      <c r="R129" s="1515"/>
      <c r="S129" s="1516"/>
      <c r="T129" s="1500"/>
      <c r="U129" s="1501"/>
      <c r="V129" s="1508"/>
      <c r="W129" s="1509"/>
      <c r="X129" s="1491">
        <f>T129*V129</f>
        <v>0</v>
      </c>
      <c r="Y129" s="1492"/>
      <c r="Z129" s="1493"/>
      <c r="AA129" s="1555" t="s">
        <v>354</v>
      </c>
      <c r="AB129" s="1556"/>
      <c r="AC129" s="1556"/>
      <c r="AD129" s="1557"/>
      <c r="AE129" s="850" t="str">
        <f>IF((OR(AND(L129&lt;&gt;"",T129&lt;&gt;"",V129&lt;&gt;""),AND(L129="",T129="",V129=""))),"○","×")</f>
        <v>○</v>
      </c>
    </row>
    <row r="130" spans="1:39" ht="21" customHeight="1" thickBot="1" x14ac:dyDescent="0.2">
      <c r="A130" s="379"/>
      <c r="B130" s="1487"/>
      <c r="C130" s="1519"/>
      <c r="D130" s="1522"/>
      <c r="E130" s="1522"/>
      <c r="F130" s="1522"/>
      <c r="G130" s="1523"/>
      <c r="H130" s="1531"/>
      <c r="I130" s="1503"/>
      <c r="J130" s="1505"/>
      <c r="K130" s="1507"/>
      <c r="L130" s="1761"/>
      <c r="M130" s="1762"/>
      <c r="N130" s="1762"/>
      <c r="O130" s="1762"/>
      <c r="P130" s="1762"/>
      <c r="Q130" s="1762"/>
      <c r="R130" s="1762"/>
      <c r="S130" s="1763"/>
      <c r="T130" s="1510"/>
      <c r="U130" s="1511"/>
      <c r="V130" s="1512"/>
      <c r="W130" s="1513"/>
      <c r="X130" s="1494">
        <f>T130*V130</f>
        <v>0</v>
      </c>
      <c r="Y130" s="1495"/>
      <c r="Z130" s="1496"/>
      <c r="AA130" s="1759">
        <f>SUM(X127:Z130)</f>
        <v>0</v>
      </c>
      <c r="AB130" s="1760"/>
      <c r="AC130" s="1760"/>
      <c r="AD130" s="46" t="s">
        <v>59</v>
      </c>
      <c r="AE130" s="850" t="str">
        <f>IF((OR(AND(L130&lt;&gt;"",T130&lt;&gt;"",V130&lt;&gt;""),AND(L130="",T130="",V130=""))),"○","×")</f>
        <v>○</v>
      </c>
    </row>
    <row r="131" spans="1:39" ht="3.75" customHeight="1" thickBot="1" x14ac:dyDescent="0.2">
      <c r="A131" s="379"/>
      <c r="B131" s="379"/>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347"/>
      <c r="AC131" s="347"/>
      <c r="AD131" s="347"/>
      <c r="AE131" s="347"/>
      <c r="AF131" s="347"/>
      <c r="AG131" s="378"/>
      <c r="AH131" s="378"/>
      <c r="AI131" s="378"/>
      <c r="AJ131" s="347"/>
      <c r="AK131" s="2"/>
    </row>
    <row r="132" spans="1:39" ht="22.5" customHeight="1" thickBot="1" x14ac:dyDescent="0.2">
      <c r="A132" s="379"/>
      <c r="B132" s="1487" t="str">
        <f>IF(AND(AE133="○",AE134="○",AE135="○",AE136="○",AA132="○",AA133="○"),"○","×")</f>
        <v>○</v>
      </c>
      <c r="C132" s="1517">
        <v>5</v>
      </c>
      <c r="D132" s="1532" t="s">
        <v>21</v>
      </c>
      <c r="E132" s="1533"/>
      <c r="F132" s="1533"/>
      <c r="G132" s="1536"/>
      <c r="H132" s="1532" t="s">
        <v>450</v>
      </c>
      <c r="I132" s="1533"/>
      <c r="J132" s="1533"/>
      <c r="K132" s="1536"/>
      <c r="L132" s="1532" t="s">
        <v>54</v>
      </c>
      <c r="M132" s="1533"/>
      <c r="N132" s="1533"/>
      <c r="O132" s="1533"/>
      <c r="P132" s="1533"/>
      <c r="Q132" s="1533"/>
      <c r="R132" s="1533"/>
      <c r="S132" s="1534"/>
      <c r="T132" s="1535" t="s">
        <v>25</v>
      </c>
      <c r="U132" s="1534"/>
      <c r="V132" s="1535" t="s">
        <v>26</v>
      </c>
      <c r="W132" s="1534"/>
      <c r="X132" s="1535" t="s">
        <v>24</v>
      </c>
      <c r="Y132" s="1533"/>
      <c r="Z132" s="1536"/>
      <c r="AA132" s="848" t="str">
        <f>IF(AND(AB132=AC132,AC132=AD132,AB132=AD132),"○","×")</f>
        <v>○</v>
      </c>
      <c r="AB132" s="849">
        <f>COUNTA(L133,L134,L135,L136)</f>
        <v>0</v>
      </c>
      <c r="AC132" s="849">
        <f>COUNTA(T133,T134,T135,T136)</f>
        <v>0</v>
      </c>
      <c r="AD132" s="849">
        <f>COUNTA(V133,V134,V135,V136)</f>
        <v>0</v>
      </c>
      <c r="AE132" s="876"/>
      <c r="AK132" s="378"/>
      <c r="AL132" s="347"/>
      <c r="AM132" s="2"/>
    </row>
    <row r="133" spans="1:39" ht="21" customHeight="1" x14ac:dyDescent="0.15">
      <c r="A133" s="379"/>
      <c r="B133" s="1487"/>
      <c r="C133" s="1518"/>
      <c r="D133" s="1520"/>
      <c r="E133" s="1520"/>
      <c r="F133" s="1520"/>
      <c r="G133" s="1521"/>
      <c r="H133" s="1524"/>
      <c r="I133" s="1525"/>
      <c r="J133" s="1525"/>
      <c r="K133" s="1526"/>
      <c r="L133" s="1497"/>
      <c r="M133" s="1498"/>
      <c r="N133" s="1498"/>
      <c r="O133" s="1498"/>
      <c r="P133" s="1498"/>
      <c r="Q133" s="1498"/>
      <c r="R133" s="1498"/>
      <c r="S133" s="1499"/>
      <c r="T133" s="1539"/>
      <c r="U133" s="1540"/>
      <c r="V133" s="1558"/>
      <c r="W133" s="1559"/>
      <c r="X133" s="1488">
        <f>T133*V133</f>
        <v>0</v>
      </c>
      <c r="Y133" s="1489"/>
      <c r="Z133" s="1490"/>
      <c r="AA133" s="894" t="str">
        <f>IF(OR(AND(D133="",H133="",H135="",J135="",L133=""),AND(D133&lt;&gt;"",H133&lt;&gt;"",H135&lt;&gt;"",J135&lt;&gt;"",L133&lt;&gt;"")),"○","×")</f>
        <v>○</v>
      </c>
      <c r="AB133" s="897"/>
      <c r="AC133" s="895"/>
      <c r="AD133" s="896"/>
      <c r="AE133" s="850" t="str">
        <f>IF((OR(AND(L133&lt;&gt;"",T133&lt;&gt;"",V133&lt;&gt;""),AND(L133="",T133="",V133=""))),"○","×")</f>
        <v>○</v>
      </c>
    </row>
    <row r="134" spans="1:39" ht="21" customHeight="1" thickBot="1" x14ac:dyDescent="0.2">
      <c r="A134" s="379"/>
      <c r="B134" s="1487"/>
      <c r="C134" s="1518"/>
      <c r="D134" s="1520"/>
      <c r="E134" s="1520"/>
      <c r="F134" s="1520"/>
      <c r="G134" s="1521"/>
      <c r="H134" s="1527"/>
      <c r="I134" s="1528"/>
      <c r="J134" s="1528"/>
      <c r="K134" s="1529"/>
      <c r="L134" s="1514"/>
      <c r="M134" s="1515"/>
      <c r="N134" s="1515"/>
      <c r="O134" s="1515"/>
      <c r="P134" s="1515"/>
      <c r="Q134" s="1515"/>
      <c r="R134" s="1515"/>
      <c r="S134" s="1516"/>
      <c r="T134" s="1500"/>
      <c r="U134" s="1501"/>
      <c r="V134" s="1508"/>
      <c r="W134" s="1509"/>
      <c r="X134" s="1491">
        <f>T134*V134</f>
        <v>0</v>
      </c>
      <c r="Y134" s="1492"/>
      <c r="Z134" s="1493"/>
      <c r="AA134" s="895"/>
      <c r="AB134" s="895"/>
      <c r="AC134" s="895"/>
      <c r="AD134" s="896"/>
      <c r="AE134" s="850" t="str">
        <f>IF((OR(AND(L134&lt;&gt;"",T134&lt;&gt;"",V134&lt;&gt;""),AND(L134="",T134="",V134=""))),"○","×")</f>
        <v>○</v>
      </c>
    </row>
    <row r="135" spans="1:39" ht="21" customHeight="1" thickBot="1" x14ac:dyDescent="0.2">
      <c r="A135" s="379"/>
      <c r="B135" s="1487"/>
      <c r="C135" s="1518"/>
      <c r="D135" s="1520"/>
      <c r="E135" s="1520"/>
      <c r="F135" s="1520"/>
      <c r="G135" s="1521"/>
      <c r="H135" s="1530"/>
      <c r="I135" s="1502" t="s">
        <v>53</v>
      </c>
      <c r="J135" s="1504"/>
      <c r="K135" s="1506" t="s">
        <v>46</v>
      </c>
      <c r="L135" s="1514"/>
      <c r="M135" s="1515"/>
      <c r="N135" s="1515"/>
      <c r="O135" s="1515"/>
      <c r="P135" s="1515"/>
      <c r="Q135" s="1515"/>
      <c r="R135" s="1515"/>
      <c r="S135" s="1516"/>
      <c r="T135" s="1500"/>
      <c r="U135" s="1501"/>
      <c r="V135" s="1508"/>
      <c r="W135" s="1509"/>
      <c r="X135" s="1491">
        <f>T135*V135</f>
        <v>0</v>
      </c>
      <c r="Y135" s="1492"/>
      <c r="Z135" s="1493"/>
      <c r="AA135" s="1555" t="s">
        <v>354</v>
      </c>
      <c r="AB135" s="1556"/>
      <c r="AC135" s="1556"/>
      <c r="AD135" s="1557"/>
      <c r="AE135" s="850" t="str">
        <f>IF((OR(AND(L135&lt;&gt;"",T135&lt;&gt;"",V135&lt;&gt;""),AND(L135="",T135="",V135=""))),"○","×")</f>
        <v>○</v>
      </c>
    </row>
    <row r="136" spans="1:39" ht="21" customHeight="1" thickBot="1" x14ac:dyDescent="0.2">
      <c r="A136" s="379"/>
      <c r="B136" s="1487"/>
      <c r="C136" s="1519"/>
      <c r="D136" s="1522"/>
      <c r="E136" s="1522"/>
      <c r="F136" s="1522"/>
      <c r="G136" s="1523"/>
      <c r="H136" s="1531"/>
      <c r="I136" s="1503"/>
      <c r="J136" s="1505"/>
      <c r="K136" s="1507"/>
      <c r="L136" s="1761"/>
      <c r="M136" s="1762"/>
      <c r="N136" s="1762"/>
      <c r="O136" s="1762"/>
      <c r="P136" s="1762"/>
      <c r="Q136" s="1762"/>
      <c r="R136" s="1762"/>
      <c r="S136" s="1763"/>
      <c r="T136" s="1510"/>
      <c r="U136" s="1511"/>
      <c r="V136" s="1512"/>
      <c r="W136" s="1513"/>
      <c r="X136" s="1494">
        <f>T136*V136</f>
        <v>0</v>
      </c>
      <c r="Y136" s="1495"/>
      <c r="Z136" s="1496"/>
      <c r="AA136" s="1759">
        <f>SUM(X133:Z136)</f>
        <v>0</v>
      </c>
      <c r="AB136" s="1760"/>
      <c r="AC136" s="1760"/>
      <c r="AD136" s="46" t="s">
        <v>59</v>
      </c>
      <c r="AE136" s="850" t="str">
        <f>IF((OR(AND(L136&lt;&gt;"",T136&lt;&gt;"",V136&lt;&gt;""),AND(L136="",T136="",V136=""))),"○","×")</f>
        <v>○</v>
      </c>
    </row>
    <row r="137" spans="1:39" ht="3.75" customHeight="1" thickBot="1" x14ac:dyDescent="0.2">
      <c r="A137" s="379"/>
      <c r="B137" s="379"/>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347"/>
      <c r="AC137" s="347"/>
      <c r="AD137" s="347"/>
      <c r="AE137" s="347"/>
      <c r="AF137" s="347"/>
      <c r="AG137" s="378"/>
      <c r="AH137" s="378"/>
      <c r="AI137" s="378"/>
      <c r="AJ137" s="347"/>
      <c r="AK137" s="2"/>
    </row>
    <row r="138" spans="1:39" ht="22.5" customHeight="1" thickBot="1" x14ac:dyDescent="0.2">
      <c r="A138" s="379"/>
      <c r="B138" s="1487" t="str">
        <f>IF(AND(AE139="○",AE140="○",AE141="○",AE142="○",AA138="○",AA139="○"),"○","×")</f>
        <v>○</v>
      </c>
      <c r="C138" s="1517">
        <v>6</v>
      </c>
      <c r="D138" s="1532" t="s">
        <v>21</v>
      </c>
      <c r="E138" s="1533"/>
      <c r="F138" s="1533"/>
      <c r="G138" s="1536"/>
      <c r="H138" s="1532" t="s">
        <v>450</v>
      </c>
      <c r="I138" s="1533"/>
      <c r="J138" s="1533"/>
      <c r="K138" s="1536"/>
      <c r="L138" s="1532" t="s">
        <v>54</v>
      </c>
      <c r="M138" s="1533"/>
      <c r="N138" s="1533"/>
      <c r="O138" s="1533"/>
      <c r="P138" s="1533"/>
      <c r="Q138" s="1533"/>
      <c r="R138" s="1533"/>
      <c r="S138" s="1534"/>
      <c r="T138" s="1535" t="s">
        <v>25</v>
      </c>
      <c r="U138" s="1534"/>
      <c r="V138" s="1535" t="s">
        <v>26</v>
      </c>
      <c r="W138" s="1534"/>
      <c r="X138" s="1535" t="s">
        <v>24</v>
      </c>
      <c r="Y138" s="1533"/>
      <c r="Z138" s="1536"/>
      <c r="AA138" s="848" t="str">
        <f>IF(AND(AB138=AC138,AC138=AD138,AB138=AD138),"○","×")</f>
        <v>○</v>
      </c>
      <c r="AB138" s="849">
        <f>COUNTA(L139,L140,L141,L142)</f>
        <v>0</v>
      </c>
      <c r="AC138" s="849">
        <f>COUNTA(T139,T140,T141,T142)</f>
        <v>0</v>
      </c>
      <c r="AD138" s="849">
        <f>COUNTA(V139,V140,V141,V142)</f>
        <v>0</v>
      </c>
      <c r="AE138" s="876"/>
      <c r="AK138" s="378"/>
      <c r="AL138" s="347"/>
      <c r="AM138" s="2"/>
    </row>
    <row r="139" spans="1:39" ht="21" customHeight="1" x14ac:dyDescent="0.15">
      <c r="A139" s="379"/>
      <c r="B139" s="1487"/>
      <c r="C139" s="1518"/>
      <c r="D139" s="1520"/>
      <c r="E139" s="1520"/>
      <c r="F139" s="1520"/>
      <c r="G139" s="1521"/>
      <c r="H139" s="1524"/>
      <c r="I139" s="1525"/>
      <c r="J139" s="1525"/>
      <c r="K139" s="1526"/>
      <c r="L139" s="1497"/>
      <c r="M139" s="1498"/>
      <c r="N139" s="1498"/>
      <c r="O139" s="1498"/>
      <c r="P139" s="1498"/>
      <c r="Q139" s="1498"/>
      <c r="R139" s="1498"/>
      <c r="S139" s="1499"/>
      <c r="T139" s="1539"/>
      <c r="U139" s="1540"/>
      <c r="V139" s="1558"/>
      <c r="W139" s="1559"/>
      <c r="X139" s="1488">
        <f>T139*V139</f>
        <v>0</v>
      </c>
      <c r="Y139" s="1489"/>
      <c r="Z139" s="1490"/>
      <c r="AA139" s="894" t="str">
        <f>IF(OR(AND(D139="",H139="",H141="",J141="",L139=""),AND(D139&lt;&gt;"",H139&lt;&gt;"",H141&lt;&gt;"",J141&lt;&gt;"",L139&lt;&gt;"")),"○","×")</f>
        <v>○</v>
      </c>
      <c r="AB139" s="897"/>
      <c r="AC139" s="895"/>
      <c r="AD139" s="896"/>
      <c r="AE139" s="850" t="str">
        <f>IF((OR(AND(L139&lt;&gt;"",T139&lt;&gt;"",V139&lt;&gt;""),AND(L139="",T139="",V139=""))),"○","×")</f>
        <v>○</v>
      </c>
    </row>
    <row r="140" spans="1:39" ht="21" customHeight="1" thickBot="1" x14ac:dyDescent="0.2">
      <c r="A140" s="379"/>
      <c r="B140" s="1487"/>
      <c r="C140" s="1518"/>
      <c r="D140" s="1520"/>
      <c r="E140" s="1520"/>
      <c r="F140" s="1520"/>
      <c r="G140" s="1521"/>
      <c r="H140" s="1527"/>
      <c r="I140" s="1528"/>
      <c r="J140" s="1528"/>
      <c r="K140" s="1529"/>
      <c r="L140" s="1514"/>
      <c r="M140" s="1515"/>
      <c r="N140" s="1515"/>
      <c r="O140" s="1515"/>
      <c r="P140" s="1515"/>
      <c r="Q140" s="1515"/>
      <c r="R140" s="1515"/>
      <c r="S140" s="1516"/>
      <c r="T140" s="1500"/>
      <c r="U140" s="1501"/>
      <c r="V140" s="1508"/>
      <c r="W140" s="1509"/>
      <c r="X140" s="1491">
        <f>T140*V140</f>
        <v>0</v>
      </c>
      <c r="Y140" s="1492"/>
      <c r="Z140" s="1493"/>
      <c r="AA140" s="895"/>
      <c r="AB140" s="895"/>
      <c r="AC140" s="895"/>
      <c r="AD140" s="896"/>
      <c r="AE140" s="850" t="str">
        <f>IF((OR(AND(L140&lt;&gt;"",T140&lt;&gt;"",V140&lt;&gt;""),AND(L140="",T140="",V140=""))),"○","×")</f>
        <v>○</v>
      </c>
    </row>
    <row r="141" spans="1:39" ht="21" customHeight="1" thickBot="1" x14ac:dyDescent="0.2">
      <c r="A141" s="379"/>
      <c r="B141" s="1487"/>
      <c r="C141" s="1518"/>
      <c r="D141" s="1520"/>
      <c r="E141" s="1520"/>
      <c r="F141" s="1520"/>
      <c r="G141" s="1521"/>
      <c r="H141" s="1530"/>
      <c r="I141" s="1502" t="s">
        <v>53</v>
      </c>
      <c r="J141" s="1504"/>
      <c r="K141" s="1506" t="s">
        <v>46</v>
      </c>
      <c r="L141" s="1514"/>
      <c r="M141" s="1515"/>
      <c r="N141" s="1515"/>
      <c r="O141" s="1515"/>
      <c r="P141" s="1515"/>
      <c r="Q141" s="1515"/>
      <c r="R141" s="1515"/>
      <c r="S141" s="1516"/>
      <c r="T141" s="1500"/>
      <c r="U141" s="1501"/>
      <c r="V141" s="1508"/>
      <c r="W141" s="1509"/>
      <c r="X141" s="1491">
        <f>T141*V141</f>
        <v>0</v>
      </c>
      <c r="Y141" s="1492"/>
      <c r="Z141" s="1493"/>
      <c r="AA141" s="1555" t="s">
        <v>354</v>
      </c>
      <c r="AB141" s="1556"/>
      <c r="AC141" s="1556"/>
      <c r="AD141" s="1557"/>
      <c r="AE141" s="850" t="str">
        <f>IF((OR(AND(L141&lt;&gt;"",T141&lt;&gt;"",V141&lt;&gt;""),AND(L141="",T141="",V141=""))),"○","×")</f>
        <v>○</v>
      </c>
    </row>
    <row r="142" spans="1:39" ht="21" customHeight="1" thickBot="1" x14ac:dyDescent="0.2">
      <c r="A142" s="379"/>
      <c r="B142" s="1487"/>
      <c r="C142" s="1519"/>
      <c r="D142" s="1522"/>
      <c r="E142" s="1522"/>
      <c r="F142" s="1522"/>
      <c r="G142" s="1523"/>
      <c r="H142" s="1531"/>
      <c r="I142" s="1503"/>
      <c r="J142" s="1505"/>
      <c r="K142" s="1507"/>
      <c r="L142" s="1761"/>
      <c r="M142" s="1762"/>
      <c r="N142" s="1762"/>
      <c r="O142" s="1762"/>
      <c r="P142" s="1762"/>
      <c r="Q142" s="1762"/>
      <c r="R142" s="1762"/>
      <c r="S142" s="1763"/>
      <c r="T142" s="1510"/>
      <c r="U142" s="1511"/>
      <c r="V142" s="1512"/>
      <c r="W142" s="1513"/>
      <c r="X142" s="1494">
        <f>T142*V142</f>
        <v>0</v>
      </c>
      <c r="Y142" s="1495"/>
      <c r="Z142" s="1496"/>
      <c r="AA142" s="1759">
        <f>SUM(X139:Z142)</f>
        <v>0</v>
      </c>
      <c r="AB142" s="1760"/>
      <c r="AC142" s="1760"/>
      <c r="AD142" s="46" t="s">
        <v>59</v>
      </c>
      <c r="AE142" s="850" t="str">
        <f>IF((OR(AND(L142&lt;&gt;"",T142&lt;&gt;"",V142&lt;&gt;""),AND(L142="",T142="",V142=""))),"○","×")</f>
        <v>○</v>
      </c>
    </row>
    <row r="143" spans="1:39" ht="3.75" customHeight="1" thickBot="1" x14ac:dyDescent="0.2">
      <c r="A143" s="379"/>
      <c r="B143" s="379"/>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347"/>
      <c r="AC143" s="347"/>
      <c r="AD143" s="347"/>
      <c r="AE143" s="896"/>
      <c r="AF143" s="347"/>
      <c r="AG143" s="378"/>
      <c r="AH143" s="378"/>
      <c r="AI143" s="378"/>
      <c r="AJ143" s="347"/>
      <c r="AK143" s="2"/>
    </row>
    <row r="144" spans="1:39" ht="22.5" customHeight="1" thickBot="1" x14ac:dyDescent="0.2">
      <c r="A144" s="379"/>
      <c r="B144" s="1487" t="str">
        <f>IF(AND(AE145="○",AE146="○",AE147="○",AE148="○",AA144="○",AA145="○"),"○","×")</f>
        <v>○</v>
      </c>
      <c r="C144" s="1517">
        <v>7</v>
      </c>
      <c r="D144" s="1532" t="s">
        <v>21</v>
      </c>
      <c r="E144" s="1533"/>
      <c r="F144" s="1533"/>
      <c r="G144" s="1536"/>
      <c r="H144" s="1532" t="s">
        <v>450</v>
      </c>
      <c r="I144" s="1533"/>
      <c r="J144" s="1533"/>
      <c r="K144" s="1536"/>
      <c r="L144" s="1532" t="s">
        <v>54</v>
      </c>
      <c r="M144" s="1533"/>
      <c r="N144" s="1533"/>
      <c r="O144" s="1533"/>
      <c r="P144" s="1533"/>
      <c r="Q144" s="1533"/>
      <c r="R144" s="1533"/>
      <c r="S144" s="1534"/>
      <c r="T144" s="1535" t="s">
        <v>25</v>
      </c>
      <c r="U144" s="1534"/>
      <c r="V144" s="1535" t="s">
        <v>26</v>
      </c>
      <c r="W144" s="1534"/>
      <c r="X144" s="1535" t="s">
        <v>24</v>
      </c>
      <c r="Y144" s="1533"/>
      <c r="Z144" s="1536"/>
      <c r="AA144" s="848" t="str">
        <f>IF(AND(AB144=AC144,AC144=AD144,AB144=AD144),"○","×")</f>
        <v>○</v>
      </c>
      <c r="AB144" s="849">
        <f>COUNTA(L145,L146,L147,L148)</f>
        <v>0</v>
      </c>
      <c r="AC144" s="849">
        <f>COUNTA(T145,T146,T147,T148)</f>
        <v>0</v>
      </c>
      <c r="AD144" s="849">
        <f>COUNTA(V145,V146,V147,V148)</f>
        <v>0</v>
      </c>
      <c r="AE144" s="876"/>
      <c r="AK144" s="378"/>
      <c r="AL144" s="347"/>
      <c r="AM144" s="2"/>
    </row>
    <row r="145" spans="1:39" ht="21" customHeight="1" x14ac:dyDescent="0.15">
      <c r="A145" s="379"/>
      <c r="B145" s="1487"/>
      <c r="C145" s="1518"/>
      <c r="D145" s="1520"/>
      <c r="E145" s="1520"/>
      <c r="F145" s="1520"/>
      <c r="G145" s="1521"/>
      <c r="H145" s="1524"/>
      <c r="I145" s="1525"/>
      <c r="J145" s="1525"/>
      <c r="K145" s="1526"/>
      <c r="L145" s="1497"/>
      <c r="M145" s="1498"/>
      <c r="N145" s="1498"/>
      <c r="O145" s="1498"/>
      <c r="P145" s="1498"/>
      <c r="Q145" s="1498"/>
      <c r="R145" s="1498"/>
      <c r="S145" s="1499"/>
      <c r="T145" s="1539"/>
      <c r="U145" s="1540"/>
      <c r="V145" s="1558"/>
      <c r="W145" s="1559"/>
      <c r="X145" s="1488">
        <f>T145*V145</f>
        <v>0</v>
      </c>
      <c r="Y145" s="1489"/>
      <c r="Z145" s="1490"/>
      <c r="AA145" s="894" t="str">
        <f>IF(OR(AND(D145="",H145="",H147="",J147="",L145=""),AND(D145&lt;&gt;"",H145&lt;&gt;"",H147&lt;&gt;"",J147&lt;&gt;"",L145&lt;&gt;"")),"○","×")</f>
        <v>○</v>
      </c>
      <c r="AB145" s="897"/>
      <c r="AC145" s="895"/>
      <c r="AD145" s="896"/>
      <c r="AE145" s="850" t="str">
        <f>IF((OR(AND(L145&lt;&gt;"",T145&lt;&gt;"",V145&lt;&gt;""),AND(L145="",T145="",V145=""))),"○","×")</f>
        <v>○</v>
      </c>
    </row>
    <row r="146" spans="1:39" ht="21" customHeight="1" thickBot="1" x14ac:dyDescent="0.2">
      <c r="A146" s="379"/>
      <c r="B146" s="1487"/>
      <c r="C146" s="1518"/>
      <c r="D146" s="1520"/>
      <c r="E146" s="1520"/>
      <c r="F146" s="1520"/>
      <c r="G146" s="1521"/>
      <c r="H146" s="1527"/>
      <c r="I146" s="1528"/>
      <c r="J146" s="1528"/>
      <c r="K146" s="1529"/>
      <c r="L146" s="1514"/>
      <c r="M146" s="1515"/>
      <c r="N146" s="1515"/>
      <c r="O146" s="1515"/>
      <c r="P146" s="1515"/>
      <c r="Q146" s="1515"/>
      <c r="R146" s="1515"/>
      <c r="S146" s="1516"/>
      <c r="T146" s="1500"/>
      <c r="U146" s="1501"/>
      <c r="V146" s="1508"/>
      <c r="W146" s="1509"/>
      <c r="X146" s="1491">
        <f>T146*V146</f>
        <v>0</v>
      </c>
      <c r="Y146" s="1492"/>
      <c r="Z146" s="1493"/>
      <c r="AA146" s="895"/>
      <c r="AB146" s="895"/>
      <c r="AC146" s="895"/>
      <c r="AD146" s="896"/>
      <c r="AE146" s="850" t="str">
        <f>IF((OR(AND(L146&lt;&gt;"",T146&lt;&gt;"",V146&lt;&gt;""),AND(L146="",T146="",V146=""))),"○","×")</f>
        <v>○</v>
      </c>
    </row>
    <row r="147" spans="1:39" ht="21" customHeight="1" thickBot="1" x14ac:dyDescent="0.2">
      <c r="A147" s="379"/>
      <c r="B147" s="1487"/>
      <c r="C147" s="1518"/>
      <c r="D147" s="1520"/>
      <c r="E147" s="1520"/>
      <c r="F147" s="1520"/>
      <c r="G147" s="1521"/>
      <c r="H147" s="1530"/>
      <c r="I147" s="1502" t="s">
        <v>53</v>
      </c>
      <c r="J147" s="1504"/>
      <c r="K147" s="1506" t="s">
        <v>46</v>
      </c>
      <c r="L147" s="1514"/>
      <c r="M147" s="1515"/>
      <c r="N147" s="1515"/>
      <c r="O147" s="1515"/>
      <c r="P147" s="1515"/>
      <c r="Q147" s="1515"/>
      <c r="R147" s="1515"/>
      <c r="S147" s="1516"/>
      <c r="T147" s="1500"/>
      <c r="U147" s="1501"/>
      <c r="V147" s="1508"/>
      <c r="W147" s="1509"/>
      <c r="X147" s="1491">
        <f>T147*V147</f>
        <v>0</v>
      </c>
      <c r="Y147" s="1492"/>
      <c r="Z147" s="1493"/>
      <c r="AA147" s="1555" t="s">
        <v>354</v>
      </c>
      <c r="AB147" s="1556"/>
      <c r="AC147" s="1556"/>
      <c r="AD147" s="1557"/>
      <c r="AE147" s="850" t="str">
        <f>IF((OR(AND(L147&lt;&gt;"",T147&lt;&gt;"",V147&lt;&gt;""),AND(L147="",T147="",V147=""))),"○","×")</f>
        <v>○</v>
      </c>
    </row>
    <row r="148" spans="1:39" ht="21" customHeight="1" thickBot="1" x14ac:dyDescent="0.2">
      <c r="A148" s="379"/>
      <c r="B148" s="1487"/>
      <c r="C148" s="1519"/>
      <c r="D148" s="1522"/>
      <c r="E148" s="1522"/>
      <c r="F148" s="1522"/>
      <c r="G148" s="1523"/>
      <c r="H148" s="1531"/>
      <c r="I148" s="1503"/>
      <c r="J148" s="1505"/>
      <c r="K148" s="1507"/>
      <c r="L148" s="1761"/>
      <c r="M148" s="1762"/>
      <c r="N148" s="1762"/>
      <c r="O148" s="1762"/>
      <c r="P148" s="1762"/>
      <c r="Q148" s="1762"/>
      <c r="R148" s="1762"/>
      <c r="S148" s="1763"/>
      <c r="T148" s="1510"/>
      <c r="U148" s="1511"/>
      <c r="V148" s="1512"/>
      <c r="W148" s="1513"/>
      <c r="X148" s="1494">
        <f>T148*V148</f>
        <v>0</v>
      </c>
      <c r="Y148" s="1495"/>
      <c r="Z148" s="1496"/>
      <c r="AA148" s="1759">
        <f>SUM(X145:Z148)</f>
        <v>0</v>
      </c>
      <c r="AB148" s="1760"/>
      <c r="AC148" s="1760"/>
      <c r="AD148" s="46" t="s">
        <v>59</v>
      </c>
      <c r="AE148" s="850" t="str">
        <f>IF((OR(AND(L148&lt;&gt;"",T148&lt;&gt;"",V148&lt;&gt;""),AND(L148="",T148="",V148=""))),"○","×")</f>
        <v>○</v>
      </c>
    </row>
    <row r="149" spans="1:39" ht="3.75" customHeight="1" thickBot="1" x14ac:dyDescent="0.2">
      <c r="A149" s="379"/>
      <c r="B149" s="379"/>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347"/>
      <c r="AC149" s="347"/>
      <c r="AD149" s="347"/>
      <c r="AE149" s="896"/>
      <c r="AF149" s="347"/>
      <c r="AG149" s="378"/>
      <c r="AH149" s="378"/>
      <c r="AI149" s="378"/>
      <c r="AJ149" s="347"/>
      <c r="AK149" s="2"/>
    </row>
    <row r="150" spans="1:39" ht="22.5" customHeight="1" thickBot="1" x14ac:dyDescent="0.2">
      <c r="A150" s="379"/>
      <c r="B150" s="1487" t="str">
        <f>IF(AND(AE151="○",AE152="○",AE153="○",AE154="○",AA150="○",AA151="○"),"○","×")</f>
        <v>○</v>
      </c>
      <c r="C150" s="1517">
        <v>8</v>
      </c>
      <c r="D150" s="1532" t="s">
        <v>21</v>
      </c>
      <c r="E150" s="1533"/>
      <c r="F150" s="1533"/>
      <c r="G150" s="1536"/>
      <c r="H150" s="1532" t="s">
        <v>450</v>
      </c>
      <c r="I150" s="1533"/>
      <c r="J150" s="1533"/>
      <c r="K150" s="1536"/>
      <c r="L150" s="1532" t="s">
        <v>54</v>
      </c>
      <c r="M150" s="1533"/>
      <c r="N150" s="1533"/>
      <c r="O150" s="1533"/>
      <c r="P150" s="1533"/>
      <c r="Q150" s="1533"/>
      <c r="R150" s="1533"/>
      <c r="S150" s="1534"/>
      <c r="T150" s="1535" t="s">
        <v>25</v>
      </c>
      <c r="U150" s="1534"/>
      <c r="V150" s="1535" t="s">
        <v>26</v>
      </c>
      <c r="W150" s="1534"/>
      <c r="X150" s="1535" t="s">
        <v>24</v>
      </c>
      <c r="Y150" s="1533"/>
      <c r="Z150" s="1536"/>
      <c r="AA150" s="848" t="str">
        <f>IF(AND(AB150=AC150,AC150=AD150,AB150=AD150),"○","×")</f>
        <v>○</v>
      </c>
      <c r="AB150" s="849">
        <f>COUNTA(L151,L152,L153,L154)</f>
        <v>0</v>
      </c>
      <c r="AC150" s="849">
        <f>COUNTA(T151,T152,T153,T154)</f>
        <v>0</v>
      </c>
      <c r="AD150" s="849">
        <f>COUNTA(V151,V152,V153,V154)</f>
        <v>0</v>
      </c>
      <c r="AE150" s="876"/>
      <c r="AK150" s="378"/>
      <c r="AL150" s="347"/>
      <c r="AM150" s="2"/>
    </row>
    <row r="151" spans="1:39" ht="21" customHeight="1" x14ac:dyDescent="0.15">
      <c r="A151" s="379"/>
      <c r="B151" s="1487"/>
      <c r="C151" s="1518"/>
      <c r="D151" s="1520"/>
      <c r="E151" s="1520"/>
      <c r="F151" s="1520"/>
      <c r="G151" s="1521"/>
      <c r="H151" s="1524"/>
      <c r="I151" s="1525"/>
      <c r="J151" s="1525"/>
      <c r="K151" s="1526"/>
      <c r="L151" s="1497"/>
      <c r="M151" s="1498"/>
      <c r="N151" s="1498"/>
      <c r="O151" s="1498"/>
      <c r="P151" s="1498"/>
      <c r="Q151" s="1498"/>
      <c r="R151" s="1498"/>
      <c r="S151" s="1499"/>
      <c r="T151" s="1539"/>
      <c r="U151" s="1540"/>
      <c r="V151" s="1558"/>
      <c r="W151" s="1559"/>
      <c r="X151" s="1488">
        <f>T151*V151</f>
        <v>0</v>
      </c>
      <c r="Y151" s="1489"/>
      <c r="Z151" s="1490"/>
      <c r="AA151" s="894" t="str">
        <f>IF(OR(AND(D151="",H151="",H153="",J153="",L151=""),AND(D151&lt;&gt;"",H151&lt;&gt;"",H153&lt;&gt;"",J153&lt;&gt;"",L151&lt;&gt;"")),"○","×")</f>
        <v>○</v>
      </c>
      <c r="AB151" s="897"/>
      <c r="AC151" s="895"/>
      <c r="AD151" s="896"/>
      <c r="AE151" s="850" t="str">
        <f>IF((OR(AND(L151&lt;&gt;"",T151&lt;&gt;"",V151&lt;&gt;""),AND(L151="",T151="",V151=""))),"○","×")</f>
        <v>○</v>
      </c>
    </row>
    <row r="152" spans="1:39" ht="21" customHeight="1" thickBot="1" x14ac:dyDescent="0.2">
      <c r="A152" s="379"/>
      <c r="B152" s="1487"/>
      <c r="C152" s="1518"/>
      <c r="D152" s="1520"/>
      <c r="E152" s="1520"/>
      <c r="F152" s="1520"/>
      <c r="G152" s="1521"/>
      <c r="H152" s="1527"/>
      <c r="I152" s="1528"/>
      <c r="J152" s="1528"/>
      <c r="K152" s="1529"/>
      <c r="L152" s="1514"/>
      <c r="M152" s="1515"/>
      <c r="N152" s="1515"/>
      <c r="O152" s="1515"/>
      <c r="P152" s="1515"/>
      <c r="Q152" s="1515"/>
      <c r="R152" s="1515"/>
      <c r="S152" s="1516"/>
      <c r="T152" s="1500"/>
      <c r="U152" s="1501"/>
      <c r="V152" s="1508"/>
      <c r="W152" s="1509"/>
      <c r="X152" s="1491">
        <f>T152*V152</f>
        <v>0</v>
      </c>
      <c r="Y152" s="1492"/>
      <c r="Z152" s="1493"/>
      <c r="AA152" s="895"/>
      <c r="AB152" s="895"/>
      <c r="AC152" s="895"/>
      <c r="AD152" s="896"/>
      <c r="AE152" s="850" t="str">
        <f>IF((OR(AND(L152&lt;&gt;"",T152&lt;&gt;"",V152&lt;&gt;""),AND(L152="",T152="",V152=""))),"○","×")</f>
        <v>○</v>
      </c>
    </row>
    <row r="153" spans="1:39" ht="21" customHeight="1" thickBot="1" x14ac:dyDescent="0.2">
      <c r="A153" s="379"/>
      <c r="B153" s="1487"/>
      <c r="C153" s="1518"/>
      <c r="D153" s="1520"/>
      <c r="E153" s="1520"/>
      <c r="F153" s="1520"/>
      <c r="G153" s="1521"/>
      <c r="H153" s="1530"/>
      <c r="I153" s="1502" t="s">
        <v>53</v>
      </c>
      <c r="J153" s="1504"/>
      <c r="K153" s="1506" t="s">
        <v>46</v>
      </c>
      <c r="L153" s="1514"/>
      <c r="M153" s="1515"/>
      <c r="N153" s="1515"/>
      <c r="O153" s="1515"/>
      <c r="P153" s="1515"/>
      <c r="Q153" s="1515"/>
      <c r="R153" s="1515"/>
      <c r="S153" s="1516"/>
      <c r="T153" s="1500"/>
      <c r="U153" s="1501"/>
      <c r="V153" s="1508"/>
      <c r="W153" s="1509"/>
      <c r="X153" s="1491">
        <f>T153*V153</f>
        <v>0</v>
      </c>
      <c r="Y153" s="1492"/>
      <c r="Z153" s="1493"/>
      <c r="AA153" s="1555" t="s">
        <v>354</v>
      </c>
      <c r="AB153" s="1556"/>
      <c r="AC153" s="1556"/>
      <c r="AD153" s="1557"/>
      <c r="AE153" s="850" t="str">
        <f>IF((OR(AND(L153&lt;&gt;"",T153&lt;&gt;"",V153&lt;&gt;""),AND(L153="",T153="",V153=""))),"○","×")</f>
        <v>○</v>
      </c>
    </row>
    <row r="154" spans="1:39" ht="21" customHeight="1" thickBot="1" x14ac:dyDescent="0.2">
      <c r="A154" s="379"/>
      <c r="B154" s="1487"/>
      <c r="C154" s="1519"/>
      <c r="D154" s="1522"/>
      <c r="E154" s="1522"/>
      <c r="F154" s="1522"/>
      <c r="G154" s="1523"/>
      <c r="H154" s="1531"/>
      <c r="I154" s="1503"/>
      <c r="J154" s="1505"/>
      <c r="K154" s="1507"/>
      <c r="L154" s="1761"/>
      <c r="M154" s="1762"/>
      <c r="N154" s="1762"/>
      <c r="O154" s="1762"/>
      <c r="P154" s="1762"/>
      <c r="Q154" s="1762"/>
      <c r="R154" s="1762"/>
      <c r="S154" s="1763"/>
      <c r="T154" s="1510"/>
      <c r="U154" s="1511"/>
      <c r="V154" s="1512"/>
      <c r="W154" s="1513"/>
      <c r="X154" s="1494">
        <f>T154*V154</f>
        <v>0</v>
      </c>
      <c r="Y154" s="1495"/>
      <c r="Z154" s="1496"/>
      <c r="AA154" s="1759">
        <f>SUM(X151:Z154)</f>
        <v>0</v>
      </c>
      <c r="AB154" s="1760"/>
      <c r="AC154" s="1760"/>
      <c r="AD154" s="46" t="s">
        <v>59</v>
      </c>
      <c r="AE154" s="850" t="str">
        <f>IF((OR(AND(L154&lt;&gt;"",T154&lt;&gt;"",V154&lt;&gt;""),AND(L154="",T154="",V154=""))),"○","×")</f>
        <v>○</v>
      </c>
    </row>
    <row r="155" spans="1:39" x14ac:dyDescent="0.15">
      <c r="AI155" s="39"/>
      <c r="AK155" s="2"/>
    </row>
    <row r="156" spans="1:39" x14ac:dyDescent="0.15">
      <c r="AK156" s="39"/>
    </row>
    <row r="157" spans="1:39" x14ac:dyDescent="0.15">
      <c r="AK157" s="2"/>
    </row>
  </sheetData>
  <sheetProtection algorithmName="SHA-512" hashValue="CgI+mi9c2BaMBSQ0uKyZFAldBbBDABHn1tCzPhzLKoRBiGYzyBG6B/47KpLX5R9EXaHLxT5nLuff9JvNXtQzzA==" saltValue="aFCpbeXiubJzmGIfumvxpQ==" spinCount="100000" sheet="1" formatCells="0" selectLockedCells="1"/>
  <mergeCells count="626">
    <mergeCell ref="D132:G132"/>
    <mergeCell ref="H132:K132"/>
    <mergeCell ref="L132:S132"/>
    <mergeCell ref="X80:Z80"/>
    <mergeCell ref="V128:W128"/>
    <mergeCell ref="V122:W122"/>
    <mergeCell ref="X121:Z121"/>
    <mergeCell ref="X122:Z122"/>
    <mergeCell ref="X123:Z123"/>
    <mergeCell ref="T116:U116"/>
    <mergeCell ref="V116:W116"/>
    <mergeCell ref="X117:Z117"/>
    <mergeCell ref="X118:Z118"/>
    <mergeCell ref="C85:V85"/>
    <mergeCell ref="B84:H84"/>
    <mergeCell ref="B87:B90"/>
    <mergeCell ref="M88:O88"/>
    <mergeCell ref="T132:U132"/>
    <mergeCell ref="V132:W132"/>
    <mergeCell ref="X132:Z132"/>
    <mergeCell ref="C126:C130"/>
    <mergeCell ref="D126:G126"/>
    <mergeCell ref="H126:K126"/>
    <mergeCell ref="L126:S126"/>
    <mergeCell ref="B2:E3"/>
    <mergeCell ref="I6:J6"/>
    <mergeCell ref="K6:L6"/>
    <mergeCell ref="B43:L43"/>
    <mergeCell ref="M46:O46"/>
    <mergeCell ref="C44:V44"/>
    <mergeCell ref="B46:B49"/>
    <mergeCell ref="C27:E27"/>
    <mergeCell ref="I36:J36"/>
    <mergeCell ref="C32:E33"/>
    <mergeCell ref="F32:G33"/>
    <mergeCell ref="H32:H33"/>
    <mergeCell ref="O32:O33"/>
    <mergeCell ref="P32:P33"/>
    <mergeCell ref="M32:N33"/>
    <mergeCell ref="I32:I33"/>
    <mergeCell ref="J32:L33"/>
    <mergeCell ref="Q32:AB32"/>
    <mergeCell ref="D5:G6"/>
    <mergeCell ref="I47:J47"/>
    <mergeCell ref="M49:O49"/>
    <mergeCell ref="Q33:AB33"/>
    <mergeCell ref="X47:Z47"/>
    <mergeCell ref="X48:Z48"/>
    <mergeCell ref="V152:W152"/>
    <mergeCell ref="AA153:AD153"/>
    <mergeCell ref="T154:U154"/>
    <mergeCell ref="V154:W154"/>
    <mergeCell ref="AA154:AC154"/>
    <mergeCell ref="B108:B112"/>
    <mergeCell ref="L109:S109"/>
    <mergeCell ref="L110:S110"/>
    <mergeCell ref="L111:S111"/>
    <mergeCell ref="L112:S112"/>
    <mergeCell ref="L115:S115"/>
    <mergeCell ref="L116:S116"/>
    <mergeCell ref="L117:S117"/>
    <mergeCell ref="L118:S118"/>
    <mergeCell ref="L121:S121"/>
    <mergeCell ref="L122:S122"/>
    <mergeCell ref="L123:S123"/>
    <mergeCell ref="L124:S124"/>
    <mergeCell ref="L127:S127"/>
    <mergeCell ref="L128:S128"/>
    <mergeCell ref="L129:S129"/>
    <mergeCell ref="L130:S130"/>
    <mergeCell ref="C150:C154"/>
    <mergeCell ref="C132:C136"/>
    <mergeCell ref="D150:G150"/>
    <mergeCell ref="H150:K150"/>
    <mergeCell ref="L150:S150"/>
    <mergeCell ref="T150:U150"/>
    <mergeCell ref="V150:W150"/>
    <mergeCell ref="X150:Z150"/>
    <mergeCell ref="D151:G154"/>
    <mergeCell ref="H151:K152"/>
    <mergeCell ref="T151:U151"/>
    <mergeCell ref="V151:W151"/>
    <mergeCell ref="H153:H154"/>
    <mergeCell ref="I153:I154"/>
    <mergeCell ref="J153:J154"/>
    <mergeCell ref="K153:K154"/>
    <mergeCell ref="T153:U153"/>
    <mergeCell ref="V153:W153"/>
    <mergeCell ref="L151:S151"/>
    <mergeCell ref="L152:S152"/>
    <mergeCell ref="L153:S153"/>
    <mergeCell ref="L154:S154"/>
    <mergeCell ref="T152:U152"/>
    <mergeCell ref="X152:Z152"/>
    <mergeCell ref="X153:Z153"/>
    <mergeCell ref="X154:Z154"/>
    <mergeCell ref="C144:C148"/>
    <mergeCell ref="D144:G144"/>
    <mergeCell ref="H144:K144"/>
    <mergeCell ref="L144:S144"/>
    <mergeCell ref="T144:U144"/>
    <mergeCell ref="V144:W144"/>
    <mergeCell ref="X144:Z144"/>
    <mergeCell ref="D145:G148"/>
    <mergeCell ref="H145:K146"/>
    <mergeCell ref="T145:U145"/>
    <mergeCell ref="V145:W145"/>
    <mergeCell ref="H147:H148"/>
    <mergeCell ref="I147:I148"/>
    <mergeCell ref="J147:J148"/>
    <mergeCell ref="K147:K148"/>
    <mergeCell ref="T147:U147"/>
    <mergeCell ref="V147:W147"/>
    <mergeCell ref="T148:U148"/>
    <mergeCell ref="V148:W148"/>
    <mergeCell ref="L145:S145"/>
    <mergeCell ref="V146:W146"/>
    <mergeCell ref="L146:S146"/>
    <mergeCell ref="L147:S147"/>
    <mergeCell ref="L148:S148"/>
    <mergeCell ref="X138:Z138"/>
    <mergeCell ref="D139:G142"/>
    <mergeCell ref="H139:K140"/>
    <mergeCell ref="T139:U139"/>
    <mergeCell ref="V139:W139"/>
    <mergeCell ref="H141:H142"/>
    <mergeCell ref="I141:I142"/>
    <mergeCell ref="J141:J142"/>
    <mergeCell ref="K141:K142"/>
    <mergeCell ref="T141:U141"/>
    <mergeCell ref="V141:W141"/>
    <mergeCell ref="T142:U142"/>
    <mergeCell ref="V142:W142"/>
    <mergeCell ref="L139:S139"/>
    <mergeCell ref="L140:S140"/>
    <mergeCell ref="L141:S141"/>
    <mergeCell ref="T140:U140"/>
    <mergeCell ref="V140:W140"/>
    <mergeCell ref="L135:S135"/>
    <mergeCell ref="L136:S136"/>
    <mergeCell ref="T134:U134"/>
    <mergeCell ref="V134:W134"/>
    <mergeCell ref="C138:C142"/>
    <mergeCell ref="D138:G138"/>
    <mergeCell ref="H138:K138"/>
    <mergeCell ref="L138:S138"/>
    <mergeCell ref="T138:U138"/>
    <mergeCell ref="V138:W138"/>
    <mergeCell ref="D133:G136"/>
    <mergeCell ref="H133:K134"/>
    <mergeCell ref="T133:U133"/>
    <mergeCell ref="H135:H136"/>
    <mergeCell ref="T126:U126"/>
    <mergeCell ref="V126:W126"/>
    <mergeCell ref="X126:Z126"/>
    <mergeCell ref="D127:G130"/>
    <mergeCell ref="H127:K128"/>
    <mergeCell ref="T127:U127"/>
    <mergeCell ref="V127:W127"/>
    <mergeCell ref="H129:H130"/>
    <mergeCell ref="I129:I130"/>
    <mergeCell ref="J129:J130"/>
    <mergeCell ref="K129:K130"/>
    <mergeCell ref="T129:U129"/>
    <mergeCell ref="V129:W129"/>
    <mergeCell ref="T130:U130"/>
    <mergeCell ref="V130:W130"/>
    <mergeCell ref="T128:U128"/>
    <mergeCell ref="X68:Y68"/>
    <mergeCell ref="B60:B61"/>
    <mergeCell ref="C108:C112"/>
    <mergeCell ref="C93:X93"/>
    <mergeCell ref="O94:T94"/>
    <mergeCell ref="U94:AF94"/>
    <mergeCell ref="M102:O102"/>
    <mergeCell ref="B102:B105"/>
    <mergeCell ref="C100:V100"/>
    <mergeCell ref="B99:J99"/>
    <mergeCell ref="I103:J103"/>
    <mergeCell ref="M103:O103"/>
    <mergeCell ref="M104:O104"/>
    <mergeCell ref="M105:O105"/>
    <mergeCell ref="D102:L102"/>
    <mergeCell ref="P102:S102"/>
    <mergeCell ref="E103:H103"/>
    <mergeCell ref="D77:E77"/>
    <mergeCell ref="H80:J80"/>
    <mergeCell ref="AB74:AC74"/>
    <mergeCell ref="T74:U74"/>
    <mergeCell ref="X74:Y74"/>
    <mergeCell ref="AB76:AC76"/>
    <mergeCell ref="T72:U72"/>
    <mergeCell ref="X75:Z75"/>
    <mergeCell ref="H78:I78"/>
    <mergeCell ref="AB70:AC70"/>
    <mergeCell ref="K123:K124"/>
    <mergeCell ref="T123:U123"/>
    <mergeCell ref="V123:W123"/>
    <mergeCell ref="T124:U124"/>
    <mergeCell ref="V124:W124"/>
    <mergeCell ref="T122:U122"/>
    <mergeCell ref="AA123:AD123"/>
    <mergeCell ref="AA124:AC124"/>
    <mergeCell ref="T121:U121"/>
    <mergeCell ref="V121:W121"/>
    <mergeCell ref="H123:H124"/>
    <mergeCell ref="I123:I124"/>
    <mergeCell ref="J123:J124"/>
    <mergeCell ref="B65:B80"/>
    <mergeCell ref="M87:O87"/>
    <mergeCell ref="N66:O66"/>
    <mergeCell ref="Q65:R65"/>
    <mergeCell ref="P66:Q66"/>
    <mergeCell ref="R66:S66"/>
    <mergeCell ref="U65:V65"/>
    <mergeCell ref="T66:U66"/>
    <mergeCell ref="V66:W66"/>
    <mergeCell ref="L74:M74"/>
    <mergeCell ref="C76:C80"/>
    <mergeCell ref="D80:G80"/>
    <mergeCell ref="F76:G76"/>
    <mergeCell ref="F94:I94"/>
    <mergeCell ref="B92:K92"/>
    <mergeCell ref="B57:G57"/>
    <mergeCell ref="L60:AA60"/>
    <mergeCell ref="C60:G61"/>
    <mergeCell ref="D76:E76"/>
    <mergeCell ref="F78:G78"/>
    <mergeCell ref="H76:I76"/>
    <mergeCell ref="U38:V38"/>
    <mergeCell ref="W38:X38"/>
    <mergeCell ref="D72:E72"/>
    <mergeCell ref="H70:I70"/>
    <mergeCell ref="E47:H47"/>
    <mergeCell ref="L78:M78"/>
    <mergeCell ref="P78:Q78"/>
    <mergeCell ref="F77:G77"/>
    <mergeCell ref="D78:E78"/>
    <mergeCell ref="F79:G79"/>
    <mergeCell ref="L80:N80"/>
    <mergeCell ref="M38:N38"/>
    <mergeCell ref="U39:V39"/>
    <mergeCell ref="L79:M79"/>
    <mergeCell ref="P79:Q79"/>
    <mergeCell ref="P72:Q72"/>
    <mergeCell ref="H108:K108"/>
    <mergeCell ref="H109:K110"/>
    <mergeCell ref="P103:S103"/>
    <mergeCell ref="D104:L104"/>
    <mergeCell ref="J96:AE96"/>
    <mergeCell ref="C96:E97"/>
    <mergeCell ref="F96:I97"/>
    <mergeCell ref="J97:AE97"/>
    <mergeCell ref="V110:W110"/>
    <mergeCell ref="L108:S108"/>
    <mergeCell ref="P104:S104"/>
    <mergeCell ref="D105:L105"/>
    <mergeCell ref="P105:S105"/>
    <mergeCell ref="Q38:R38"/>
    <mergeCell ref="S38:T38"/>
    <mergeCell ref="C94:E94"/>
    <mergeCell ref="D109:G112"/>
    <mergeCell ref="H121:K122"/>
    <mergeCell ref="AA142:AC142"/>
    <mergeCell ref="AB68:AC68"/>
    <mergeCell ref="B13:B14"/>
    <mergeCell ref="B8:X8"/>
    <mergeCell ref="U20:V20"/>
    <mergeCell ref="M25:N25"/>
    <mergeCell ref="N26:Y26"/>
    <mergeCell ref="U53:V53"/>
    <mergeCell ref="C51:T51"/>
    <mergeCell ref="C53:T53"/>
    <mergeCell ref="C55:T55"/>
    <mergeCell ref="M19:N19"/>
    <mergeCell ref="O19:P19"/>
    <mergeCell ref="Q19:R19"/>
    <mergeCell ref="T19:U19"/>
    <mergeCell ref="K20:M20"/>
    <mergeCell ref="R27:X27"/>
    <mergeCell ref="C38:D38"/>
    <mergeCell ref="E38:F38"/>
    <mergeCell ref="K38:L38"/>
    <mergeCell ref="K39:L39"/>
    <mergeCell ref="B32:B33"/>
    <mergeCell ref="L67:M67"/>
    <mergeCell ref="L69:M69"/>
    <mergeCell ref="AA129:AD129"/>
    <mergeCell ref="AA130:AC130"/>
    <mergeCell ref="AA135:AD135"/>
    <mergeCell ref="AA136:AC136"/>
    <mergeCell ref="X77:Y77"/>
    <mergeCell ref="X109:Z109"/>
    <mergeCell ref="X110:Z110"/>
    <mergeCell ref="T110:U110"/>
    <mergeCell ref="Y65:Z65"/>
    <mergeCell ref="P68:Q68"/>
    <mergeCell ref="X69:Y69"/>
    <mergeCell ref="P69:Q69"/>
    <mergeCell ref="T70:U70"/>
    <mergeCell ref="C37:D37"/>
    <mergeCell ref="O36:P36"/>
    <mergeCell ref="W37:X37"/>
    <mergeCell ref="G37:H37"/>
    <mergeCell ref="I37:J37"/>
    <mergeCell ref="K37:L37"/>
    <mergeCell ref="AA141:AD141"/>
    <mergeCell ref="AA112:AC112"/>
    <mergeCell ref="X134:Z134"/>
    <mergeCell ref="X135:Z135"/>
    <mergeCell ref="X136:Z136"/>
    <mergeCell ref="X115:Z115"/>
    <mergeCell ref="X116:Z116"/>
    <mergeCell ref="AA117:AD117"/>
    <mergeCell ref="AA118:AC118"/>
    <mergeCell ref="C113:Z113"/>
    <mergeCell ref="K111:K112"/>
    <mergeCell ref="H111:H112"/>
    <mergeCell ref="J111:J112"/>
    <mergeCell ref="D114:G114"/>
    <mergeCell ref="H114:K114"/>
    <mergeCell ref="L114:S114"/>
    <mergeCell ref="T114:U114"/>
    <mergeCell ref="V114:W114"/>
    <mergeCell ref="V133:W133"/>
    <mergeCell ref="X111:Z111"/>
    <mergeCell ref="X112:Z112"/>
    <mergeCell ref="X114:Z114"/>
    <mergeCell ref="T115:U115"/>
    <mergeCell ref="V115:W115"/>
    <mergeCell ref="AA147:AD147"/>
    <mergeCell ref="AA148:AC148"/>
    <mergeCell ref="L142:S142"/>
    <mergeCell ref="W39:X39"/>
    <mergeCell ref="E88:H88"/>
    <mergeCell ref="D87:L87"/>
    <mergeCell ref="AB80:AD80"/>
    <mergeCell ref="P76:Q76"/>
    <mergeCell ref="T76:U76"/>
    <mergeCell ref="X79:Y79"/>
    <mergeCell ref="AB79:AC79"/>
    <mergeCell ref="AB78:AC78"/>
    <mergeCell ref="AB77:AC77"/>
    <mergeCell ref="T79:U79"/>
    <mergeCell ref="X78:Y78"/>
    <mergeCell ref="T80:V80"/>
    <mergeCell ref="P80:R80"/>
    <mergeCell ref="F73:G73"/>
    <mergeCell ref="AB75:AD75"/>
    <mergeCell ref="T67:U67"/>
    <mergeCell ref="X72:Y72"/>
    <mergeCell ref="V111:W111"/>
    <mergeCell ref="AB67:AC67"/>
    <mergeCell ref="AB71:AC71"/>
    <mergeCell ref="C11:E11"/>
    <mergeCell ref="F11:X11"/>
    <mergeCell ref="O20:Q20"/>
    <mergeCell ref="C13:E14"/>
    <mergeCell ref="F13:M13"/>
    <mergeCell ref="N13:P14"/>
    <mergeCell ref="L16:M16"/>
    <mergeCell ref="O16:X16"/>
    <mergeCell ref="Q13:X13"/>
    <mergeCell ref="F14:M14"/>
    <mergeCell ref="Q14:X14"/>
    <mergeCell ref="C17:E17"/>
    <mergeCell ref="I17:J17"/>
    <mergeCell ref="C12:AE12"/>
    <mergeCell ref="C15:X15"/>
    <mergeCell ref="C18:X18"/>
    <mergeCell ref="C19:E19"/>
    <mergeCell ref="G19:H19"/>
    <mergeCell ref="W19:X19"/>
    <mergeCell ref="J19:K19"/>
    <mergeCell ref="C16:E16"/>
    <mergeCell ref="I16:J16"/>
    <mergeCell ref="L17:M17"/>
    <mergeCell ref="O17:X17"/>
    <mergeCell ref="K36:L36"/>
    <mergeCell ref="M36:N36"/>
    <mergeCell ref="AC35:AF35"/>
    <mergeCell ref="E36:F36"/>
    <mergeCell ref="AE36:AF36"/>
    <mergeCell ref="Q36:R36"/>
    <mergeCell ref="O37:P37"/>
    <mergeCell ref="S36:T36"/>
    <mergeCell ref="U36:V36"/>
    <mergeCell ref="W36:X36"/>
    <mergeCell ref="Y36:Z36"/>
    <mergeCell ref="AF67:AG67"/>
    <mergeCell ref="U51:V51"/>
    <mergeCell ref="D46:L46"/>
    <mergeCell ref="D48:L48"/>
    <mergeCell ref="D49:L49"/>
    <mergeCell ref="P67:Q67"/>
    <mergeCell ref="X67:Y67"/>
    <mergeCell ref="AE39:AF39"/>
    <mergeCell ref="AC37:AD37"/>
    <mergeCell ref="AE37:AF37"/>
    <mergeCell ref="AA37:AB37"/>
    <mergeCell ref="Y38:Z38"/>
    <mergeCell ref="AA38:AB38"/>
    <mergeCell ref="AC38:AD38"/>
    <mergeCell ref="AE38:AF38"/>
    <mergeCell ref="S39:T39"/>
    <mergeCell ref="AA39:AB39"/>
    <mergeCell ref="AC39:AD39"/>
    <mergeCell ref="M39:N39"/>
    <mergeCell ref="O39:P39"/>
    <mergeCell ref="Q39:R39"/>
    <mergeCell ref="AB66:AC66"/>
    <mergeCell ref="X66:Y66"/>
    <mergeCell ref="Z66:AA66"/>
    <mergeCell ref="I5:J5"/>
    <mergeCell ref="C63:D63"/>
    <mergeCell ref="D67:E67"/>
    <mergeCell ref="H67:I67"/>
    <mergeCell ref="C67:C70"/>
    <mergeCell ref="F67:G67"/>
    <mergeCell ref="D68:E68"/>
    <mergeCell ref="F68:G68"/>
    <mergeCell ref="D70:E70"/>
    <mergeCell ref="F70:G70"/>
    <mergeCell ref="G39:H39"/>
    <mergeCell ref="I39:J39"/>
    <mergeCell ref="H68:I68"/>
    <mergeCell ref="H69:I69"/>
    <mergeCell ref="C41:U41"/>
    <mergeCell ref="C39:D39"/>
    <mergeCell ref="E39:F39"/>
    <mergeCell ref="L68:M68"/>
    <mergeCell ref="G38:H38"/>
    <mergeCell ref="I38:J38"/>
    <mergeCell ref="D69:E69"/>
    <mergeCell ref="K5:L5"/>
    <mergeCell ref="S47:V47"/>
    <mergeCell ref="P47:R47"/>
    <mergeCell ref="X70:Y70"/>
    <mergeCell ref="X71:Y71"/>
    <mergeCell ref="AB69:AC69"/>
    <mergeCell ref="AB72:AC72"/>
    <mergeCell ref="X73:Y73"/>
    <mergeCell ref="T69:U69"/>
    <mergeCell ref="T68:U68"/>
    <mergeCell ref="C71:C75"/>
    <mergeCell ref="F74:G74"/>
    <mergeCell ref="F72:G72"/>
    <mergeCell ref="F69:G69"/>
    <mergeCell ref="H75:J75"/>
    <mergeCell ref="L75:N75"/>
    <mergeCell ref="L72:M72"/>
    <mergeCell ref="D75:G75"/>
    <mergeCell ref="H72:I72"/>
    <mergeCell ref="H74:I74"/>
    <mergeCell ref="H73:I73"/>
    <mergeCell ref="D73:E73"/>
    <mergeCell ref="D74:E74"/>
    <mergeCell ref="H71:I71"/>
    <mergeCell ref="D71:E71"/>
    <mergeCell ref="F71:G71"/>
    <mergeCell ref="AB73:AC73"/>
    <mergeCell ref="C21:E21"/>
    <mergeCell ref="C30:E30"/>
    <mergeCell ref="F30:I30"/>
    <mergeCell ref="J30:K30"/>
    <mergeCell ref="C28:E28"/>
    <mergeCell ref="F28:S28"/>
    <mergeCell ref="C29:E29"/>
    <mergeCell ref="F29:S29"/>
    <mergeCell ref="G27:H27"/>
    <mergeCell ref="C22:E22"/>
    <mergeCell ref="G22:H22"/>
    <mergeCell ref="J21:AB21"/>
    <mergeCell ref="N27:Q27"/>
    <mergeCell ref="B26:L26"/>
    <mergeCell ref="O38:P38"/>
    <mergeCell ref="AA47:AB47"/>
    <mergeCell ref="AA48:AB48"/>
    <mergeCell ref="AC47:AD47"/>
    <mergeCell ref="C58:AC58"/>
    <mergeCell ref="V41:W41"/>
    <mergeCell ref="M63:N63"/>
    <mergeCell ref="U55:V55"/>
    <mergeCell ref="AC36:AD36"/>
    <mergeCell ref="AA36:AB36"/>
    <mergeCell ref="Y37:Z37"/>
    <mergeCell ref="G36:H36"/>
    <mergeCell ref="C35:D36"/>
    <mergeCell ref="E35:H35"/>
    <mergeCell ref="I35:L35"/>
    <mergeCell ref="M35:P35"/>
    <mergeCell ref="Q35:T35"/>
    <mergeCell ref="U35:X35"/>
    <mergeCell ref="Y35:AB35"/>
    <mergeCell ref="E37:F37"/>
    <mergeCell ref="Q37:R37"/>
    <mergeCell ref="S37:T37"/>
    <mergeCell ref="U37:V37"/>
    <mergeCell ref="M37:N37"/>
    <mergeCell ref="AC65:AD65"/>
    <mergeCell ref="AD66:AE66"/>
    <mergeCell ref="M48:O48"/>
    <mergeCell ref="P49:R49"/>
    <mergeCell ref="S49:V49"/>
    <mergeCell ref="P46:R46"/>
    <mergeCell ref="S46:V46"/>
    <mergeCell ref="M47:O47"/>
    <mergeCell ref="P48:R48"/>
    <mergeCell ref="AC48:AD48"/>
    <mergeCell ref="AE47:AF47"/>
    <mergeCell ref="AE48:AF48"/>
    <mergeCell ref="H57:AA57"/>
    <mergeCell ref="I65:J65"/>
    <mergeCell ref="L66:M66"/>
    <mergeCell ref="S48:V48"/>
    <mergeCell ref="H66:I66"/>
    <mergeCell ref="J66:K66"/>
    <mergeCell ref="H60:K61"/>
    <mergeCell ref="L61:AA61"/>
    <mergeCell ref="V63:AE63"/>
    <mergeCell ref="T78:U78"/>
    <mergeCell ref="H77:I77"/>
    <mergeCell ref="L77:M77"/>
    <mergeCell ref="P77:Q77"/>
    <mergeCell ref="T77:U77"/>
    <mergeCell ref="H79:I79"/>
    <mergeCell ref="L76:M76"/>
    <mergeCell ref="P75:R75"/>
    <mergeCell ref="P74:Q74"/>
    <mergeCell ref="T75:V75"/>
    <mergeCell ref="D79:E79"/>
    <mergeCell ref="I111:I112"/>
    <mergeCell ref="T109:U109"/>
    <mergeCell ref="T112:U112"/>
    <mergeCell ref="V112:W112"/>
    <mergeCell ref="X108:Z108"/>
    <mergeCell ref="T111:U111"/>
    <mergeCell ref="B114:B118"/>
    <mergeCell ref="V118:W118"/>
    <mergeCell ref="B96:B97"/>
    <mergeCell ref="M89:O89"/>
    <mergeCell ref="M90:O90"/>
    <mergeCell ref="C82:T82"/>
    <mergeCell ref="C114:C118"/>
    <mergeCell ref="C106:AA106"/>
    <mergeCell ref="D89:L89"/>
    <mergeCell ref="D90:L90"/>
    <mergeCell ref="AA111:AD111"/>
    <mergeCell ref="T108:U108"/>
    <mergeCell ref="V108:W108"/>
    <mergeCell ref="V109:W109"/>
    <mergeCell ref="U82:V82"/>
    <mergeCell ref="D108:G108"/>
    <mergeCell ref="K94:N94"/>
    <mergeCell ref="B126:B130"/>
    <mergeCell ref="X124:Z124"/>
    <mergeCell ref="X127:Z127"/>
    <mergeCell ref="X128:Z128"/>
    <mergeCell ref="X129:Z129"/>
    <mergeCell ref="X130:Z130"/>
    <mergeCell ref="C120:C124"/>
    <mergeCell ref="D115:G118"/>
    <mergeCell ref="H115:K116"/>
    <mergeCell ref="H117:H118"/>
    <mergeCell ref="I117:I118"/>
    <mergeCell ref="J117:J118"/>
    <mergeCell ref="K117:K118"/>
    <mergeCell ref="T117:U117"/>
    <mergeCell ref="V117:W117"/>
    <mergeCell ref="T118:U118"/>
    <mergeCell ref="L120:S120"/>
    <mergeCell ref="T120:U120"/>
    <mergeCell ref="V120:W120"/>
    <mergeCell ref="X120:Z120"/>
    <mergeCell ref="D120:G120"/>
    <mergeCell ref="H120:K120"/>
    <mergeCell ref="B120:B124"/>
    <mergeCell ref="D121:G124"/>
    <mergeCell ref="B132:B136"/>
    <mergeCell ref="B138:B142"/>
    <mergeCell ref="B144:B148"/>
    <mergeCell ref="B150:B154"/>
    <mergeCell ref="X139:Z139"/>
    <mergeCell ref="X140:Z140"/>
    <mergeCell ref="X141:Z141"/>
    <mergeCell ref="X142:Z142"/>
    <mergeCell ref="X145:Z145"/>
    <mergeCell ref="X146:Z146"/>
    <mergeCell ref="X147:Z147"/>
    <mergeCell ref="X148:Z148"/>
    <mergeCell ref="X151:Z151"/>
    <mergeCell ref="X133:Z133"/>
    <mergeCell ref="L133:S133"/>
    <mergeCell ref="T146:U146"/>
    <mergeCell ref="I135:I136"/>
    <mergeCell ref="J135:J136"/>
    <mergeCell ref="K135:K136"/>
    <mergeCell ref="T135:U135"/>
    <mergeCell ref="V135:W135"/>
    <mergeCell ref="T136:U136"/>
    <mergeCell ref="V136:W136"/>
    <mergeCell ref="L134:S134"/>
    <mergeCell ref="F1:AC2"/>
    <mergeCell ref="AD2:AE2"/>
    <mergeCell ref="AF2:AG2"/>
    <mergeCell ref="N4:AG6"/>
    <mergeCell ref="J24:U24"/>
    <mergeCell ref="B5:C6"/>
    <mergeCell ref="J98:AE98"/>
    <mergeCell ref="C24:E24"/>
    <mergeCell ref="C9:U9"/>
    <mergeCell ref="V9:W9"/>
    <mergeCell ref="F24:I24"/>
    <mergeCell ref="I88:J88"/>
    <mergeCell ref="X76:Y76"/>
    <mergeCell ref="M65:N65"/>
    <mergeCell ref="Y39:Z39"/>
    <mergeCell ref="AC56:AI56"/>
    <mergeCell ref="L73:M73"/>
    <mergeCell ref="P73:Q73"/>
    <mergeCell ref="T73:U73"/>
    <mergeCell ref="L71:M71"/>
    <mergeCell ref="P71:Q71"/>
    <mergeCell ref="T71:U71"/>
    <mergeCell ref="L70:M70"/>
    <mergeCell ref="P70:Q70"/>
  </mergeCells>
  <phoneticPr fontId="1"/>
  <conditionalFormatting sqref="H71:J75">
    <cfRule type="expression" dxfId="38" priority="16">
      <formula>$Z$26&lt;&gt;""</formula>
    </cfRule>
  </conditionalFormatting>
  <conditionalFormatting sqref="H76:J80">
    <cfRule type="expression" dxfId="37" priority="15">
      <formula>$Z$27&lt;&gt;""</formula>
    </cfRule>
  </conditionalFormatting>
  <conditionalFormatting sqref="L67:N70">
    <cfRule type="expression" dxfId="36" priority="14">
      <formula>$AA$25&lt;&gt;""</formula>
    </cfRule>
  </conditionalFormatting>
  <conditionalFormatting sqref="L71:N75">
    <cfRule type="expression" dxfId="35" priority="13">
      <formula>$AA$26&lt;&gt;""</formula>
    </cfRule>
  </conditionalFormatting>
  <conditionalFormatting sqref="L76:N80">
    <cfRule type="expression" dxfId="34" priority="12">
      <formula>$AA$27&lt;&gt;""</formula>
    </cfRule>
  </conditionalFormatting>
  <conditionalFormatting sqref="P67:R70">
    <cfRule type="expression" dxfId="33" priority="11">
      <formula>$AB$25&lt;&gt;""</formula>
    </cfRule>
  </conditionalFormatting>
  <conditionalFormatting sqref="P71:R75">
    <cfRule type="expression" dxfId="32" priority="10">
      <formula>$AB$26&lt;&gt;""</formula>
    </cfRule>
  </conditionalFormatting>
  <conditionalFormatting sqref="P76:R80">
    <cfRule type="expression" dxfId="31" priority="9">
      <formula>$AB$27&lt;&gt;""</formula>
    </cfRule>
  </conditionalFormatting>
  <conditionalFormatting sqref="T67:V70">
    <cfRule type="expression" dxfId="30" priority="8">
      <formula>$AC$25&lt;&gt;""</formula>
    </cfRule>
  </conditionalFormatting>
  <conditionalFormatting sqref="T71:V75">
    <cfRule type="expression" dxfId="29" priority="7">
      <formula>$AC$26&lt;&gt;""</formula>
    </cfRule>
  </conditionalFormatting>
  <conditionalFormatting sqref="T76:V80">
    <cfRule type="expression" dxfId="28" priority="6">
      <formula>$AC$27&lt;&gt;""</formula>
    </cfRule>
  </conditionalFormatting>
  <conditionalFormatting sqref="X67:Z70">
    <cfRule type="expression" dxfId="27" priority="5">
      <formula>$AD$25&lt;&gt;""</formula>
    </cfRule>
  </conditionalFormatting>
  <conditionalFormatting sqref="X71:Z75">
    <cfRule type="expression" dxfId="26" priority="4">
      <formula>$AD$26&lt;&gt;""</formula>
    </cfRule>
  </conditionalFormatting>
  <conditionalFormatting sqref="X76:Z80">
    <cfRule type="expression" dxfId="25" priority="3">
      <formula>$AD$27&lt;&gt;""</formula>
    </cfRule>
  </conditionalFormatting>
  <conditionalFormatting sqref="AB67:AD70">
    <cfRule type="expression" dxfId="24" priority="2">
      <formula>$AE$25&lt;&gt;""</formula>
    </cfRule>
  </conditionalFormatting>
  <conditionalFormatting sqref="AB71:AD75">
    <cfRule type="expression" dxfId="23" priority="1">
      <formula>$AE$26&lt;&gt;""</formula>
    </cfRule>
  </conditionalFormatting>
  <dataValidations count="17">
    <dataValidation type="list" allowBlank="1" showInputMessage="1" showErrorMessage="1" sqref="N16:N17" xr:uid="{00000000-0002-0000-0400-000000000000}">
      <formula1>"県,都,道,府"</formula1>
    </dataValidation>
    <dataValidation type="list" imeMode="disabled" allowBlank="1" showInputMessage="1" showErrorMessage="1" sqref="J27 J22" xr:uid="{00000000-0002-0000-0400-000001000000}">
      <formula1>"1,2,3,4,5,6,7,8,9,10,11,12"</formula1>
    </dataValidation>
    <dataValidation type="list" imeMode="disabled" allowBlank="1" showInputMessage="1" showErrorMessage="1" sqref="L27 L22" xr:uid="{00000000-0002-0000-0400-000002000000}">
      <formula1>"1,2,3,4,5,6,7,8,9,10,11,12,13,14,15,16,17,18,19,20,21,22,23,24,25,26,27,28,29,30,31"</formula1>
    </dataValidation>
    <dataValidation type="list" allowBlank="1" showInputMessage="1" showErrorMessage="1" sqref="F30:I30 H60 F96" xr:uid="{00000000-0002-0000-0400-000003000000}">
      <formula1>"あり,なし"</formula1>
    </dataValidation>
    <dataValidation type="list" imeMode="disabled" allowBlank="1" showInputMessage="1" showErrorMessage="1" sqref="H117 H111 H141 H123 H129 H135 H147 H153" xr:uid="{00000000-0002-0000-0400-000004000000}">
      <formula1>"　,8,9,10,11,12,13,14,15,16,17,18,19,20,21,22"</formula1>
    </dataValidation>
    <dataValidation imeMode="disabled" allowBlank="1" showInputMessage="1" showErrorMessage="1" sqref="W19:X19 T19:U19 Q19:R19 AD74 G27 I16:J17 G22:H22 G19:H19 J19:K19 M19:N19 L67:L80 P67:P80 R74 U67:V73 T22 G16:G17 H21 T109:T112 J67:J74 H71:H80 I71:I74 I76:J79 U76:V78 AC76:AD78 Q67:R73 Q76:R78 R79 V79 AB67:AB80 T67:T80 V74 X67:X80 AC67:AD73 P47:R49 O50:Q50 U145 O81:Q81 AA37:AB38 Y76:Y78 Z76:Z79 Y67:Y73 Z67:Z74 N76:N79 M76:M78 N67:N74 M67:M73 E37:M38 O37:Y38 F34:G34 F32 M32 M34:N34 O52:Q52 W111:W112 U115 U121 U127 U133 U139 V109:V112 U151 U109 U111:U112 T115:T118 W117:W118 W115 T121:T124 W123:W124 W121 T127:T130 W129:W130 W127 T133:T136 W135:W136 W133 T139:T142 W141:W142 W139 T145:T148 W147:W148 W145 U153:U154 T151:T154 W151 W109 V115:V118 U147:U148 V121:V124 U117:U118 V127:V130 U123:U124 V133:V136 U129:U130 V139:V142 U135:U136 V145:V148 U141:U142 W153:W154 V151:V154 O10:Q10 V22 O23:Q23" xr:uid="{00000000-0002-0000-0400-000005000000}"/>
    <dataValidation type="list" imeMode="disabled" allowBlank="1" showInputMessage="1" showErrorMessage="1" sqref="AA22" xr:uid="{00000000-0002-0000-0400-000006000000}">
      <formula1>"9,10,11,12,13,14,15,16,17"</formula1>
    </dataValidation>
    <dataValidation type="list" imeMode="disabled" allowBlank="1" showInputMessage="1" showErrorMessage="1" sqref="Q22" xr:uid="{00000000-0002-0000-0400-000007000000}">
      <formula1>"9,10,11,13,14,15,16"</formula1>
    </dataValidation>
    <dataValidation type="list" imeMode="disabled" allowBlank="1" showInputMessage="1" showErrorMessage="1" sqref="F21" xr:uid="{00000000-0002-0000-0400-000008000000}">
      <formula1>"0,1,2,3,4,5"</formula1>
    </dataValidation>
    <dataValidation type="list" allowBlank="1" showInputMessage="1" showErrorMessage="1" sqref="I47 I88:J88 I103" xr:uid="{00000000-0002-0000-0400-000009000000}">
      <formula1>"○"</formula1>
    </dataValidation>
    <dataValidation type="list" allowBlank="1" showInputMessage="1" showErrorMessage="1" sqref="U34:X34" xr:uid="{00000000-0002-0000-0400-00000A000000}">
      <formula1>"する,しない"</formula1>
    </dataValidation>
    <dataValidation type="list" allowBlank="1" showInputMessage="1" showErrorMessage="1" sqref="V41:W41 U51:V51 U53:V55 U82:V83 V9:W9" xr:uid="{00000000-0002-0000-0400-00000B000000}">
      <formula1>"OK"</formula1>
    </dataValidation>
    <dataValidation type="list" imeMode="disabled" allowBlank="1" showInputMessage="1" showErrorMessage="1" sqref="H109 H151 H139 H127 H121 H115 H133 H145" xr:uid="{00000000-0002-0000-0400-00000C000000}">
      <formula1>$C$20:$H$20</formula1>
    </dataValidation>
    <dataValidation type="list" allowBlank="1" showInputMessage="1" showErrorMessage="1" sqref="O94" xr:uid="{00000000-0002-0000-0400-00000D000000}">
      <formula1>"自然の家の食器を利用,使い捨て食器を購入,食器を持参"</formula1>
    </dataValidation>
    <dataValidation type="list" allowBlank="1" showInputMessage="1" showErrorMessage="1" sqref="L81:N81 L50:N50 L52:N52 M47:M49 M88:M90 M103:M105 L10:N10 L23:N23" xr:uid="{00000000-0002-0000-0400-00000E000000}">
      <formula1>"現金,振込"</formula1>
    </dataValidation>
    <dataValidation type="list" imeMode="disabled" allowBlank="1" showInputMessage="1" showErrorMessage="1" sqref="J153:J154 J147:J148 J117:J118 J123:J124 J129:J130 J135:J136 J141:J142 J111:J112" xr:uid="{00000000-0002-0000-0400-00000F000000}">
      <formula1>"00,05,10,15,20,25,30,35,40,45,50,55"</formula1>
    </dataValidation>
    <dataValidation type="list" allowBlank="1" showInputMessage="1" showErrorMessage="1" sqref="F24:I24" xr:uid="{00000000-0002-0000-0400-000010000000}">
      <formula1>"生活館,ロッジ"</formula1>
    </dataValidation>
  </dataValidations>
  <pageMargins left="0.70866141732283472" right="0.70866141732283472" top="0.74803149606299213" bottom="0.74803149606299213" header="0.31496062992125984" footer="0.31496062992125984"/>
  <pageSetup paperSize="9" scale="38" fitToHeight="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CQ451"/>
  <sheetViews>
    <sheetView showGridLines="0" zoomScaleNormal="100" zoomScaleSheetLayoutView="100" workbookViewId="0">
      <pane ySplit="14" topLeftCell="A15" activePane="bottomLeft" state="frozen"/>
      <selection pane="bottomLeft" activeCell="U17" sqref="U17:U18"/>
    </sheetView>
  </sheetViews>
  <sheetFormatPr defaultRowHeight="13.5" x14ac:dyDescent="0.15"/>
  <cols>
    <col min="1" max="1" width="0.375" style="48" customWidth="1"/>
    <col min="2" max="2" width="1.875" style="111" customWidth="1"/>
    <col min="3" max="3" width="4.375" style="111" customWidth="1"/>
    <col min="4" max="4" width="16.25" style="111" customWidth="1"/>
    <col min="5" max="5" width="6.25" style="111" customWidth="1"/>
    <col min="6" max="6" width="10" style="111" customWidth="1"/>
    <col min="7" max="8" width="2.875" style="111" customWidth="1"/>
    <col min="9" max="9" width="3.125" style="111" customWidth="1"/>
    <col min="10" max="10" width="2.875" style="111" customWidth="1"/>
    <col min="11" max="12" width="3.625" style="48" customWidth="1"/>
    <col min="13" max="13" width="3.125" style="111" customWidth="1"/>
    <col min="14" max="14" width="2.75" style="111" customWidth="1"/>
    <col min="15" max="17" width="2.75" style="48" customWidth="1"/>
    <col min="18" max="18" width="3.125" style="111" customWidth="1"/>
    <col min="19" max="19" width="2.875" style="111" customWidth="1"/>
    <col min="20" max="22" width="2.75" style="48" customWidth="1"/>
    <col min="23" max="23" width="3.125" style="111" customWidth="1"/>
    <col min="24" max="24" width="2.875" style="111" customWidth="1"/>
    <col min="25" max="27" width="2.75" style="48" customWidth="1"/>
    <col min="28" max="28" width="3.125" style="111" customWidth="1"/>
    <col min="29" max="29" width="2.875" style="111" customWidth="1"/>
    <col min="30" max="32" width="2.75" style="48" customWidth="1"/>
    <col min="33" max="33" width="2.25" style="111" customWidth="1"/>
    <col min="34" max="34" width="3.75" style="111" customWidth="1"/>
    <col min="35" max="36" width="3.625" style="48" customWidth="1"/>
    <col min="37" max="38" width="4.375" style="111" customWidth="1"/>
    <col min="39" max="44" width="4.375" style="48" customWidth="1"/>
    <col min="45" max="45" width="4.375" style="228" hidden="1" customWidth="1"/>
    <col min="46" max="61" width="2.5" style="48" hidden="1" customWidth="1"/>
    <col min="62" max="64" width="6.625" style="48" hidden="1" customWidth="1"/>
    <col min="65" max="65" width="6.25" style="48" customWidth="1"/>
    <col min="66" max="66" width="9" style="48"/>
    <col min="67" max="67" width="3.75" style="48" customWidth="1"/>
    <col min="68" max="68" width="4.375" style="48" customWidth="1"/>
    <col min="69" max="94" width="3.75" style="48" customWidth="1"/>
    <col min="95" max="16384" width="9" style="48"/>
  </cols>
  <sheetData>
    <row r="1" spans="1:95" ht="2.25" customHeight="1" thickBot="1" x14ac:dyDescent="0.2">
      <c r="C1" s="112"/>
      <c r="D1" s="112"/>
    </row>
    <row r="2" spans="1:95" ht="14.25" customHeight="1" thickTop="1" thickBot="1" x14ac:dyDescent="0.2">
      <c r="B2" s="1461" t="s">
        <v>484</v>
      </c>
      <c r="C2" s="1462"/>
      <c r="D2" s="1853" t="str">
        <f>IF(AND(H2="○",H3="○",N2="○",N3="○",U2="○"),"ＯＫ","未完成")</f>
        <v>未完成</v>
      </c>
      <c r="E2" s="2205"/>
      <c r="F2" s="2187" t="s">
        <v>479</v>
      </c>
      <c r="G2" s="2188"/>
      <c r="H2" s="2191" t="str">
        <f>IF(AND(K406="○",L406="○",O406="○",P406="○",Q406="○",T406="○",U406="○",V406="○",Y406="○",Z406="○",AA406="○",AD406="○",AE406="○",AF406="○",AI406="○",AJ406="○"),"○","×")</f>
        <v>○</v>
      </c>
      <c r="I2" s="2192"/>
      <c r="J2" s="2199" t="s">
        <v>482</v>
      </c>
      <c r="K2" s="2200"/>
      <c r="L2" s="2200"/>
      <c r="M2" s="2201"/>
      <c r="N2" s="2191" t="str">
        <f>IF(F405&gt;=1,"○","×")</f>
        <v>×</v>
      </c>
      <c r="O2" s="2192"/>
      <c r="P2" s="495"/>
      <c r="Q2" s="495"/>
      <c r="R2" s="495"/>
      <c r="S2" s="495"/>
      <c r="T2" s="495"/>
      <c r="U2" s="1998" t="str">
        <f>IF(OR(AF2="",AL2=""),"×","○")</f>
        <v>×</v>
      </c>
      <c r="V2" s="1541"/>
      <c r="W2" s="1731" t="s">
        <v>415</v>
      </c>
      <c r="X2" s="1732"/>
      <c r="Y2" s="1732"/>
      <c r="Z2" s="1732"/>
      <c r="AA2" s="1732"/>
      <c r="AB2" s="1733"/>
      <c r="AC2" s="2207" t="s">
        <v>416</v>
      </c>
      <c r="AD2" s="2208"/>
      <c r="AE2" s="2208"/>
      <c r="AF2" s="1999"/>
      <c r="AG2" s="1999"/>
      <c r="AH2" s="2211" t="s">
        <v>177</v>
      </c>
      <c r="AI2" s="2213" t="s">
        <v>417</v>
      </c>
      <c r="AJ2" s="2214"/>
      <c r="AK2" s="2214"/>
      <c r="AL2" s="2217"/>
      <c r="AM2" s="2217"/>
      <c r="AN2" s="2219" t="s">
        <v>177</v>
      </c>
      <c r="AO2" s="2223" t="s">
        <v>487</v>
      </c>
      <c r="AP2" s="2224"/>
      <c r="AQ2" s="2224"/>
      <c r="AR2" s="2224"/>
      <c r="AS2" s="645"/>
      <c r="AT2" s="596"/>
      <c r="BN2" s="671" t="s">
        <v>509</v>
      </c>
      <c r="BQ2" s="113"/>
      <c r="BR2" s="113"/>
    </row>
    <row r="3" spans="1:95" ht="14.25" customHeight="1" thickBot="1" x14ac:dyDescent="0.2">
      <c r="B3" s="1463"/>
      <c r="C3" s="1464"/>
      <c r="D3" s="1856"/>
      <c r="E3" s="2206"/>
      <c r="F3" s="2189" t="s">
        <v>480</v>
      </c>
      <c r="G3" s="2190"/>
      <c r="H3" s="2193" t="str">
        <f>IF(B405=0,"○","×")</f>
        <v>×</v>
      </c>
      <c r="I3" s="2194"/>
      <c r="J3" s="2202" t="s">
        <v>483</v>
      </c>
      <c r="K3" s="2203"/>
      <c r="L3" s="2203"/>
      <c r="M3" s="2204"/>
      <c r="N3" s="2193" t="str">
        <f>IF(AND(B15="○",B17="○"),"○","×")</f>
        <v>×</v>
      </c>
      <c r="O3" s="2194"/>
      <c r="P3" s="590"/>
      <c r="Q3" s="590"/>
      <c r="R3" s="495"/>
      <c r="S3" s="495"/>
      <c r="T3" s="495"/>
      <c r="U3" s="1998"/>
      <c r="V3" s="1541"/>
      <c r="W3" s="1734"/>
      <c r="X3" s="1735"/>
      <c r="Y3" s="1735"/>
      <c r="Z3" s="1735"/>
      <c r="AA3" s="1735"/>
      <c r="AB3" s="1736"/>
      <c r="AC3" s="2209"/>
      <c r="AD3" s="2210"/>
      <c r="AE3" s="2210"/>
      <c r="AF3" s="2000"/>
      <c r="AG3" s="2000"/>
      <c r="AH3" s="2212"/>
      <c r="AI3" s="2215"/>
      <c r="AJ3" s="2216"/>
      <c r="AK3" s="2216"/>
      <c r="AL3" s="2218"/>
      <c r="AM3" s="2218"/>
      <c r="AN3" s="2220"/>
      <c r="AO3" s="1993" t="s">
        <v>488</v>
      </c>
      <c r="AP3" s="1994"/>
      <c r="AQ3" s="1994"/>
      <c r="AR3" s="1994"/>
      <c r="AS3" s="646"/>
      <c r="AT3" s="598"/>
      <c r="BN3" s="1915" t="s">
        <v>362</v>
      </c>
      <c r="BO3" s="1915"/>
      <c r="BP3" s="1915"/>
      <c r="BQ3" s="1904" t="s">
        <v>78</v>
      </c>
      <c r="BR3" s="1905"/>
      <c r="BS3" s="1912">
        <f>SUM(BS5:BV11)</f>
        <v>0</v>
      </c>
      <c r="BT3" s="1913"/>
      <c r="BU3" s="1913"/>
      <c r="BV3" s="1914"/>
      <c r="BW3" s="1910" t="s">
        <v>79</v>
      </c>
      <c r="BX3" s="1911"/>
      <c r="BY3" s="1912">
        <f>SUM(BY5:CB11)</f>
        <v>0</v>
      </c>
      <c r="BZ3" s="1913"/>
      <c r="CA3" s="1913"/>
      <c r="CB3" s="1914"/>
    </row>
    <row r="4" spans="1:95" ht="17.25" customHeight="1" thickTop="1" x14ac:dyDescent="0.15">
      <c r="D4" s="1980" t="s">
        <v>478</v>
      </c>
      <c r="E4" s="1980"/>
      <c r="F4" s="1951" t="s">
        <v>508</v>
      </c>
      <c r="G4" s="1951"/>
      <c r="H4" s="1951"/>
      <c r="I4" s="1951"/>
      <c r="J4" s="1951"/>
      <c r="K4" s="1951"/>
      <c r="L4" s="1951"/>
      <c r="M4" s="1951"/>
      <c r="N4" s="1951"/>
      <c r="O4" s="1951"/>
      <c r="P4" s="1951"/>
      <c r="Q4" s="1951"/>
      <c r="R4" s="1951"/>
      <c r="S4" s="1951"/>
      <c r="T4" s="1951"/>
      <c r="U4" s="2221" t="str">
        <f>IF(AL2&gt;=1,"　 ※ 出入りする全ての自家用車についてお知らせください","")</f>
        <v/>
      </c>
      <c r="V4" s="2221"/>
      <c r="W4" s="2221"/>
      <c r="X4" s="2221"/>
      <c r="Y4" s="2221"/>
      <c r="Z4" s="2221"/>
      <c r="AA4" s="2221"/>
      <c r="AB4" s="2221"/>
      <c r="AC4" s="2221"/>
      <c r="AD4" s="2221"/>
      <c r="AE4" s="2221"/>
      <c r="AF4" s="2221"/>
      <c r="AG4" s="2221"/>
      <c r="AH4" s="2221"/>
      <c r="AI4" s="2221"/>
      <c r="AJ4" s="2221"/>
      <c r="AK4" s="2221"/>
      <c r="AL4" s="2221"/>
      <c r="AN4" s="594"/>
      <c r="AO4" s="1982" t="str">
        <f>IF(入力ページ!H60="あり","希望あり","希望なし")</f>
        <v>希望なし</v>
      </c>
      <c r="AP4" s="1982"/>
      <c r="AQ4" s="1982"/>
      <c r="AR4" s="1982"/>
      <c r="AS4" s="647"/>
      <c r="AT4" s="599"/>
      <c r="AU4" s="228"/>
      <c r="BN4" s="1874" t="s">
        <v>328</v>
      </c>
      <c r="BO4" s="1875"/>
      <c r="BP4" s="712">
        <f>SUM(BP5:BP11)</f>
        <v>0</v>
      </c>
      <c r="BQ4" s="1906">
        <f>SUM(BQ5:BQ11)</f>
        <v>0</v>
      </c>
      <c r="BR4" s="1907"/>
      <c r="BS4" s="1883" t="s">
        <v>155</v>
      </c>
      <c r="BT4" s="1884"/>
      <c r="BU4" s="1916" t="s">
        <v>322</v>
      </c>
      <c r="BV4" s="1917"/>
      <c r="BW4" s="1906">
        <f>SUM(BW5:BX11)</f>
        <v>0</v>
      </c>
      <c r="BX4" s="1907"/>
      <c r="BY4" s="1883" t="s">
        <v>155</v>
      </c>
      <c r="BZ4" s="1884"/>
      <c r="CA4" s="1916" t="s">
        <v>322</v>
      </c>
      <c r="CB4" s="1917"/>
    </row>
    <row r="5" spans="1:95" ht="17.25" customHeight="1" thickBot="1" x14ac:dyDescent="0.2">
      <c r="A5" s="113"/>
      <c r="B5" s="494"/>
      <c r="C5" s="494"/>
      <c r="D5" s="1981"/>
      <c r="E5" s="1981"/>
      <c r="F5" s="1952"/>
      <c r="G5" s="1952"/>
      <c r="H5" s="1952"/>
      <c r="I5" s="1952"/>
      <c r="J5" s="1952"/>
      <c r="K5" s="1952"/>
      <c r="L5" s="1952"/>
      <c r="M5" s="1952"/>
      <c r="N5" s="1952"/>
      <c r="O5" s="1952"/>
      <c r="P5" s="1952"/>
      <c r="Q5" s="1952"/>
      <c r="R5" s="1952"/>
      <c r="S5" s="1952"/>
      <c r="T5" s="1952"/>
      <c r="U5" s="2222"/>
      <c r="V5" s="2222"/>
      <c r="W5" s="2222"/>
      <c r="X5" s="2222"/>
      <c r="Y5" s="2222"/>
      <c r="Z5" s="2222"/>
      <c r="AA5" s="2222"/>
      <c r="AB5" s="2222"/>
      <c r="AC5" s="2222"/>
      <c r="AD5" s="2222"/>
      <c r="AE5" s="2222"/>
      <c r="AF5" s="2222"/>
      <c r="AG5" s="2222"/>
      <c r="AH5" s="2222"/>
      <c r="AI5" s="2222"/>
      <c r="AJ5" s="2222"/>
      <c r="AK5" s="2222"/>
      <c r="AL5" s="2222"/>
      <c r="AN5" s="595"/>
      <c r="AO5" s="2001"/>
      <c r="AP5" s="2001"/>
      <c r="AQ5" s="2001"/>
      <c r="AR5" s="2001"/>
      <c r="AS5" s="2001"/>
      <c r="AT5" s="2001"/>
      <c r="BN5" s="1918" t="s">
        <v>323</v>
      </c>
      <c r="BO5" s="1919"/>
      <c r="BP5" s="713">
        <f t="shared" ref="BP5:BQ11" si="0">BP17</f>
        <v>0</v>
      </c>
      <c r="BQ5" s="1885">
        <f t="shared" si="0"/>
        <v>0</v>
      </c>
      <c r="BR5" s="1886"/>
      <c r="BS5" s="1887">
        <f>COUNTIFS($G$15:$G$404,"○",$F$15:$F$404,"2歳児以下",$BJ$15:$BJ$404,"&gt;0",$BL$15:$BL$404,"&gt;=0")</f>
        <v>0</v>
      </c>
      <c r="BT5" s="1888"/>
      <c r="BU5" s="1889">
        <f>COUNTIFS($G$15:$G$404,"○",$F$15:$F$404,"2歳児以下",$BK$15:$BK$404,"&gt;0",$BL$15:$BL$404,"&lt;0")</f>
        <v>0</v>
      </c>
      <c r="BV5" s="1890"/>
      <c r="BW5" s="1885">
        <f t="shared" ref="BW5:BW11" si="1">BR17</f>
        <v>0</v>
      </c>
      <c r="BX5" s="1886"/>
      <c r="BY5" s="1887">
        <f>COUNTIFS($H$15:$H$404,"○",$F$15:$F$404,"2歳児以下",$BJ$15:$BJ$404,"&gt;0",$BL$15:$BL$404,"&gt;=0")</f>
        <v>0</v>
      </c>
      <c r="BZ5" s="1888"/>
      <c r="CA5" s="1889">
        <f>COUNTIFS($H$15:$H$404,"○",$F$15:$F$404,"2歳児以下",$BK$15:$BK$404,"&gt;0",$BL$15:$BL$404,"&lt;0")</f>
        <v>0</v>
      </c>
      <c r="CB5" s="1890"/>
    </row>
    <row r="6" spans="1:95" ht="15" customHeight="1" x14ac:dyDescent="0.15">
      <c r="B6" s="2176" t="s">
        <v>287</v>
      </c>
      <c r="C6" s="2177"/>
      <c r="D6" s="1959" t="s">
        <v>167</v>
      </c>
      <c r="E6" s="1962" t="s">
        <v>341</v>
      </c>
      <c r="F6" s="1965" t="s">
        <v>474</v>
      </c>
      <c r="G6" s="2097" t="s">
        <v>166</v>
      </c>
      <c r="H6" s="2098"/>
      <c r="I6" s="2014" t="s">
        <v>165</v>
      </c>
      <c r="J6" s="2015"/>
      <c r="K6" s="2015"/>
      <c r="L6" s="2016"/>
      <c r="M6" s="2014" t="s">
        <v>164</v>
      </c>
      <c r="N6" s="2015"/>
      <c r="O6" s="2015"/>
      <c r="P6" s="2015"/>
      <c r="Q6" s="2016"/>
      <c r="R6" s="2014" t="s">
        <v>163</v>
      </c>
      <c r="S6" s="2015"/>
      <c r="T6" s="2015"/>
      <c r="U6" s="2015"/>
      <c r="V6" s="2016"/>
      <c r="W6" s="2014" t="s">
        <v>249</v>
      </c>
      <c r="X6" s="2015"/>
      <c r="Y6" s="2015"/>
      <c r="Z6" s="2015"/>
      <c r="AA6" s="2016"/>
      <c r="AB6" s="2014" t="s">
        <v>250</v>
      </c>
      <c r="AC6" s="2015"/>
      <c r="AD6" s="2015"/>
      <c r="AE6" s="2015"/>
      <c r="AF6" s="2016"/>
      <c r="AG6" s="2014" t="s">
        <v>251</v>
      </c>
      <c r="AH6" s="2015"/>
      <c r="AI6" s="2015"/>
      <c r="AJ6" s="2016"/>
      <c r="AK6" s="2014" t="s">
        <v>438</v>
      </c>
      <c r="AL6" s="2015"/>
      <c r="AM6" s="2015"/>
      <c r="AN6" s="2016"/>
      <c r="AO6" s="2014" t="s">
        <v>162</v>
      </c>
      <c r="AP6" s="2015"/>
      <c r="AQ6" s="2015"/>
      <c r="AR6" s="2016"/>
      <c r="AS6" s="648"/>
      <c r="BN6" s="1878" t="s">
        <v>324</v>
      </c>
      <c r="BO6" s="1879"/>
      <c r="BP6" s="713">
        <f t="shared" si="0"/>
        <v>0</v>
      </c>
      <c r="BQ6" s="1876">
        <f t="shared" si="0"/>
        <v>0</v>
      </c>
      <c r="BR6" s="1877"/>
      <c r="BS6" s="1862">
        <f>COUNTIFS($G$15:$G$404,"○",$F$15:$F$404,"3歳-学齢前",$BJ$15:$BJ$404,"&gt;0",$BL$15:$BL$404,"&gt;=0")</f>
        <v>0</v>
      </c>
      <c r="BT6" s="1863"/>
      <c r="BU6" s="1864">
        <f>COUNTIFS($G$15:$G$404,"○",$F$15:$F$404,"3歳-学齢前",$BK$15:$BK$404,"&gt;0",$BL$15:$BL$404,"&lt;0")</f>
        <v>0</v>
      </c>
      <c r="BV6" s="1865"/>
      <c r="BW6" s="1876">
        <f t="shared" si="1"/>
        <v>0</v>
      </c>
      <c r="BX6" s="1877"/>
      <c r="BY6" s="1862">
        <f>COUNTIFS($H$15:$H$404,"○",$F$15:$F$404,"3歳-学齢前",$BJ$15:$BJ$404,"&gt;0",$BL$15:$BL$404,"&gt;=0")</f>
        <v>0</v>
      </c>
      <c r="BZ6" s="1863"/>
      <c r="CA6" s="1864">
        <f>COUNTIFS($H$15:$H$404,"○",$F$15:$F$404,"3歳-学齢前",$BK$15:$BK$404,"&gt;0",$BL$15:$BL$404,"&lt;0")</f>
        <v>0</v>
      </c>
      <c r="CB6" s="1865"/>
    </row>
    <row r="7" spans="1:95" ht="15" customHeight="1" x14ac:dyDescent="0.15">
      <c r="B7" s="2178"/>
      <c r="C7" s="2179"/>
      <c r="D7" s="1960"/>
      <c r="E7" s="1963"/>
      <c r="F7" s="1966"/>
      <c r="G7" s="2099"/>
      <c r="H7" s="1972"/>
      <c r="I7" s="2061" t="str">
        <f>入力ページ!I65</f>
        <v/>
      </c>
      <c r="J7" s="2062"/>
      <c r="K7" s="2062"/>
      <c r="L7" s="2063"/>
      <c r="M7" s="2064" t="str">
        <f>入力ページ!M65</f>
        <v/>
      </c>
      <c r="N7" s="2065"/>
      <c r="O7" s="2065"/>
      <c r="P7" s="2065"/>
      <c r="Q7" s="2066"/>
      <c r="R7" s="2064" t="str">
        <f>入力ページ!Q65</f>
        <v/>
      </c>
      <c r="S7" s="2065"/>
      <c r="T7" s="2065"/>
      <c r="U7" s="2065"/>
      <c r="V7" s="2066"/>
      <c r="W7" s="2064" t="str">
        <f>入力ページ!U65</f>
        <v/>
      </c>
      <c r="X7" s="2065"/>
      <c r="Y7" s="2065"/>
      <c r="Z7" s="2065"/>
      <c r="AA7" s="2066"/>
      <c r="AB7" s="2064" t="str">
        <f>入力ページ!Y65</f>
        <v/>
      </c>
      <c r="AC7" s="2065"/>
      <c r="AD7" s="2065"/>
      <c r="AE7" s="2065"/>
      <c r="AF7" s="2066"/>
      <c r="AG7" s="2064" t="str">
        <f>入力ページ!AC65</f>
        <v/>
      </c>
      <c r="AH7" s="2065"/>
      <c r="AI7" s="2065"/>
      <c r="AJ7" s="2065"/>
      <c r="AK7" s="1990" t="s">
        <v>331</v>
      </c>
      <c r="AL7" s="1991"/>
      <c r="AM7" s="1991"/>
      <c r="AN7" s="1992"/>
      <c r="AO7" s="1954" t="s">
        <v>343</v>
      </c>
      <c r="AP7" s="1954"/>
      <c r="AQ7" s="1954"/>
      <c r="AR7" s="1955"/>
      <c r="AS7" s="649"/>
      <c r="BN7" s="1878" t="s">
        <v>84</v>
      </c>
      <c r="BO7" s="1879"/>
      <c r="BP7" s="714">
        <f t="shared" si="0"/>
        <v>0</v>
      </c>
      <c r="BQ7" s="1876">
        <f t="shared" si="0"/>
        <v>0</v>
      </c>
      <c r="BR7" s="1877"/>
      <c r="BS7" s="1880">
        <f>COUNTIFS($G$15:$G$404,"○",$F$15:$F$404,"小学生",$BJ$15:$BJ$404,"&gt;0",$BL$15:$BL$404,"&gt;=0")</f>
        <v>0</v>
      </c>
      <c r="BT7" s="1881"/>
      <c r="BU7" s="1864">
        <f>COUNTIFS($G$15:$G$404,"○",$F$15:$F$404,"小学生",$BK$15:$BK$404,"&gt;0",$BL$15:$BL$404,"&lt;0")</f>
        <v>0</v>
      </c>
      <c r="BV7" s="1865"/>
      <c r="BW7" s="1876">
        <f t="shared" si="1"/>
        <v>0</v>
      </c>
      <c r="BX7" s="1877"/>
      <c r="BY7" s="1880">
        <f>COUNTIFS($H$15:$H$404,"○",$F$15:$F$404,"小学生",$BJ$15:$BJ$404,"&gt;0",$BL$15:$BL$404,"&gt;=0")</f>
        <v>0</v>
      </c>
      <c r="BZ7" s="1881"/>
      <c r="CA7" s="1864">
        <f>COUNTIFS($H$15:$H$404,"○",$F$15:$F$404,"小学生",$BK$15:$BK$404,"&gt;0",$BL$15:$BL$404,"&lt;0")</f>
        <v>0</v>
      </c>
      <c r="CB7" s="1865"/>
    </row>
    <row r="8" spans="1:95" ht="15" customHeight="1" x14ac:dyDescent="0.15">
      <c r="B8" s="2178"/>
      <c r="C8" s="2179"/>
      <c r="D8" s="1960"/>
      <c r="E8" s="1963"/>
      <c r="F8" s="1966"/>
      <c r="G8" s="1968" t="s">
        <v>78</v>
      </c>
      <c r="H8" s="1971" t="s">
        <v>79</v>
      </c>
      <c r="I8" s="1974" t="s">
        <v>176</v>
      </c>
      <c r="J8" s="1975"/>
      <c r="K8" s="2095" t="s">
        <v>161</v>
      </c>
      <c r="L8" s="2096"/>
      <c r="M8" s="1974" t="s">
        <v>176</v>
      </c>
      <c r="N8" s="1975"/>
      <c r="O8" s="1995" t="s">
        <v>160</v>
      </c>
      <c r="P8" s="1996"/>
      <c r="Q8" s="1997"/>
      <c r="R8" s="1974" t="s">
        <v>176</v>
      </c>
      <c r="S8" s="1975"/>
      <c r="T8" s="1995" t="s">
        <v>160</v>
      </c>
      <c r="U8" s="1996"/>
      <c r="V8" s="1997"/>
      <c r="W8" s="1974" t="s">
        <v>176</v>
      </c>
      <c r="X8" s="1975"/>
      <c r="Y8" s="1995" t="s">
        <v>160</v>
      </c>
      <c r="Z8" s="1996"/>
      <c r="AA8" s="1997"/>
      <c r="AB8" s="1974" t="s">
        <v>176</v>
      </c>
      <c r="AC8" s="1975"/>
      <c r="AD8" s="1995" t="s">
        <v>160</v>
      </c>
      <c r="AE8" s="1996"/>
      <c r="AF8" s="1997"/>
      <c r="AG8" s="1974" t="s">
        <v>176</v>
      </c>
      <c r="AH8" s="1975"/>
      <c r="AI8" s="1995" t="s">
        <v>160</v>
      </c>
      <c r="AJ8" s="1996"/>
      <c r="AK8" s="1953" t="s">
        <v>439</v>
      </c>
      <c r="AL8" s="1954"/>
      <c r="AM8" s="1954"/>
      <c r="AN8" s="1955"/>
      <c r="AO8" s="1954"/>
      <c r="AP8" s="1954"/>
      <c r="AQ8" s="1954"/>
      <c r="AR8" s="1955"/>
      <c r="AS8" s="649"/>
      <c r="BN8" s="1878" t="s">
        <v>85</v>
      </c>
      <c r="BO8" s="1879"/>
      <c r="BP8" s="713">
        <f t="shared" si="0"/>
        <v>0</v>
      </c>
      <c r="BQ8" s="1876">
        <f t="shared" si="0"/>
        <v>0</v>
      </c>
      <c r="BR8" s="1877"/>
      <c r="BS8" s="1862">
        <f>COUNTIFS($G$15:$G$404,"○",$F$15:$F$404,"中学生",$BJ$15:$BJ$404,"&gt;0",$BL$15:$BL$404,"&gt;=0")</f>
        <v>0</v>
      </c>
      <c r="BT8" s="1863"/>
      <c r="BU8" s="1864">
        <f>COUNTIFS($G$15:$G$404,"○",$F$15:$F$404,"中学生",$BK$15:$BK$404,"&gt;0",$BL$15:$BL$404,"&lt;0")</f>
        <v>0</v>
      </c>
      <c r="BV8" s="1865"/>
      <c r="BW8" s="1876">
        <f t="shared" si="1"/>
        <v>0</v>
      </c>
      <c r="BX8" s="1877"/>
      <c r="BY8" s="1862">
        <f>COUNTIFS($H$15:$H$404,"○",$F$15:$F$404,"中学生",$BJ$15:$BJ$404,"&gt;0",$BL$15:$BL$404,"&gt;=0")</f>
        <v>0</v>
      </c>
      <c r="BZ8" s="1863"/>
      <c r="CA8" s="1864">
        <f>COUNTIFS($H$15:$H$404,"○",$F$15:$F$404,"中学生",$BK$15:$BK$404,"&gt;0",$BL$15:$BL$404,"&lt;0")</f>
        <v>0</v>
      </c>
      <c r="CB8" s="1865"/>
    </row>
    <row r="9" spans="1:95" ht="15" customHeight="1" x14ac:dyDescent="0.15">
      <c r="B9" s="2178"/>
      <c r="C9" s="2179"/>
      <c r="D9" s="1960"/>
      <c r="E9" s="1963"/>
      <c r="F9" s="1966"/>
      <c r="G9" s="1969"/>
      <c r="H9" s="1972"/>
      <c r="I9" s="1976"/>
      <c r="J9" s="1977"/>
      <c r="K9" s="580" t="s">
        <v>153</v>
      </c>
      <c r="L9" s="581" t="s">
        <v>280</v>
      </c>
      <c r="M9" s="1976"/>
      <c r="N9" s="1977"/>
      <c r="O9" s="580" t="s">
        <v>154</v>
      </c>
      <c r="P9" s="580" t="s">
        <v>153</v>
      </c>
      <c r="Q9" s="581" t="s">
        <v>281</v>
      </c>
      <c r="R9" s="1976"/>
      <c r="S9" s="1977"/>
      <c r="T9" s="580" t="s">
        <v>154</v>
      </c>
      <c r="U9" s="580" t="s">
        <v>153</v>
      </c>
      <c r="V9" s="581" t="s">
        <v>280</v>
      </c>
      <c r="W9" s="1976"/>
      <c r="X9" s="1977"/>
      <c r="Y9" s="580" t="s">
        <v>154</v>
      </c>
      <c r="Z9" s="580" t="s">
        <v>153</v>
      </c>
      <c r="AA9" s="581" t="s">
        <v>281</v>
      </c>
      <c r="AB9" s="1976"/>
      <c r="AC9" s="1977"/>
      <c r="AD9" s="580" t="s">
        <v>154</v>
      </c>
      <c r="AE9" s="580" t="s">
        <v>153</v>
      </c>
      <c r="AF9" s="581" t="s">
        <v>280</v>
      </c>
      <c r="AG9" s="1976"/>
      <c r="AH9" s="1977"/>
      <c r="AI9" s="580" t="s">
        <v>154</v>
      </c>
      <c r="AJ9" s="580" t="s">
        <v>153</v>
      </c>
      <c r="AK9" s="1953"/>
      <c r="AL9" s="1954"/>
      <c r="AM9" s="1954"/>
      <c r="AN9" s="1955"/>
      <c r="AO9" s="1954"/>
      <c r="AP9" s="1954"/>
      <c r="AQ9" s="1954"/>
      <c r="AR9" s="1955"/>
      <c r="AS9" s="649"/>
      <c r="BN9" s="1878" t="s">
        <v>325</v>
      </c>
      <c r="BO9" s="1879"/>
      <c r="BP9" s="713">
        <f t="shared" si="0"/>
        <v>0</v>
      </c>
      <c r="BQ9" s="1908">
        <f t="shared" si="0"/>
        <v>0</v>
      </c>
      <c r="BR9" s="1909"/>
      <c r="BS9" s="1880">
        <f>COUNTIFS($G$15:$G$404,"○",$F$15:$F$404,"高校生(～18歳)",$BJ$15:$BJ$404,"&gt;0",$BL$15:$BL$404,"&gt;=0")</f>
        <v>0</v>
      </c>
      <c r="BT9" s="1881"/>
      <c r="BU9" s="1864">
        <f>COUNTIFS($G$15:$G$404,"○",$F$15:$F$404,"高校生(～18歳)",$BK$15:$BK$404,"&gt;0",$BL$15:$BL$404,"&lt;0")</f>
        <v>0</v>
      </c>
      <c r="BV9" s="1865"/>
      <c r="BW9" s="1876">
        <f t="shared" si="1"/>
        <v>0</v>
      </c>
      <c r="BX9" s="1877"/>
      <c r="BY9" s="1880">
        <f>COUNTIFS($H$15:$H$404,"○",$F$15:$F$404,"高校生(～18歳)",$BJ$15:$BJ$404,"&gt;0",$BL$15:$BL$404,"&gt;=0")</f>
        <v>0</v>
      </c>
      <c r="BZ9" s="1881"/>
      <c r="CA9" s="1864">
        <f>COUNTIFS($H$15:$H$404,"○",$F$15:$F$404,"高校生(～18歳)",$BK$15:$BK$404,"&gt;0",$BL$15:$BL$404,"&lt;0")</f>
        <v>0</v>
      </c>
      <c r="CB9" s="1865"/>
    </row>
    <row r="10" spans="1:95" ht="15" customHeight="1" thickBot="1" x14ac:dyDescent="0.2">
      <c r="B10" s="2180"/>
      <c r="C10" s="2181"/>
      <c r="D10" s="1961"/>
      <c r="E10" s="1964"/>
      <c r="F10" s="1967"/>
      <c r="G10" s="1970"/>
      <c r="H10" s="1973"/>
      <c r="I10" s="1978"/>
      <c r="J10" s="1979"/>
      <c r="K10" s="588" t="str">
        <f>IF(K405="","",SUM(入力ページ!H71:J74)-COUNTA(K15:K404))</f>
        <v/>
      </c>
      <c r="L10" s="589" t="str">
        <f>IF(L405="","",SUM(入力ページ!H76:J79)-COUNTA(L15:L404))</f>
        <v/>
      </c>
      <c r="M10" s="1978"/>
      <c r="N10" s="1979"/>
      <c r="O10" s="588" t="str">
        <f>IF(O405="","",SUM(入力ページ!L67:N70)-COUNTA(O15:O404))</f>
        <v/>
      </c>
      <c r="P10" s="588" t="str">
        <f>IF(P405="","",SUM(入力ページ!L71:N74)-COUNTA(P15:P404))</f>
        <v/>
      </c>
      <c r="Q10" s="589" t="str">
        <f>IF(Q405="","",SUM(入力ページ!L76:N79)-COUNTA(Q15:Q404))</f>
        <v/>
      </c>
      <c r="R10" s="1978"/>
      <c r="S10" s="1979"/>
      <c r="T10" s="588" t="str">
        <f>IF(T405="","",SUM(入力ページ!P67:R70)-COUNTA(T15:T404))</f>
        <v/>
      </c>
      <c r="U10" s="588" t="str">
        <f>IF(U405="","",SUM(入力ページ!P71:R74)-COUNTA(U15:U404))</f>
        <v/>
      </c>
      <c r="V10" s="589" t="str">
        <f>IF(V405="","",SUM(入力ページ!P76:R79)-COUNTA(V15:V404))</f>
        <v/>
      </c>
      <c r="W10" s="1978"/>
      <c r="X10" s="1979"/>
      <c r="Y10" s="588" t="str">
        <f>IF(Y405="","",SUM(入力ページ!T67:V70)-COUNTA(Y15:Y404))</f>
        <v/>
      </c>
      <c r="Z10" s="588" t="str">
        <f>IF(Z405="","",SUM(入力ページ!T71:V74)-COUNTA(Z15:Z404))</f>
        <v/>
      </c>
      <c r="AA10" s="589" t="str">
        <f>IF(AA405="","",SUM(入力ページ!T76:V79)-COUNTA(AA15:AA404))</f>
        <v/>
      </c>
      <c r="AB10" s="1978"/>
      <c r="AC10" s="1979"/>
      <c r="AD10" s="588" t="str">
        <f>IF(AD405="","",SUM(入力ページ!X67:Z70)-COUNTA(AD15:AD404))</f>
        <v/>
      </c>
      <c r="AE10" s="588" t="str">
        <f>IF(AE405="","",SUM(入力ページ!X71:Z74)-COUNTA(AE15:AE404))</f>
        <v/>
      </c>
      <c r="AF10" s="589" t="str">
        <f>IF(AF405="","",SUM(入力ページ!X76:Z79)-COUNTA(AF15:AF404))</f>
        <v/>
      </c>
      <c r="AG10" s="1978"/>
      <c r="AH10" s="1979"/>
      <c r="AI10" s="588" t="str">
        <f>IF(AI405="","",SUM(入力ページ!AB67:AD70)-COUNTA(AI15:AI404))</f>
        <v/>
      </c>
      <c r="AJ10" s="589" t="str">
        <f>IF(AJ405="","",SUM(入力ページ!AB71:AD74)-COUNTA(AJ15:AJ404))</f>
        <v/>
      </c>
      <c r="AK10" s="1956"/>
      <c r="AL10" s="1957"/>
      <c r="AM10" s="1957"/>
      <c r="AN10" s="1958"/>
      <c r="AO10" s="1957"/>
      <c r="AP10" s="1957"/>
      <c r="AQ10" s="1957"/>
      <c r="AR10" s="1958"/>
      <c r="AS10" s="649"/>
      <c r="BN10" s="1878" t="s">
        <v>326</v>
      </c>
      <c r="BO10" s="1879"/>
      <c r="BP10" s="713">
        <f t="shared" si="0"/>
        <v>0</v>
      </c>
      <c r="BQ10" s="1876">
        <f t="shared" si="0"/>
        <v>0</v>
      </c>
      <c r="BR10" s="1877"/>
      <c r="BS10" s="1862">
        <f>COUNTIFS($G$15:$G$404,"○",$F$15:$F$404,"一般(19歳～)",$BJ$15:$BJ$404,"&gt;0",$BL$15:$BL$404,"&gt;=0")</f>
        <v>0</v>
      </c>
      <c r="BT10" s="1863"/>
      <c r="BU10" s="1864">
        <f>COUNTIFS($G$15:$G$404,"○",$F$15:$F$404,"一般(19歳～)",$BK$15:$BK$404,"&gt;0",$BL$15:$BL$404,"&lt;0")</f>
        <v>0</v>
      </c>
      <c r="BV10" s="1865"/>
      <c r="BW10" s="1876">
        <f t="shared" si="1"/>
        <v>0</v>
      </c>
      <c r="BX10" s="1877"/>
      <c r="BY10" s="1862">
        <f>COUNTIFS($H$15:$H$404,"○",$F$15:$F$404,"一般(19歳～)",$BJ$15:$BJ$404,"&gt;0",$BL$15:$BL$404,"&gt;=0")</f>
        <v>0</v>
      </c>
      <c r="BZ10" s="1863"/>
      <c r="CA10" s="1864">
        <f>COUNTIFS($H$15:$H$404,"○",$F$15:$F$404,"一般(19歳～)",$BK$15:$BK$404,"&gt;0",$BL$15:$BL$404,"&lt;0")</f>
        <v>0</v>
      </c>
      <c r="CB10" s="1865"/>
      <c r="CC10" s="664"/>
      <c r="CD10" s="664"/>
      <c r="CE10" s="664"/>
      <c r="CF10" s="664"/>
      <c r="CG10" s="664"/>
      <c r="CH10" s="664"/>
      <c r="CI10" s="664"/>
      <c r="CJ10" s="664"/>
      <c r="CK10" s="664"/>
      <c r="CL10" s="664"/>
      <c r="CM10" s="664"/>
      <c r="CN10" s="664"/>
      <c r="CO10" s="664"/>
      <c r="CP10" s="664"/>
      <c r="CQ10" s="664"/>
    </row>
    <row r="11" spans="1:95" ht="15" customHeight="1" thickBot="1" x14ac:dyDescent="0.2">
      <c r="B11" s="2182" t="s">
        <v>419</v>
      </c>
      <c r="C11" s="2079"/>
      <c r="D11" s="2079" t="s">
        <v>158</v>
      </c>
      <c r="E11" s="2081" t="s">
        <v>157</v>
      </c>
      <c r="F11" s="2059" t="s">
        <v>329</v>
      </c>
      <c r="G11" s="2083" t="s">
        <v>98</v>
      </c>
      <c r="H11" s="2085"/>
      <c r="I11" s="2087" t="s">
        <v>155</v>
      </c>
      <c r="J11" s="2088"/>
      <c r="K11" s="2047" t="s">
        <v>98</v>
      </c>
      <c r="L11" s="2049" t="s">
        <v>98</v>
      </c>
      <c r="M11" s="2087" t="s">
        <v>155</v>
      </c>
      <c r="N11" s="2088"/>
      <c r="O11" s="2047" t="s">
        <v>98</v>
      </c>
      <c r="P11" s="2047" t="s">
        <v>98</v>
      </c>
      <c r="Q11" s="2049" t="s">
        <v>98</v>
      </c>
      <c r="R11" s="2091" t="s">
        <v>414</v>
      </c>
      <c r="S11" s="2092"/>
      <c r="T11" s="2047" t="s">
        <v>98</v>
      </c>
      <c r="U11" s="2075"/>
      <c r="V11" s="2077"/>
      <c r="W11" s="2067"/>
      <c r="X11" s="2068"/>
      <c r="Y11" s="2071"/>
      <c r="Z11" s="2071"/>
      <c r="AA11" s="2073"/>
      <c r="AB11" s="2067"/>
      <c r="AC11" s="2068"/>
      <c r="AD11" s="2071"/>
      <c r="AE11" s="2075"/>
      <c r="AF11" s="2077"/>
      <c r="AG11" s="2067"/>
      <c r="AH11" s="2068"/>
      <c r="AI11" s="2071"/>
      <c r="AJ11" s="2071"/>
      <c r="AK11" s="2032"/>
      <c r="AL11" s="2033"/>
      <c r="AM11" s="2033"/>
      <c r="AN11" s="2034"/>
      <c r="AO11" s="2026" t="s">
        <v>342</v>
      </c>
      <c r="AP11" s="2027"/>
      <c r="AQ11" s="2027"/>
      <c r="AR11" s="2028"/>
      <c r="AS11" s="650"/>
      <c r="BK11" s="664"/>
      <c r="BL11" s="664"/>
      <c r="BM11" s="664"/>
      <c r="BN11" s="1866" t="s">
        <v>517</v>
      </c>
      <c r="BO11" s="1867"/>
      <c r="BP11" s="715">
        <f t="shared" si="0"/>
        <v>0</v>
      </c>
      <c r="BQ11" s="1870">
        <f t="shared" si="0"/>
        <v>0</v>
      </c>
      <c r="BR11" s="1871"/>
      <c r="BS11" s="1872">
        <f>COUNTIFS($G$15:$G$404,"○",$F$15:$F$404,"バス・カメラマン等",$BJ$15:$BJ$404,"&gt;0",$BL$15:$BL$404,"&gt;=0")</f>
        <v>0</v>
      </c>
      <c r="BT11" s="1873"/>
      <c r="BU11" s="1868">
        <f>COUNTIFS($G$15:$G$404,"○",$F$15:$F$404,"バス・カメラマン等",$BK$15:$BK$404,"&gt;0",$BL$15:$BL$404,"&lt;0")</f>
        <v>0</v>
      </c>
      <c r="BV11" s="1869"/>
      <c r="BW11" s="1870">
        <f t="shared" si="1"/>
        <v>0</v>
      </c>
      <c r="BX11" s="1871"/>
      <c r="BY11" s="1872">
        <f>COUNTIFS($H$15:$H$404,"○",$F$15:$F$404,"バス・カメラマン等",$BJ$15:$BJ$404,"&gt;0",$BL$15:$BL$404,"&gt;=0")</f>
        <v>0</v>
      </c>
      <c r="BZ11" s="1873"/>
      <c r="CA11" s="1868">
        <f>COUNTIFS($H$15:$H$404,"○",$F$15:$F$404,"バス・カメラマン等",$BK$15:$BK$404,"&gt;0",$BL$15:$BL$404,"&lt;0")</f>
        <v>0</v>
      </c>
      <c r="CB11" s="1869"/>
      <c r="CC11" s="664"/>
      <c r="CD11" s="664"/>
      <c r="CE11" s="664"/>
      <c r="CF11" s="664"/>
      <c r="CG11" s="664"/>
      <c r="CH11" s="664"/>
      <c r="CI11" s="664"/>
      <c r="CJ11" s="664"/>
      <c r="CK11" s="664"/>
      <c r="CL11" s="664"/>
      <c r="CM11" s="664"/>
      <c r="CN11" s="664"/>
      <c r="CO11" s="664"/>
      <c r="CP11" s="664"/>
      <c r="CQ11" s="664"/>
    </row>
    <row r="12" spans="1:95" ht="9" customHeight="1" thickBot="1" x14ac:dyDescent="0.2">
      <c r="B12" s="2183"/>
      <c r="C12" s="2080"/>
      <c r="D12" s="2080"/>
      <c r="E12" s="2082"/>
      <c r="F12" s="2060"/>
      <c r="G12" s="2084"/>
      <c r="H12" s="2086"/>
      <c r="I12" s="2089"/>
      <c r="J12" s="2090"/>
      <c r="K12" s="2048"/>
      <c r="L12" s="2050"/>
      <c r="M12" s="2089"/>
      <c r="N12" s="2090"/>
      <c r="O12" s="2048"/>
      <c r="P12" s="2048"/>
      <c r="Q12" s="2050"/>
      <c r="R12" s="2093"/>
      <c r="S12" s="2094"/>
      <c r="T12" s="2048"/>
      <c r="U12" s="2076"/>
      <c r="V12" s="2078"/>
      <c r="W12" s="2069"/>
      <c r="X12" s="2070"/>
      <c r="Y12" s="2072"/>
      <c r="Z12" s="2072"/>
      <c r="AA12" s="2074"/>
      <c r="AB12" s="2069"/>
      <c r="AC12" s="2070"/>
      <c r="AD12" s="2072"/>
      <c r="AE12" s="2076"/>
      <c r="AF12" s="2078"/>
      <c r="AG12" s="2069"/>
      <c r="AH12" s="2070"/>
      <c r="AI12" s="2072"/>
      <c r="AJ12" s="2072"/>
      <c r="AK12" s="2035"/>
      <c r="AL12" s="2036"/>
      <c r="AM12" s="2036"/>
      <c r="AN12" s="2037"/>
      <c r="AO12" s="2029"/>
      <c r="AP12" s="2030"/>
      <c r="AQ12" s="2030"/>
      <c r="AR12" s="2031"/>
      <c r="AS12" s="650"/>
      <c r="BK12" s="664"/>
      <c r="BL12" s="664"/>
      <c r="BM12" s="664"/>
      <c r="BN12" s="664"/>
      <c r="BO12" s="664"/>
      <c r="BP12" s="664"/>
      <c r="BQ12" s="664"/>
      <c r="BR12" s="664"/>
      <c r="BS12" s="664"/>
      <c r="BT12" s="664"/>
      <c r="BU12" s="664"/>
      <c r="BV12" s="664"/>
      <c r="BW12" s="664"/>
      <c r="BX12" s="664"/>
      <c r="BY12" s="664"/>
      <c r="BZ12" s="664"/>
      <c r="CA12" s="664"/>
      <c r="CB12" s="664"/>
      <c r="CC12" s="664"/>
      <c r="CD12" s="664"/>
      <c r="CE12" s="664"/>
      <c r="CF12" s="664"/>
      <c r="CG12" s="664"/>
      <c r="CH12" s="664"/>
      <c r="CI12" s="664"/>
      <c r="CJ12" s="664"/>
      <c r="CK12" s="664"/>
      <c r="CL12" s="664"/>
      <c r="CM12" s="664"/>
      <c r="CN12" s="664"/>
      <c r="CO12" s="664"/>
      <c r="CP12" s="664"/>
    </row>
    <row r="13" spans="1:95" ht="12" customHeight="1" x14ac:dyDescent="0.15">
      <c r="B13" s="2184" t="s">
        <v>418</v>
      </c>
      <c r="C13" s="2185"/>
      <c r="D13" s="2100" t="s">
        <v>423</v>
      </c>
      <c r="E13" s="2102">
        <v>30</v>
      </c>
      <c r="F13" s="2128" t="s">
        <v>481</v>
      </c>
      <c r="G13" s="2130"/>
      <c r="H13" s="2132" t="s">
        <v>420</v>
      </c>
      <c r="I13" s="2134" t="s">
        <v>156</v>
      </c>
      <c r="J13" s="2135"/>
      <c r="K13" s="2138" t="s">
        <v>98</v>
      </c>
      <c r="L13" s="2146"/>
      <c r="M13" s="2055"/>
      <c r="N13" s="2056"/>
      <c r="O13" s="2051"/>
      <c r="P13" s="2051"/>
      <c r="Q13" s="2053"/>
      <c r="R13" s="2055"/>
      <c r="S13" s="2056"/>
      <c r="T13" s="2051"/>
      <c r="U13" s="2043"/>
      <c r="V13" s="2045"/>
      <c r="W13" s="2055"/>
      <c r="X13" s="2056"/>
      <c r="Y13" s="2051"/>
      <c r="Z13" s="2051"/>
      <c r="AA13" s="2053"/>
      <c r="AB13" s="2055"/>
      <c r="AC13" s="2056"/>
      <c r="AD13" s="2051"/>
      <c r="AE13" s="2043"/>
      <c r="AF13" s="2045"/>
      <c r="AG13" s="2055"/>
      <c r="AH13" s="2056"/>
      <c r="AI13" s="2051"/>
      <c r="AJ13" s="2051"/>
      <c r="AK13" s="1984" t="s">
        <v>433</v>
      </c>
      <c r="AL13" s="1985"/>
      <c r="AM13" s="1985"/>
      <c r="AN13" s="1986"/>
      <c r="AO13" s="1987"/>
      <c r="AP13" s="1988"/>
      <c r="AQ13" s="1988"/>
      <c r="AR13" s="1989"/>
      <c r="AS13" s="650"/>
      <c r="BM13" s="664"/>
      <c r="BN13" s="664"/>
      <c r="BO13" s="664"/>
      <c r="BP13" s="664"/>
      <c r="BQ13" s="664"/>
      <c r="BR13" s="664"/>
      <c r="BS13" s="1935" t="s">
        <v>288</v>
      </c>
      <c r="BT13" s="1936"/>
      <c r="BU13" s="1936"/>
      <c r="BV13" s="1937"/>
      <c r="BW13" s="1936" t="s">
        <v>289</v>
      </c>
      <c r="BX13" s="1936"/>
      <c r="BY13" s="1936"/>
      <c r="BZ13" s="1937"/>
      <c r="CA13" s="1936" t="s">
        <v>290</v>
      </c>
      <c r="CB13" s="1936"/>
      <c r="CC13" s="1936"/>
      <c r="CD13" s="1937"/>
      <c r="CE13" s="1936" t="s">
        <v>518</v>
      </c>
      <c r="CF13" s="1936"/>
      <c r="CG13" s="1936"/>
      <c r="CH13" s="1937"/>
      <c r="CI13" s="1936" t="s">
        <v>510</v>
      </c>
      <c r="CJ13" s="1936"/>
      <c r="CK13" s="1936"/>
      <c r="CL13" s="1937"/>
      <c r="CM13" s="1936" t="s">
        <v>511</v>
      </c>
      <c r="CN13" s="1936"/>
      <c r="CO13" s="1936"/>
      <c r="CP13" s="1937"/>
    </row>
    <row r="14" spans="1:95" ht="12" customHeight="1" thickBot="1" x14ac:dyDescent="0.2">
      <c r="B14" s="2186"/>
      <c r="C14" s="2101"/>
      <c r="D14" s="2101"/>
      <c r="E14" s="2103"/>
      <c r="F14" s="2129"/>
      <c r="G14" s="2131"/>
      <c r="H14" s="2133"/>
      <c r="I14" s="2136"/>
      <c r="J14" s="2137"/>
      <c r="K14" s="2139"/>
      <c r="L14" s="2147"/>
      <c r="M14" s="2057"/>
      <c r="N14" s="2058"/>
      <c r="O14" s="2052"/>
      <c r="P14" s="2052"/>
      <c r="Q14" s="2054"/>
      <c r="R14" s="2057"/>
      <c r="S14" s="2058"/>
      <c r="T14" s="2052"/>
      <c r="U14" s="2044"/>
      <c r="V14" s="2046"/>
      <c r="W14" s="2057"/>
      <c r="X14" s="2058"/>
      <c r="Y14" s="2052"/>
      <c r="Z14" s="2052"/>
      <c r="AA14" s="2054"/>
      <c r="AB14" s="2057"/>
      <c r="AC14" s="2058"/>
      <c r="AD14" s="2052"/>
      <c r="AE14" s="2044"/>
      <c r="AF14" s="2046"/>
      <c r="AG14" s="2057"/>
      <c r="AH14" s="2058"/>
      <c r="AI14" s="2052"/>
      <c r="AJ14" s="2052"/>
      <c r="AK14" s="2017" t="s">
        <v>477</v>
      </c>
      <c r="AL14" s="2018"/>
      <c r="AM14" s="2018"/>
      <c r="AN14" s="2019"/>
      <c r="AO14" s="2020"/>
      <c r="AP14" s="2021"/>
      <c r="AQ14" s="2021"/>
      <c r="AR14" s="2022"/>
      <c r="AS14" s="650"/>
      <c r="AU14" s="228"/>
      <c r="AV14" s="228"/>
      <c r="AW14" s="228"/>
      <c r="AX14" s="228"/>
      <c r="AY14" s="228"/>
      <c r="AZ14" s="228"/>
      <c r="BJ14" s="683" t="s">
        <v>520</v>
      </c>
      <c r="BK14" s="683" t="s">
        <v>521</v>
      </c>
      <c r="BL14" s="683" t="s">
        <v>522</v>
      </c>
      <c r="BM14" s="683"/>
      <c r="BN14" s="665"/>
      <c r="BO14" s="665"/>
      <c r="BP14" s="665"/>
      <c r="BQ14" s="665"/>
      <c r="BR14" s="665"/>
      <c r="BS14" s="1938"/>
      <c r="BT14" s="1939"/>
      <c r="BU14" s="1939"/>
      <c r="BV14" s="1940"/>
      <c r="BW14" s="1939"/>
      <c r="BX14" s="1939"/>
      <c r="BY14" s="1939"/>
      <c r="BZ14" s="1940"/>
      <c r="CA14" s="1939"/>
      <c r="CB14" s="1939"/>
      <c r="CC14" s="1939"/>
      <c r="CD14" s="1940"/>
      <c r="CE14" s="1939"/>
      <c r="CF14" s="1939"/>
      <c r="CG14" s="1939"/>
      <c r="CH14" s="1940"/>
      <c r="CI14" s="1939"/>
      <c r="CJ14" s="1939"/>
      <c r="CK14" s="1939"/>
      <c r="CL14" s="1940"/>
      <c r="CM14" s="1939"/>
      <c r="CN14" s="1939"/>
      <c r="CO14" s="1939"/>
      <c r="CP14" s="1940"/>
    </row>
    <row r="15" spans="1:95" ht="13.5" customHeight="1" thickBot="1" x14ac:dyDescent="0.2">
      <c r="B15" s="2002" t="str">
        <f>IF(AND(D15&lt;&gt;"",AT15="○",BB15="○",BC15="○"),"○","×")</f>
        <v>×</v>
      </c>
      <c r="C15" s="2120">
        <v>1</v>
      </c>
      <c r="D15" s="2121"/>
      <c r="E15" s="2122"/>
      <c r="F15" s="2041"/>
      <c r="G15" s="2123"/>
      <c r="H15" s="2124"/>
      <c r="I15" s="2114"/>
      <c r="J15" s="2115"/>
      <c r="K15" s="2125"/>
      <c r="L15" s="2126"/>
      <c r="M15" s="2110"/>
      <c r="N15" s="2111"/>
      <c r="O15" s="2108"/>
      <c r="P15" s="2108"/>
      <c r="Q15" s="2109"/>
      <c r="R15" s="2110"/>
      <c r="S15" s="2111"/>
      <c r="T15" s="2108"/>
      <c r="U15" s="2108"/>
      <c r="V15" s="2109"/>
      <c r="W15" s="2110"/>
      <c r="X15" s="2111"/>
      <c r="Y15" s="2108"/>
      <c r="Z15" s="2108"/>
      <c r="AA15" s="2109"/>
      <c r="AB15" s="2110"/>
      <c r="AC15" s="2111"/>
      <c r="AD15" s="2108"/>
      <c r="AE15" s="2108"/>
      <c r="AF15" s="2109"/>
      <c r="AG15" s="2110"/>
      <c r="AH15" s="2111"/>
      <c r="AI15" s="2108"/>
      <c r="AJ15" s="2108"/>
      <c r="AK15" s="2038"/>
      <c r="AL15" s="2039"/>
      <c r="AM15" s="2039"/>
      <c r="AN15" s="2040"/>
      <c r="AO15" s="2023"/>
      <c r="AP15" s="2024"/>
      <c r="AQ15" s="2024"/>
      <c r="AR15" s="2025"/>
      <c r="AS15" s="651"/>
      <c r="AT15" s="652" t="str">
        <f>IF(OR(AND(D15&lt;&gt;"",OR(AND(E15&lt;&gt;"",F15&lt;&gt;"",OR(G15&lt;&gt;"",H15&lt;&gt;"")),AND(E15="",F15="バス・カメラマン等"))),AND(D15="",E15="",F15="",OR(G15="",H15=""))),"○","×")</f>
        <v>○</v>
      </c>
      <c r="AU15" s="1983" t="str">
        <f>IF(AND(E15&lt;&gt;"",E15&lt;=2),"2歳児以下","")</f>
        <v/>
      </c>
      <c r="AV15" s="1983" t="str">
        <f>IF(OR(AND(3&lt;=E15,E15&lt;=6),COUNTIF(E15, "幼*"),COUNTIF(E15, "年少"),COUNTIF(E15, "年中"),COUNTIF(E15, "年長")),"3歳-学齢前","")</f>
        <v/>
      </c>
      <c r="AW15" s="1983" t="str">
        <f>IF(OR(AND(6&lt;=E15,E15&lt;=12),COUNTIF(E15, "小*")),"小学生","")</f>
        <v/>
      </c>
      <c r="AX15" s="1983" t="str">
        <f>IF(OR(AND(12&lt;=E15,E15&lt;=15),COUNTIF(E15, "中*")),"中学生","")</f>
        <v/>
      </c>
      <c r="AY15" s="1983" t="str">
        <f>IF(OR(AND(15&lt;=E15,E15&lt;=18),COUNTIF(E15, "高*")),"高校生(～18歳)","")</f>
        <v/>
      </c>
      <c r="AZ15" s="1983" t="str">
        <f>IF(OR(19&lt;=E15,COUNTIF(E15, "大*"),COUNTIF(E15, "*院*"),COUNTIF(E15, "*専*")),"一般(19歳～)","")</f>
        <v/>
      </c>
      <c r="BA15" s="1983" t="s">
        <v>475</v>
      </c>
      <c r="BB15" s="652" t="str">
        <f>IF(OR(AND(D15="",I15="",M15="",R15="",W15="",AB15="",AG15=""),AND(D15&lt;&gt;"",OR(I15&lt;&gt;"",M15&lt;&gt;"",R15&lt;&gt;"",W15&lt;&gt;"",AB15&lt;&gt;"",AG15&lt;&gt;""))),"○","×")</f>
        <v>○</v>
      </c>
      <c r="BC15" s="652" t="str">
        <f>IF(AND(BD15="○",BE15="○",BF15="○",BG15="○",BH15="○",BI15="○"),"○","×")</f>
        <v>○</v>
      </c>
      <c r="BD15" s="653" t="str">
        <f>IF(AND($I$7=" ",OR(I15&lt;&gt;"",K15&lt;&gt;"",L15&lt;&gt;"")),"×","○")</f>
        <v>○</v>
      </c>
      <c r="BE15" s="653" t="str">
        <f>IF(AND($M$7=" ",OR(M15&lt;&gt;"",O15&lt;&gt;"",P15&lt;&gt;"",Q15&lt;&gt;"")),"×","○")</f>
        <v>○</v>
      </c>
      <c r="BF15" s="653" t="str">
        <f>IF(AND($R$7=" ",OR(R15&lt;&gt;"",T15&lt;&gt;"",U15&lt;&gt;"",V15&lt;&gt;"")),"×","○")</f>
        <v>○</v>
      </c>
      <c r="BG15" s="653" t="str">
        <f>IF(AND($W$7=" ",OR(W15&lt;&gt;"",Y15&lt;&gt;"",Z15&lt;&gt;"",AA15&lt;&gt;"")),"×","○")</f>
        <v>○</v>
      </c>
      <c r="BH15" s="653" t="str">
        <f>IF(AND($AB$7=" ",OR(AB15&lt;&gt;"",AD15&lt;&gt;"",AE15&lt;&gt;"",AF15&lt;&gt;"")),"×","○")</f>
        <v>○</v>
      </c>
      <c r="BI15" s="653" t="str">
        <f>IF(AND($AG$7=" ",OR(AG15&lt;&gt;"",AI15&lt;&gt;"",AJ15&lt;&gt;"")),"×","○")</f>
        <v>○</v>
      </c>
      <c r="BJ15" s="2225" t="e">
        <f>SUMPRODUCT(1/COUNTIF(I15:AH15,"宿泊"))</f>
        <v>#DIV/0!</v>
      </c>
      <c r="BK15" s="2226" t="e">
        <f>SUMPRODUCT(1/COUNTIF(I15:AH15,"日帰り"))</f>
        <v>#DIV/0!</v>
      </c>
      <c r="BL15" s="1381">
        <f>COUNT(BJ15)-COUNT(BK15)</f>
        <v>0</v>
      </c>
      <c r="BM15" s="684"/>
      <c r="BN15" s="1882" t="s">
        <v>512</v>
      </c>
      <c r="BO15" s="1882"/>
      <c r="BP15" s="1882"/>
      <c r="BQ15" s="1882"/>
      <c r="BR15" s="1882"/>
      <c r="BS15" s="1947" t="s">
        <v>322</v>
      </c>
      <c r="BT15" s="1948"/>
      <c r="BU15" s="1949">
        <f>COUNTIFS($I$15:$I$404,"日帰り")</f>
        <v>0</v>
      </c>
      <c r="BV15" s="1944"/>
      <c r="BW15" s="1950" t="s">
        <v>322</v>
      </c>
      <c r="BX15" s="1948"/>
      <c r="BY15" s="1949">
        <f>COUNTIFS($M$15:$M$404,"日帰り")</f>
        <v>0</v>
      </c>
      <c r="BZ15" s="1944"/>
      <c r="CA15" s="1950" t="s">
        <v>322</v>
      </c>
      <c r="CB15" s="1948"/>
      <c r="CC15" s="1949">
        <f>COUNTIFS($R$15:$R$404,"日帰り")</f>
        <v>0</v>
      </c>
      <c r="CD15" s="1944"/>
      <c r="CE15" s="1950" t="s">
        <v>322</v>
      </c>
      <c r="CF15" s="1948"/>
      <c r="CG15" s="1949">
        <f>COUNTIFS($W$15:$W$404,"日帰り")</f>
        <v>0</v>
      </c>
      <c r="CH15" s="1944"/>
      <c r="CI15" s="1950" t="s">
        <v>322</v>
      </c>
      <c r="CJ15" s="1948"/>
      <c r="CK15" s="1949">
        <f>COUNTIFS($AB$15:$AB$404,"日帰り")</f>
        <v>0</v>
      </c>
      <c r="CL15" s="1944"/>
      <c r="CM15" s="1950" t="s">
        <v>322</v>
      </c>
      <c r="CN15" s="1948"/>
      <c r="CO15" s="1949">
        <f>COUNTIFS($AG$15:$AG$404,"日帰り")</f>
        <v>0</v>
      </c>
      <c r="CP15" s="1944"/>
    </row>
    <row r="16" spans="1:95" ht="14.1" customHeight="1" x14ac:dyDescent="0.15">
      <c r="B16" s="2003"/>
      <c r="C16" s="2117"/>
      <c r="D16" s="2007"/>
      <c r="E16" s="2005"/>
      <c r="F16" s="2042"/>
      <c r="G16" s="2119"/>
      <c r="H16" s="2107"/>
      <c r="I16" s="2112"/>
      <c r="J16" s="2113"/>
      <c r="K16" s="2105"/>
      <c r="L16" s="2127"/>
      <c r="M16" s="2112"/>
      <c r="N16" s="2113"/>
      <c r="O16" s="2105"/>
      <c r="P16" s="2105"/>
      <c r="Q16" s="2107"/>
      <c r="R16" s="2112"/>
      <c r="S16" s="2113"/>
      <c r="T16" s="2105"/>
      <c r="U16" s="2105"/>
      <c r="V16" s="2107"/>
      <c r="W16" s="2112"/>
      <c r="X16" s="2113"/>
      <c r="Y16" s="2105"/>
      <c r="Z16" s="2105"/>
      <c r="AA16" s="2107"/>
      <c r="AB16" s="2112"/>
      <c r="AC16" s="2113"/>
      <c r="AD16" s="2105"/>
      <c r="AE16" s="2105"/>
      <c r="AF16" s="2107"/>
      <c r="AG16" s="2112"/>
      <c r="AH16" s="2113"/>
      <c r="AI16" s="2105"/>
      <c r="AJ16" s="2105"/>
      <c r="AK16" s="2011"/>
      <c r="AL16" s="2012"/>
      <c r="AM16" s="2012"/>
      <c r="AN16" s="2013"/>
      <c r="AO16" s="2011"/>
      <c r="AP16" s="2012"/>
      <c r="AQ16" s="2012"/>
      <c r="AR16" s="2013"/>
      <c r="AS16" s="651"/>
      <c r="AT16" s="652"/>
      <c r="AU16" s="1983"/>
      <c r="AV16" s="1983"/>
      <c r="AW16" s="1983"/>
      <c r="AX16" s="1983"/>
      <c r="AY16" s="1983"/>
      <c r="AZ16" s="1983"/>
      <c r="BA16" s="1983"/>
      <c r="BB16" s="654"/>
      <c r="BC16" s="654"/>
      <c r="BD16" s="652"/>
      <c r="BE16" s="652"/>
      <c r="BF16" s="652"/>
      <c r="BG16" s="652"/>
      <c r="BH16" s="652"/>
      <c r="BI16" s="652"/>
      <c r="BJ16" s="2225"/>
      <c r="BK16" s="2226"/>
      <c r="BL16" s="1381"/>
      <c r="BM16" s="684"/>
      <c r="BN16" s="1898" t="s">
        <v>328</v>
      </c>
      <c r="BO16" s="1899"/>
      <c r="BP16" s="706">
        <f>COUNTA(D15:D404)</f>
        <v>0</v>
      </c>
      <c r="BQ16" s="743" t="s">
        <v>78</v>
      </c>
      <c r="BR16" s="750" t="s">
        <v>79</v>
      </c>
      <c r="BS16" s="741" t="s">
        <v>513</v>
      </c>
      <c r="BT16" s="739">
        <f>SUM(BS17:BT23)</f>
        <v>0</v>
      </c>
      <c r="BU16" s="742" t="s">
        <v>514</v>
      </c>
      <c r="BV16" s="686">
        <f>SUM(BU17:BV23)</f>
        <v>0</v>
      </c>
      <c r="BW16" s="744" t="s">
        <v>513</v>
      </c>
      <c r="BX16" s="740">
        <f>SUM(BW17:BX23)</f>
        <v>0</v>
      </c>
      <c r="BY16" s="749" t="s">
        <v>514</v>
      </c>
      <c r="BZ16" s="686">
        <f>SUM(BY17:BZ23)</f>
        <v>0</v>
      </c>
      <c r="CA16" s="744" t="s">
        <v>513</v>
      </c>
      <c r="CB16" s="739">
        <f>SUM(CA17:CB23)</f>
        <v>0</v>
      </c>
      <c r="CC16" s="742" t="s">
        <v>514</v>
      </c>
      <c r="CD16" s="686">
        <f>SUM(CC17:CD23)</f>
        <v>0</v>
      </c>
      <c r="CE16" s="744" t="s">
        <v>513</v>
      </c>
      <c r="CF16" s="740">
        <f>SUM(CE17:CF23)</f>
        <v>0</v>
      </c>
      <c r="CG16" s="749" t="s">
        <v>514</v>
      </c>
      <c r="CH16" s="686">
        <f>SUM(CG17:CH23)</f>
        <v>0</v>
      </c>
      <c r="CI16" s="744" t="s">
        <v>513</v>
      </c>
      <c r="CJ16" s="739">
        <f>SUM(CI17:CJ23)</f>
        <v>0</v>
      </c>
      <c r="CK16" s="742" t="s">
        <v>514</v>
      </c>
      <c r="CL16" s="686">
        <f>SUM(CK17:CL23)</f>
        <v>0</v>
      </c>
      <c r="CM16" s="744" t="s">
        <v>513</v>
      </c>
      <c r="CN16" s="740">
        <f>SUM(CM17:CN23)</f>
        <v>0</v>
      </c>
      <c r="CO16" s="749" t="s">
        <v>514</v>
      </c>
      <c r="CP16" s="685">
        <f>SUM(CO17:CP23)</f>
        <v>0</v>
      </c>
    </row>
    <row r="17" spans="1:94" ht="14.1" customHeight="1" x14ac:dyDescent="0.15">
      <c r="B17" s="2174" t="str">
        <f>IF(AND(D17&lt;&gt;"",AT17="○",BB17="○",BC17="○",D15&lt;&gt;""),"○","×")</f>
        <v>×</v>
      </c>
      <c r="C17" s="2120">
        <v>2</v>
      </c>
      <c r="D17" s="2006"/>
      <c r="E17" s="2004"/>
      <c r="F17" s="2041"/>
      <c r="G17" s="2118"/>
      <c r="H17" s="2106"/>
      <c r="I17" s="2110"/>
      <c r="J17" s="2111"/>
      <c r="K17" s="2104"/>
      <c r="L17" s="2140"/>
      <c r="M17" s="2110"/>
      <c r="N17" s="2111"/>
      <c r="O17" s="2104"/>
      <c r="P17" s="2104"/>
      <c r="Q17" s="2106"/>
      <c r="R17" s="2110"/>
      <c r="S17" s="2111"/>
      <c r="T17" s="2104"/>
      <c r="U17" s="2104"/>
      <c r="V17" s="2106"/>
      <c r="W17" s="2110"/>
      <c r="X17" s="2111"/>
      <c r="Y17" s="2104"/>
      <c r="Z17" s="2104"/>
      <c r="AA17" s="2106"/>
      <c r="AB17" s="2110"/>
      <c r="AC17" s="2111"/>
      <c r="AD17" s="2104"/>
      <c r="AE17" s="2104"/>
      <c r="AF17" s="2106"/>
      <c r="AG17" s="2110"/>
      <c r="AH17" s="2111"/>
      <c r="AI17" s="2104"/>
      <c r="AJ17" s="2104"/>
      <c r="AK17" s="2038"/>
      <c r="AL17" s="2039"/>
      <c r="AM17" s="2039"/>
      <c r="AN17" s="2040"/>
      <c r="AO17" s="2008"/>
      <c r="AP17" s="2009"/>
      <c r="AQ17" s="2009"/>
      <c r="AR17" s="2010"/>
      <c r="AS17" s="651"/>
      <c r="AT17" s="652" t="str">
        <f t="shared" ref="AT17" si="2">IF(OR(AND(D17&lt;&gt;"",OR(AND(E17&lt;&gt;"",F17&lt;&gt;"",OR(G17&lt;&gt;"",H17&lt;&gt;"")),AND(E17="",F17="バス・カメラマン等"))),AND(D17="",E17="",F17="",OR(G17="",H17=""))),"○","×")</f>
        <v>○</v>
      </c>
      <c r="AU17" s="1983" t="str">
        <f t="shared" ref="AU17" si="3">IF(AND(E17&lt;&gt;"",E17&lt;=2),"2歳児以下","")</f>
        <v/>
      </c>
      <c r="AV17" s="1983" t="str">
        <f>IF(OR(AND(3&lt;=E17,E17&lt;=6),COUNTIF(E17, "幼*"),COUNTIF(E17, "年少"),COUNTIF(E17, "年中"),COUNTIF(E17, "年長")),"3歳-学齢前","")</f>
        <v/>
      </c>
      <c r="AW17" s="1983" t="str">
        <f>IF(OR(AND(6&lt;=E17,E17&lt;=12),COUNTIF(E17, "小*")),"小学生","")</f>
        <v/>
      </c>
      <c r="AX17" s="1983" t="str">
        <f>IF(OR(AND(12&lt;=E17,E17&lt;=15),COUNTIF(E17, "中*")),"中学生","")</f>
        <v/>
      </c>
      <c r="AY17" s="1983" t="str">
        <f>IF(OR(AND(15&lt;=E17,E17&lt;=18),COUNTIF(E17, "高*")),"高校生(～18歳)","")</f>
        <v/>
      </c>
      <c r="AZ17" s="1983" t="str">
        <f>IF(OR(19&lt;=E17,COUNTIF(E17, "大*"),COUNTIF(E17, "*院*"),COUNTIF(E17, "*専*")),"一般(19歳～)","")</f>
        <v/>
      </c>
      <c r="BA17" s="1983" t="s">
        <v>475</v>
      </c>
      <c r="BB17" s="652" t="str">
        <f t="shared" ref="BB17" si="4">IF(OR(AND(D17="",I17="",M17="",R17="",W17="",AB17="",AG17=""),AND(D17&lt;&gt;"",OR(I17&lt;&gt;"",M17&lt;&gt;"",R17&lt;&gt;"",W17&lt;&gt;"",AB17&lt;&gt;"",AG17&lt;&gt;""))),"○","×")</f>
        <v>○</v>
      </c>
      <c r="BC17" s="652" t="str">
        <f t="shared" ref="BC17" si="5">IF(AND(BD17="○",BE17="○",BF17="○",BG17="○",BH17="○",BI17="○"),"○","×")</f>
        <v>○</v>
      </c>
      <c r="BD17" s="653" t="str">
        <f t="shared" ref="BD17" si="6">IF(AND($I$7=" ",OR(I17&lt;&gt;"",K17&lt;&gt;"",L17&lt;&gt;"")),"×","○")</f>
        <v>○</v>
      </c>
      <c r="BE17" s="653" t="str">
        <f t="shared" ref="BE17" si="7">IF(AND($M$7=" ",OR(M17&lt;&gt;"",O17&lt;&gt;"",P17&lt;&gt;"",Q17&lt;&gt;"")),"×","○")</f>
        <v>○</v>
      </c>
      <c r="BF17" s="653" t="str">
        <f t="shared" ref="BF17" si="8">IF(AND($R$7=" ",OR(R17&lt;&gt;"",T17&lt;&gt;"",U17&lt;&gt;"",V17&lt;&gt;"")),"×","○")</f>
        <v>○</v>
      </c>
      <c r="BG17" s="653" t="str">
        <f t="shared" ref="BG17" si="9">IF(AND($W$7=" ",OR(W17&lt;&gt;"",Y17&lt;&gt;"",Z17&lt;&gt;"",AA17&lt;&gt;"")),"×","○")</f>
        <v>○</v>
      </c>
      <c r="BH17" s="653" t="str">
        <f t="shared" ref="BH17" si="10">IF(AND($AB$7=" ",OR(AB17&lt;&gt;"",AD17&lt;&gt;"",AE17&lt;&gt;"",AF17&lt;&gt;"")),"×","○")</f>
        <v>○</v>
      </c>
      <c r="BI17" s="653" t="str">
        <f t="shared" ref="BI17" si="11">IF(AND($AG$7=" ",OR(AG17&lt;&gt;"",AI17&lt;&gt;"",AJ17&lt;&gt;"")),"×","○")</f>
        <v>○</v>
      </c>
      <c r="BJ17" s="2225" t="e">
        <f>SUMPRODUCT(1/COUNTIF(I17:AH17,"宿泊"))</f>
        <v>#DIV/0!</v>
      </c>
      <c r="BK17" s="2226" t="e">
        <f>SUMPRODUCT(1/COUNTIF(I17:AH17,"日帰り"))</f>
        <v>#DIV/0!</v>
      </c>
      <c r="BL17" s="1381">
        <f>COUNT(BJ17)-COUNT(BK17)</f>
        <v>0</v>
      </c>
      <c r="BM17" s="684"/>
      <c r="BN17" s="1900" t="s">
        <v>323</v>
      </c>
      <c r="BO17" s="1901"/>
      <c r="BP17" s="673">
        <f t="shared" ref="BP17:BP23" si="12">BQ17+BR17</f>
        <v>0</v>
      </c>
      <c r="BQ17" s="674">
        <f>COUNTIFS($G$15:$G$404,"○",$F$15:$F$404,"2歳児以下")</f>
        <v>0</v>
      </c>
      <c r="BR17" s="707">
        <f>COUNTIFS($H$15:$H$404,"○",$F$15:$F$404,"2歳児以下")</f>
        <v>0</v>
      </c>
      <c r="BS17" s="1902">
        <f>COUNTIFS($G$15:$G$404,"○",$F$15:$F$404,"2歳児以下",$I$15:$I$404,"日帰り")</f>
        <v>0</v>
      </c>
      <c r="BT17" s="1903"/>
      <c r="BU17" s="1927">
        <f>COUNTIFS($H$15:$H$404,"○",$F$15:$F$404,"2歳児以下",$I$15:$I$404,"日帰り")</f>
        <v>0</v>
      </c>
      <c r="BV17" s="1928"/>
      <c r="BW17" s="1929">
        <f>COUNTIFS($G$15:$G$404,"○",$F$15:$F$404,"2歳児以下",$M$15:$M$404,"日帰り")</f>
        <v>0</v>
      </c>
      <c r="BX17" s="1946"/>
      <c r="BY17" s="1929">
        <f>COUNTIFS($H$15:$H$404,"○",$F$15:$F$404,"2歳児以下",$M$15:$M$404,"日帰り")</f>
        <v>0</v>
      </c>
      <c r="BZ17" s="1928"/>
      <c r="CA17" s="1929">
        <f>COUNTIFS($G$15:$G$404,"○",$F$15:$F$404,"2歳児以下",$R$15:$R$404,"日帰り")</f>
        <v>0</v>
      </c>
      <c r="CB17" s="1903"/>
      <c r="CC17" s="1927">
        <f>COUNTIFS($H$15:$H$404,"○",$F$15:$F$404,"2歳児以下",$R$15:$R$404,"日帰り")</f>
        <v>0</v>
      </c>
      <c r="CD17" s="1928"/>
      <c r="CE17" s="1929">
        <f>COUNTIFS($G$15:$G$404,"○",$F$15:$F$404,"2歳児以下",$W$15:$W$404,"日帰り")</f>
        <v>0</v>
      </c>
      <c r="CF17" s="1903"/>
      <c r="CG17" s="1927">
        <f>COUNTIFS($H$15:$H$404,"○",$F$15:$F$404,"2歳児以下",$W$15:$W$404,"日帰り")</f>
        <v>0</v>
      </c>
      <c r="CH17" s="1928"/>
      <c r="CI17" s="1929">
        <f>COUNTIFS($G$15:$G$404,"○",$F$15:$F$404,"2歳児以下",$AB$15:$AB$404,"日帰り")</f>
        <v>0</v>
      </c>
      <c r="CJ17" s="1903"/>
      <c r="CK17" s="1927">
        <f>COUNTIFS($H$15:$H$404,"○",$F$15:$F$404,"2歳児以下",$AB$15:$AB$404,"日帰り")</f>
        <v>0</v>
      </c>
      <c r="CL17" s="1928"/>
      <c r="CM17" s="1929">
        <f>COUNTIFS($G$15:$G$404,"○",$F$15:$F$404,"2歳児以下",$AG$15:$AG$404,"日帰り")</f>
        <v>0</v>
      </c>
      <c r="CN17" s="1946"/>
      <c r="CO17" s="1929">
        <f>COUNTIFS($H$15:$H$404,"○",$F$15:$F$404,"2歳児以下",$AG$15:$AG$404,"日帰り")</f>
        <v>0</v>
      </c>
      <c r="CP17" s="1928"/>
    </row>
    <row r="18" spans="1:94" ht="13.5" customHeight="1" x14ac:dyDescent="0.15">
      <c r="B18" s="2174"/>
      <c r="C18" s="2117"/>
      <c r="D18" s="2007"/>
      <c r="E18" s="2005"/>
      <c r="F18" s="2042"/>
      <c r="G18" s="2119"/>
      <c r="H18" s="2107"/>
      <c r="I18" s="2112"/>
      <c r="J18" s="2113"/>
      <c r="K18" s="2105"/>
      <c r="L18" s="2127"/>
      <c r="M18" s="2112"/>
      <c r="N18" s="2113"/>
      <c r="O18" s="2105"/>
      <c r="P18" s="2105"/>
      <c r="Q18" s="2107"/>
      <c r="R18" s="2112"/>
      <c r="S18" s="2113"/>
      <c r="T18" s="2105"/>
      <c r="U18" s="2105"/>
      <c r="V18" s="2107"/>
      <c r="W18" s="2112"/>
      <c r="X18" s="2113"/>
      <c r="Y18" s="2105"/>
      <c r="Z18" s="2105"/>
      <c r="AA18" s="2107"/>
      <c r="AB18" s="2112"/>
      <c r="AC18" s="2113"/>
      <c r="AD18" s="2105"/>
      <c r="AE18" s="2105"/>
      <c r="AF18" s="2107"/>
      <c r="AG18" s="2112"/>
      <c r="AH18" s="2113"/>
      <c r="AI18" s="2105"/>
      <c r="AJ18" s="2105"/>
      <c r="AK18" s="2011"/>
      <c r="AL18" s="2012"/>
      <c r="AM18" s="2012"/>
      <c r="AN18" s="2013"/>
      <c r="AO18" s="2011"/>
      <c r="AP18" s="2012"/>
      <c r="AQ18" s="2012"/>
      <c r="AR18" s="2013"/>
      <c r="AS18" s="651"/>
      <c r="AT18" s="652"/>
      <c r="AU18" s="1983"/>
      <c r="AV18" s="1983"/>
      <c r="AW18" s="1983"/>
      <c r="AX18" s="1983"/>
      <c r="AY18" s="1983"/>
      <c r="AZ18" s="1983"/>
      <c r="BA18" s="1983"/>
      <c r="BB18" s="654"/>
      <c r="BC18" s="654"/>
      <c r="BD18" s="652"/>
      <c r="BE18" s="652"/>
      <c r="BF18" s="652"/>
      <c r="BG18" s="652"/>
      <c r="BH18" s="652"/>
      <c r="BI18" s="652"/>
      <c r="BJ18" s="2225"/>
      <c r="BK18" s="2226"/>
      <c r="BL18" s="1381"/>
      <c r="BM18" s="684"/>
      <c r="BN18" s="1891" t="s">
        <v>324</v>
      </c>
      <c r="BO18" s="1892"/>
      <c r="BP18" s="675">
        <f t="shared" si="12"/>
        <v>0</v>
      </c>
      <c r="BQ18" s="674">
        <f>COUNTIFS($G$15:$G$404,"○",$F$15:$F$404,"3歳-学齢前")</f>
        <v>0</v>
      </c>
      <c r="BR18" s="708">
        <f>COUNTIFS($H$15:$H$404,"○",$F$15:$F$404,"3歳-学齢前")</f>
        <v>0</v>
      </c>
      <c r="BS18" s="1893">
        <f>COUNTIFS($G$15:$G$404,"○",$F$15:$F$404,"3歳-学齢前",$I$15:$I$404,"日帰り")</f>
        <v>0</v>
      </c>
      <c r="BT18" s="1894"/>
      <c r="BU18" s="1895">
        <f>COUNTIFS($H$15:$H$404,"○",$F$15:$F$404,"3歳-学齢前",$I$15:$I$404,"日帰り")</f>
        <v>0</v>
      </c>
      <c r="BV18" s="1896"/>
      <c r="BW18" s="1897">
        <f>COUNTIFS($G$15:$G$404,"○",$F$15:$F$404,"3歳-学齢前",$M$15:$M$404,"日帰り")</f>
        <v>0</v>
      </c>
      <c r="BX18" s="1894"/>
      <c r="BY18" s="1895">
        <f>COUNTIFS($H$15:$H$404,"○",$F$15:$F$404,"3歳-学齢前",$M$15:$M$404,"日帰り")</f>
        <v>0</v>
      </c>
      <c r="BZ18" s="1896"/>
      <c r="CA18" s="1897">
        <f>COUNTIFS($G$15:$G$404,"○",$F$15:$F$404,"3歳-学齢前",$R$15:$R$404,"日帰り")</f>
        <v>0</v>
      </c>
      <c r="CB18" s="1894"/>
      <c r="CC18" s="1895">
        <f>COUNTIFS($H$15:$H$404,"○",$F$15:$F$404,"3歳-学齢前",$R$15:$R$404,"日帰り")</f>
        <v>0</v>
      </c>
      <c r="CD18" s="1896"/>
      <c r="CE18" s="1897">
        <f>COUNTIFS($G$15:$G$404,"○",$F$15:$F$404,"3歳-学齢前",$W$15:$W$404,"日帰り")</f>
        <v>0</v>
      </c>
      <c r="CF18" s="1894"/>
      <c r="CG18" s="1895">
        <f>COUNTIFS($H$15:$H$404,"○",$F$15:$F$404,"3歳-学齢前",$W$15:$W$404,"日帰り")</f>
        <v>0</v>
      </c>
      <c r="CH18" s="1896"/>
      <c r="CI18" s="1897">
        <f>COUNTIFS($G$15:$G$404,"○",$F$15:$F$404,"3歳-学齢前",$AB$15:$AB$404,"日帰り")</f>
        <v>0</v>
      </c>
      <c r="CJ18" s="1894"/>
      <c r="CK18" s="1895">
        <f>COUNTIFS($H$15:$H$404,"○",$F$15:$F$404,"3歳-学齢前",$AB$15:$AB$404,"日帰り")</f>
        <v>0</v>
      </c>
      <c r="CL18" s="1896"/>
      <c r="CM18" s="1897">
        <f>COUNTIFS($G$15:$G$404,"○",$F$15:$F$404,"3歳-学齢前",$AG$15:$AG$404,"日帰り")</f>
        <v>0</v>
      </c>
      <c r="CN18" s="1894"/>
      <c r="CO18" s="1895">
        <f>COUNTIFS($H$15:$H$404,"○",$F$15:$F$404,"3歳-学齢前",$AG$15:$AG$404,"日帰り")</f>
        <v>0</v>
      </c>
      <c r="CP18" s="1896"/>
    </row>
    <row r="19" spans="1:94" ht="14.1" customHeight="1" x14ac:dyDescent="0.15">
      <c r="A19" s="652" t="str">
        <f>IF(AND(D19="",D21&lt;&gt;""),"×","○")</f>
        <v>○</v>
      </c>
      <c r="B19" s="2174" t="str">
        <f>IF(AND(AT19="○",BB19="○",BC19="○",A19="○"),"○","×")</f>
        <v>○</v>
      </c>
      <c r="C19" s="2116">
        <v>3</v>
      </c>
      <c r="D19" s="2006"/>
      <c r="E19" s="2004"/>
      <c r="F19" s="2041"/>
      <c r="G19" s="2118"/>
      <c r="H19" s="2106"/>
      <c r="I19" s="2141"/>
      <c r="J19" s="2142"/>
      <c r="K19" s="2104"/>
      <c r="L19" s="2140"/>
      <c r="M19" s="2110"/>
      <c r="N19" s="2111"/>
      <c r="O19" s="2104"/>
      <c r="P19" s="2104"/>
      <c r="Q19" s="2106"/>
      <c r="R19" s="2110"/>
      <c r="S19" s="2111"/>
      <c r="T19" s="2104"/>
      <c r="U19" s="2104"/>
      <c r="V19" s="2106"/>
      <c r="W19" s="2110"/>
      <c r="X19" s="2111"/>
      <c r="Y19" s="2104"/>
      <c r="Z19" s="2104"/>
      <c r="AA19" s="2106"/>
      <c r="AB19" s="2110"/>
      <c r="AC19" s="2111"/>
      <c r="AD19" s="2104"/>
      <c r="AE19" s="2104"/>
      <c r="AF19" s="2106"/>
      <c r="AG19" s="2110"/>
      <c r="AH19" s="2111"/>
      <c r="AI19" s="2104"/>
      <c r="AJ19" s="2104"/>
      <c r="AK19" s="2038"/>
      <c r="AL19" s="2039"/>
      <c r="AM19" s="2039"/>
      <c r="AN19" s="2040"/>
      <c r="AO19" s="2008"/>
      <c r="AP19" s="2009"/>
      <c r="AQ19" s="2009"/>
      <c r="AR19" s="2010"/>
      <c r="AS19" s="651"/>
      <c r="AT19" s="652" t="str">
        <f t="shared" ref="AT19" si="13">IF(OR(AND(D19&lt;&gt;"",OR(AND(E19&lt;&gt;"",F19&lt;&gt;"",OR(G19&lt;&gt;"",H19&lt;&gt;"")),AND(E19="",F19="バス・カメラマン等"))),AND(D19="",E19="",F19="",OR(G19="",H19=""))),"○","×")</f>
        <v>○</v>
      </c>
      <c r="AU19" s="1983" t="str">
        <f t="shared" ref="AU19" si="14">IF(AND(E19&lt;&gt;"",E19&lt;=2),"2歳児以下","")</f>
        <v/>
      </c>
      <c r="AV19" s="1983" t="str">
        <f t="shared" ref="AV19" si="15">IF(OR(AND(3&lt;=E19,E19&lt;=6),COUNTIF(E19, "幼*"),COUNTIF(E19, "年少"),COUNTIF(E19, "年中"),COUNTIF(E19, "年長")),"3歳-学齢前","")</f>
        <v/>
      </c>
      <c r="AW19" s="1983" t="str">
        <f t="shared" ref="AW19" si="16">IF(OR(AND(6&lt;=E19,E19&lt;=12),COUNTIF(E19, "小*")),"小学生","")</f>
        <v/>
      </c>
      <c r="AX19" s="1983" t="str">
        <f t="shared" ref="AX19" si="17">IF(OR(AND(12&lt;=E19,E19&lt;=15),COUNTIF(E19, "中*")),"中学生","")</f>
        <v/>
      </c>
      <c r="AY19" s="1983" t="str">
        <f t="shared" ref="AY19" si="18">IF(OR(AND(15&lt;=E19,E19&lt;=18),COUNTIF(E19, "高*")),"高校生(～18歳)","")</f>
        <v/>
      </c>
      <c r="AZ19" s="1983" t="str">
        <f t="shared" ref="AZ19" si="19">IF(OR(19&lt;=E19,COUNTIF(E19, "大*"),COUNTIF(E19, "*院*"),COUNTIF(E19, "*専*")),"一般(19歳～)","")</f>
        <v/>
      </c>
      <c r="BA19" s="1983" t="s">
        <v>475</v>
      </c>
      <c r="BB19" s="652" t="str">
        <f t="shared" ref="BB19" si="20">IF(OR(AND(D19="",I19="",M19="",R19="",W19="",AB19="",AG19=""),AND(D19&lt;&gt;"",OR(I19&lt;&gt;"",M19&lt;&gt;"",R19&lt;&gt;"",W19&lt;&gt;"",AB19&lt;&gt;"",AG19&lt;&gt;""))),"○","×")</f>
        <v>○</v>
      </c>
      <c r="BC19" s="652" t="str">
        <f t="shared" ref="BC19" si="21">IF(AND(BD19="○",BE19="○",BF19="○",BG19="○",BH19="○",BI19="○"),"○","×")</f>
        <v>○</v>
      </c>
      <c r="BD19" s="653" t="str">
        <f t="shared" ref="BD19" si="22">IF(AND($I$7=" ",OR(I19&lt;&gt;"",K19&lt;&gt;"",L19&lt;&gt;"")),"×","○")</f>
        <v>○</v>
      </c>
      <c r="BE19" s="653" t="str">
        <f t="shared" ref="BE19" si="23">IF(AND($M$7=" ",OR(M19&lt;&gt;"",O19&lt;&gt;"",P19&lt;&gt;"",Q19&lt;&gt;"")),"×","○")</f>
        <v>○</v>
      </c>
      <c r="BF19" s="653" t="str">
        <f t="shared" ref="BF19" si="24">IF(AND($R$7=" ",OR(R19&lt;&gt;"",T19&lt;&gt;"",U19&lt;&gt;"",V19&lt;&gt;"")),"×","○")</f>
        <v>○</v>
      </c>
      <c r="BG19" s="653" t="str">
        <f t="shared" ref="BG19" si="25">IF(AND($W$7=" ",OR(W19&lt;&gt;"",Y19&lt;&gt;"",Z19&lt;&gt;"",AA19&lt;&gt;"")),"×","○")</f>
        <v>○</v>
      </c>
      <c r="BH19" s="653" t="str">
        <f t="shared" ref="BH19" si="26">IF(AND($AB$7=" ",OR(AB19&lt;&gt;"",AD19&lt;&gt;"",AE19&lt;&gt;"",AF19&lt;&gt;"")),"×","○")</f>
        <v>○</v>
      </c>
      <c r="BI19" s="653" t="str">
        <f t="shared" ref="BI19" si="27">IF(AND($AG$7=" ",OR(AG19&lt;&gt;"",AI19&lt;&gt;"",AJ19&lt;&gt;"")),"×","○")</f>
        <v>○</v>
      </c>
      <c r="BJ19" s="2225" t="e">
        <f t="shared" ref="BJ19" si="28">SUMPRODUCT(1/COUNTIF(I19:AH19,"宿泊"))</f>
        <v>#DIV/0!</v>
      </c>
      <c r="BK19" s="2226" t="e">
        <f t="shared" ref="BK19" si="29">SUMPRODUCT(1/COUNTIF(I19:AH19,"日帰り"))</f>
        <v>#DIV/0!</v>
      </c>
      <c r="BL19" s="1381">
        <f t="shared" ref="BL19" si="30">COUNT(BJ19)-COUNT(BK19)</f>
        <v>0</v>
      </c>
      <c r="BM19" s="684"/>
      <c r="BN19" s="1891" t="s">
        <v>84</v>
      </c>
      <c r="BO19" s="1892"/>
      <c r="BP19" s="675">
        <f t="shared" si="12"/>
        <v>0</v>
      </c>
      <c r="BQ19" s="674">
        <f>COUNTIFS($G$15:$G$404,"○",$F$15:$F$404,"小学生")</f>
        <v>0</v>
      </c>
      <c r="BR19" s="708">
        <f>COUNTIFS($H$15:$H$404,"○",$F$15:$F$404,"小学生")</f>
        <v>0</v>
      </c>
      <c r="BS19" s="1893">
        <f>COUNTIFS($G$15:$G$404,"○",$F$15:$F$404,"小学生",$I$15:$I$404,"日帰り")</f>
        <v>0</v>
      </c>
      <c r="BT19" s="1894"/>
      <c r="BU19" s="1895">
        <f>COUNTIFS($H$15:$H$404,"○",$F$15:$F$404,"小学生",$I$15:$I$404,"日帰り")</f>
        <v>0</v>
      </c>
      <c r="BV19" s="1896"/>
      <c r="BW19" s="1897">
        <f>COUNTIFS($G$15:$G$404,"○",$F$15:$F$404,"小学生",$M$15:$M$404,"日帰り")</f>
        <v>0</v>
      </c>
      <c r="BX19" s="1894"/>
      <c r="BY19" s="1895">
        <f>COUNTIFS($H$15:$H$404,"○",$F$15:$F$404,"小学生",$M$15:$M$404,"日帰り")</f>
        <v>0</v>
      </c>
      <c r="BZ19" s="1896"/>
      <c r="CA19" s="1897">
        <f>COUNTIFS($G$15:$G$404,"○",$F$15:$F$404,"小学生",$R$15:$R$404,"日帰り")</f>
        <v>0</v>
      </c>
      <c r="CB19" s="1894"/>
      <c r="CC19" s="1895">
        <f>COUNTIFS($H$15:$H$404,"○",$F$15:$F$404,"小学生",$R$15:$R$404,"日帰り")</f>
        <v>0</v>
      </c>
      <c r="CD19" s="1896"/>
      <c r="CE19" s="1897">
        <f>COUNTIFS($G$15:$G$404,"○",$F$15:$F$404,"小学生",$W$15:$W$404,"日帰り")</f>
        <v>0</v>
      </c>
      <c r="CF19" s="1894"/>
      <c r="CG19" s="1895">
        <f>COUNTIFS($H$15:$H$404,"○",$F$15:$F$404,"小学生",$W$15:$W$404,"日帰り")</f>
        <v>0</v>
      </c>
      <c r="CH19" s="1896"/>
      <c r="CI19" s="1897">
        <f>COUNTIFS($G$15:$G$404,"○",$F$15:$F$404,"小学生",$AB$15:$AB$404,"日帰り")</f>
        <v>0</v>
      </c>
      <c r="CJ19" s="1894"/>
      <c r="CK19" s="1895">
        <f>COUNTIFS($H$15:$H$404,"○",$F$15:$F$404,"小学生",$AB$15:$AB$404,"日帰り")</f>
        <v>0</v>
      </c>
      <c r="CL19" s="1896"/>
      <c r="CM19" s="1897">
        <f>COUNTIFS($G$15:$G$404,"○",$F$15:$F$404,"小学生",$AG$15:$AG$404,"日帰り")</f>
        <v>0</v>
      </c>
      <c r="CN19" s="1894"/>
      <c r="CO19" s="1895">
        <f>COUNTIFS($H$15:$H$404,"○",$F$15:$F$404,"小学生",$AG$15:$AG$404,"日帰り")</f>
        <v>0</v>
      </c>
      <c r="CP19" s="1896"/>
    </row>
    <row r="20" spans="1:94" ht="14.1" customHeight="1" x14ac:dyDescent="0.15">
      <c r="A20" s="652"/>
      <c r="B20" s="2174"/>
      <c r="C20" s="2117"/>
      <c r="D20" s="2007"/>
      <c r="E20" s="2005"/>
      <c r="F20" s="2042"/>
      <c r="G20" s="2119"/>
      <c r="H20" s="2107"/>
      <c r="I20" s="2112"/>
      <c r="J20" s="2113"/>
      <c r="K20" s="2105"/>
      <c r="L20" s="2127"/>
      <c r="M20" s="2112"/>
      <c r="N20" s="2113"/>
      <c r="O20" s="2105"/>
      <c r="P20" s="2105"/>
      <c r="Q20" s="2107"/>
      <c r="R20" s="2112"/>
      <c r="S20" s="2113"/>
      <c r="T20" s="2105"/>
      <c r="U20" s="2105"/>
      <c r="V20" s="2107"/>
      <c r="W20" s="2112"/>
      <c r="X20" s="2113"/>
      <c r="Y20" s="2105"/>
      <c r="Z20" s="2105"/>
      <c r="AA20" s="2107"/>
      <c r="AB20" s="2112"/>
      <c r="AC20" s="2113"/>
      <c r="AD20" s="2105"/>
      <c r="AE20" s="2105"/>
      <c r="AF20" s="2107"/>
      <c r="AG20" s="2112"/>
      <c r="AH20" s="2113"/>
      <c r="AI20" s="2105"/>
      <c r="AJ20" s="2105"/>
      <c r="AK20" s="2011"/>
      <c r="AL20" s="2012"/>
      <c r="AM20" s="2012"/>
      <c r="AN20" s="2013"/>
      <c r="AO20" s="2011"/>
      <c r="AP20" s="2012"/>
      <c r="AQ20" s="2012"/>
      <c r="AR20" s="2013"/>
      <c r="AS20" s="651"/>
      <c r="AT20" s="652"/>
      <c r="AU20" s="1983"/>
      <c r="AV20" s="1983"/>
      <c r="AW20" s="1983"/>
      <c r="AX20" s="1983"/>
      <c r="AY20" s="1983"/>
      <c r="AZ20" s="1983"/>
      <c r="BA20" s="1983"/>
      <c r="BB20" s="654"/>
      <c r="BC20" s="654"/>
      <c r="BD20" s="652"/>
      <c r="BE20" s="652"/>
      <c r="BF20" s="652"/>
      <c r="BG20" s="652"/>
      <c r="BH20" s="652"/>
      <c r="BI20" s="652"/>
      <c r="BJ20" s="2225"/>
      <c r="BK20" s="2226"/>
      <c r="BL20" s="1381"/>
      <c r="BM20" s="684"/>
      <c r="BN20" s="1891" t="s">
        <v>85</v>
      </c>
      <c r="BO20" s="1892"/>
      <c r="BP20" s="675">
        <f t="shared" si="12"/>
        <v>0</v>
      </c>
      <c r="BQ20" s="674">
        <f>COUNTIFS($G$15:$G$404,"○",$F$15:$F$404,"中学生")</f>
        <v>0</v>
      </c>
      <c r="BR20" s="708">
        <f>COUNTIFS($H$15:$H$404,"○",$F$15:$F$404,"中学生")</f>
        <v>0</v>
      </c>
      <c r="BS20" s="1893">
        <f>COUNTIFS($G$15:$G$404,"○",$F$15:$F$404,"中学生",$I$15:$I$404,"日帰り")</f>
        <v>0</v>
      </c>
      <c r="BT20" s="1894"/>
      <c r="BU20" s="1895">
        <f>COUNTIFS($H$15:$H$404,"○",$F$15:$F$404,"中学生",$I$15:$I$404,"日帰り")</f>
        <v>0</v>
      </c>
      <c r="BV20" s="1896"/>
      <c r="BW20" s="1897">
        <f>COUNTIFS($G$15:$G$404,"○",$F$15:$F$404,"中学生",$M$15:$M$404,"日帰り")</f>
        <v>0</v>
      </c>
      <c r="BX20" s="1894"/>
      <c r="BY20" s="1895">
        <f>COUNTIFS($H$15:$H$404,"○",$F$15:$F$404,"中学生",$M$15:$M$404,"日帰り")</f>
        <v>0</v>
      </c>
      <c r="BZ20" s="1896"/>
      <c r="CA20" s="1897">
        <f>COUNTIFS($G$15:$G$404,"○",$F$15:$F$404,"中学生",$R$15:$R$404,"日帰り")</f>
        <v>0</v>
      </c>
      <c r="CB20" s="1894"/>
      <c r="CC20" s="1895">
        <f>COUNTIFS($H$15:$H$404,"○",$F$15:$F$404,"中学生",$R$15:$R$404,"日帰り")</f>
        <v>0</v>
      </c>
      <c r="CD20" s="1896"/>
      <c r="CE20" s="1897">
        <f>COUNTIFS($G$15:$G$404,"○",$F$15:$F$404,"中学生",$W$15:$W$404,"日帰り")</f>
        <v>0</v>
      </c>
      <c r="CF20" s="1894"/>
      <c r="CG20" s="1895">
        <f>COUNTIFS($H$15:$H$404,"○",$F$15:$F$404,"中学生",$W$15:$W$404,"日帰り")</f>
        <v>0</v>
      </c>
      <c r="CH20" s="1896"/>
      <c r="CI20" s="1897">
        <f>COUNTIFS($G$15:$G$404,"○",$F$15:$F$404,"中学生",$AB$15:$AB$404,"日帰り")</f>
        <v>0</v>
      </c>
      <c r="CJ20" s="1894"/>
      <c r="CK20" s="1895">
        <f>COUNTIFS($H$15:$H$404,"○",$F$15:$F$404,"中学生",$AB$15:$AB$404,"日帰り")</f>
        <v>0</v>
      </c>
      <c r="CL20" s="1896"/>
      <c r="CM20" s="1897">
        <f>COUNTIFS($G$15:$G$404,"○",$F$15:$F$404,"中学生",$AG$15:$AG$404,"日帰り")</f>
        <v>0</v>
      </c>
      <c r="CN20" s="1894"/>
      <c r="CO20" s="1895">
        <f>COUNTIFS($H$15:$H$404,"○",$F$15:$F$404,"中学生",$AG$15:$AG$404,"日帰り")</f>
        <v>0</v>
      </c>
      <c r="CP20" s="1896"/>
    </row>
    <row r="21" spans="1:94" ht="14.1" customHeight="1" x14ac:dyDescent="0.15">
      <c r="A21" s="652" t="str">
        <f>IF(AND(D21="",D23&lt;&gt;""),"×","○")</f>
        <v>○</v>
      </c>
      <c r="B21" s="2174" t="str">
        <f>IF(AND(AT21="○",BB21="○",BC21="○",A21="○"),"○","×")</f>
        <v>○</v>
      </c>
      <c r="C21" s="2116">
        <v>4</v>
      </c>
      <c r="D21" s="2006"/>
      <c r="E21" s="2004"/>
      <c r="F21" s="2041"/>
      <c r="G21" s="2118"/>
      <c r="H21" s="2106"/>
      <c r="I21" s="2141"/>
      <c r="J21" s="2142"/>
      <c r="K21" s="2104"/>
      <c r="L21" s="2140"/>
      <c r="M21" s="2110"/>
      <c r="N21" s="2111"/>
      <c r="O21" s="2104"/>
      <c r="P21" s="2104"/>
      <c r="Q21" s="2106"/>
      <c r="R21" s="2110"/>
      <c r="S21" s="2111"/>
      <c r="T21" s="2104"/>
      <c r="U21" s="2104"/>
      <c r="V21" s="2106"/>
      <c r="W21" s="2110"/>
      <c r="X21" s="2111"/>
      <c r="Y21" s="2104"/>
      <c r="Z21" s="2104"/>
      <c r="AA21" s="2106"/>
      <c r="AB21" s="2110"/>
      <c r="AC21" s="2111"/>
      <c r="AD21" s="2104"/>
      <c r="AE21" s="2104"/>
      <c r="AF21" s="2106"/>
      <c r="AG21" s="2110"/>
      <c r="AH21" s="2111"/>
      <c r="AI21" s="2104"/>
      <c r="AJ21" s="2104"/>
      <c r="AK21" s="2038"/>
      <c r="AL21" s="2039"/>
      <c r="AM21" s="2039"/>
      <c r="AN21" s="2040"/>
      <c r="AO21" s="2008"/>
      <c r="AP21" s="2009"/>
      <c r="AQ21" s="2009"/>
      <c r="AR21" s="2010"/>
      <c r="AS21" s="651"/>
      <c r="AT21" s="652" t="str">
        <f t="shared" ref="AT21" si="31">IF(OR(AND(D21&lt;&gt;"",OR(AND(E21&lt;&gt;"",F21&lt;&gt;"",OR(G21&lt;&gt;"",H21&lt;&gt;"")),AND(E21="",F21="バス・カメラマン等"))),AND(D21="",E21="",F21="",OR(G21="",H21=""))),"○","×")</f>
        <v>○</v>
      </c>
      <c r="AU21" s="1983" t="str">
        <f t="shared" ref="AU21" si="32">IF(AND(E21&lt;&gt;"",E21&lt;=2),"2歳児以下","")</f>
        <v/>
      </c>
      <c r="AV21" s="1983" t="str">
        <f t="shared" ref="AV21" si="33">IF(OR(AND(3&lt;=E21,E21&lt;=6),COUNTIF(E21, "幼*"),COUNTIF(E21, "年少"),COUNTIF(E21, "年中"),COUNTIF(E21, "年長")),"3歳-学齢前","")</f>
        <v/>
      </c>
      <c r="AW21" s="1983" t="str">
        <f t="shared" ref="AW21" si="34">IF(OR(AND(6&lt;=E21,E21&lt;=12),COUNTIF(E21, "小*")),"小学生","")</f>
        <v/>
      </c>
      <c r="AX21" s="1983" t="str">
        <f t="shared" ref="AX21" si="35">IF(OR(AND(12&lt;=E21,E21&lt;=15),COUNTIF(E21, "中*")),"中学生","")</f>
        <v/>
      </c>
      <c r="AY21" s="1983" t="str">
        <f t="shared" ref="AY21" si="36">IF(OR(AND(15&lt;=E21,E21&lt;=18),COUNTIF(E21, "高*")),"高校生(～18歳)","")</f>
        <v/>
      </c>
      <c r="AZ21" s="1983" t="str">
        <f t="shared" ref="AZ21" si="37">IF(OR(19&lt;=E21,COUNTIF(E21, "大*"),COUNTIF(E21, "*院*"),COUNTIF(E21, "*専*")),"一般(19歳～)","")</f>
        <v/>
      </c>
      <c r="BA21" s="1983" t="s">
        <v>475</v>
      </c>
      <c r="BB21" s="652" t="str">
        <f t="shared" ref="BB21" si="38">IF(OR(AND(D21="",I21="",M21="",R21="",W21="",AB21="",AG21=""),AND(D21&lt;&gt;"",OR(I21&lt;&gt;"",M21&lt;&gt;"",R21&lt;&gt;"",W21&lt;&gt;"",AB21&lt;&gt;"",AG21&lt;&gt;""))),"○","×")</f>
        <v>○</v>
      </c>
      <c r="BC21" s="652" t="str">
        <f t="shared" ref="BC21" si="39">IF(AND(BD21="○",BE21="○",BF21="○",BG21="○",BH21="○",BI21="○"),"○","×")</f>
        <v>○</v>
      </c>
      <c r="BD21" s="653" t="str">
        <f t="shared" ref="BD21" si="40">IF(AND($I$7=" ",OR(I21&lt;&gt;"",K21&lt;&gt;"",L21&lt;&gt;"")),"×","○")</f>
        <v>○</v>
      </c>
      <c r="BE21" s="653" t="str">
        <f t="shared" ref="BE21" si="41">IF(AND($M$7=" ",OR(M21&lt;&gt;"",O21&lt;&gt;"",P21&lt;&gt;"",Q21&lt;&gt;"")),"×","○")</f>
        <v>○</v>
      </c>
      <c r="BF21" s="653" t="str">
        <f t="shared" ref="BF21" si="42">IF(AND($R$7=" ",OR(R21&lt;&gt;"",T21&lt;&gt;"",U21&lt;&gt;"",V21&lt;&gt;"")),"×","○")</f>
        <v>○</v>
      </c>
      <c r="BG21" s="653" t="str">
        <f t="shared" ref="BG21" si="43">IF(AND($W$7=" ",OR(W21&lt;&gt;"",Y21&lt;&gt;"",Z21&lt;&gt;"",AA21&lt;&gt;"")),"×","○")</f>
        <v>○</v>
      </c>
      <c r="BH21" s="653" t="str">
        <f t="shared" ref="BH21" si="44">IF(AND($AB$7=" ",OR(AB21&lt;&gt;"",AD21&lt;&gt;"",AE21&lt;&gt;"",AF21&lt;&gt;"")),"×","○")</f>
        <v>○</v>
      </c>
      <c r="BI21" s="653" t="str">
        <f t="shared" ref="BI21" si="45">IF(AND($AG$7=" ",OR(AG21&lt;&gt;"",AI21&lt;&gt;"",AJ21&lt;&gt;"")),"×","○")</f>
        <v>○</v>
      </c>
      <c r="BJ21" s="2225" t="e">
        <f t="shared" ref="BJ21" si="46">SUMPRODUCT(1/COUNTIF(I21:AH21,"宿泊"))</f>
        <v>#DIV/0!</v>
      </c>
      <c r="BK21" s="2226" t="e">
        <f t="shared" ref="BK21" si="47">SUMPRODUCT(1/COUNTIF(I21:AH21,"日帰り"))</f>
        <v>#DIV/0!</v>
      </c>
      <c r="BL21" s="1381">
        <f t="shared" ref="BL21" si="48">COUNT(BJ21)-COUNT(BK21)</f>
        <v>0</v>
      </c>
      <c r="BM21" s="684"/>
      <c r="BN21" s="1891" t="s">
        <v>325</v>
      </c>
      <c r="BO21" s="1892"/>
      <c r="BP21" s="675">
        <f t="shared" si="12"/>
        <v>0</v>
      </c>
      <c r="BQ21" s="674">
        <f>COUNTIFS($G$15:$G$404,"○",$F$15:$F$404,"高校生(～18歳)")</f>
        <v>0</v>
      </c>
      <c r="BR21" s="708">
        <f>COUNTIFS($H$15:$H$404,"○",$F$15:$F$404,"高校生(～18歳)")</f>
        <v>0</v>
      </c>
      <c r="BS21" s="1893">
        <f>COUNTIFS($G$15:$G$404,"○",$F$15:$F$404,"高校生(～18歳)",$I$15:$I$404,"日帰り")</f>
        <v>0</v>
      </c>
      <c r="BT21" s="1894"/>
      <c r="BU21" s="1895">
        <f>COUNTIFS($H$15:$H$404,"○",$F$15:$F$404,"高校生(～18歳)",$I$15:$I$404,"日帰り")</f>
        <v>0</v>
      </c>
      <c r="BV21" s="1896"/>
      <c r="BW21" s="1897">
        <f>COUNTIFS($G$15:$G$404,"○",$F$15:$F$404,"高校生(～18歳)",$M$15:$M$404,"日帰り")</f>
        <v>0</v>
      </c>
      <c r="BX21" s="1894"/>
      <c r="BY21" s="1895">
        <f>COUNTIFS($H$15:$H$404,"○",$F$15:$F$404,"高校生(～18歳)",$M$15:$M$404,"日帰り")</f>
        <v>0</v>
      </c>
      <c r="BZ21" s="1896"/>
      <c r="CA21" s="1897">
        <f>COUNTIFS($G$15:$G$404,"○",$F$15:$F$404,"高校生(～18歳)",$R$15:$R$404,"日帰り")</f>
        <v>0</v>
      </c>
      <c r="CB21" s="1894"/>
      <c r="CC21" s="1895">
        <f>COUNTIFS($H$15:$H$404,"○",$F$15:$F$404,"高校生(～18歳)",$R$15:$R$404,"日帰り")</f>
        <v>0</v>
      </c>
      <c r="CD21" s="1896"/>
      <c r="CE21" s="1897">
        <f>COUNTIFS($G$15:$G$404,"○",$F$15:$F$404,"高校生(～18歳)",$W$15:$W$404,"日帰り")</f>
        <v>0</v>
      </c>
      <c r="CF21" s="1894"/>
      <c r="CG21" s="1895">
        <f>COUNTIFS($H$15:$H$404,"○",$F$15:$F$404,"高校生(～18歳)",$W$15:$W$404,"日帰り")</f>
        <v>0</v>
      </c>
      <c r="CH21" s="1896"/>
      <c r="CI21" s="1897">
        <f>COUNTIFS($G$15:$G$404,"○",$F$15:$F$404,"高校生(～18歳)",$AB$15:$AB$404,"日帰り")</f>
        <v>0</v>
      </c>
      <c r="CJ21" s="1894"/>
      <c r="CK21" s="1895">
        <f>COUNTIFS($H$15:$H$404,"○",$F$15:$F$404,"高校生(～18歳)",$AB$15:$AB$404,"日帰り")</f>
        <v>0</v>
      </c>
      <c r="CL21" s="1896"/>
      <c r="CM21" s="1897">
        <f>COUNTIFS($G$15:$G$404,"○",$F$15:$F$404,"高校生(～18歳)",$AG$15:$AG$404,"日帰り")</f>
        <v>0</v>
      </c>
      <c r="CN21" s="1894"/>
      <c r="CO21" s="1895">
        <f>COUNTIFS($H$15:$H$404,"○",$F$15:$F$404,"高校生(～18歳)",$AG$15:$AG$404,"日帰り")</f>
        <v>0</v>
      </c>
      <c r="CP21" s="1896"/>
    </row>
    <row r="22" spans="1:94" ht="14.1" customHeight="1" x14ac:dyDescent="0.15">
      <c r="A22" s="652"/>
      <c r="B22" s="2174"/>
      <c r="C22" s="2117"/>
      <c r="D22" s="2007"/>
      <c r="E22" s="2005"/>
      <c r="F22" s="2042"/>
      <c r="G22" s="2119"/>
      <c r="H22" s="2107"/>
      <c r="I22" s="2112"/>
      <c r="J22" s="2113"/>
      <c r="K22" s="2105"/>
      <c r="L22" s="2127"/>
      <c r="M22" s="2112"/>
      <c r="N22" s="2113"/>
      <c r="O22" s="2105"/>
      <c r="P22" s="2105"/>
      <c r="Q22" s="2107"/>
      <c r="R22" s="2112"/>
      <c r="S22" s="2113"/>
      <c r="T22" s="2105"/>
      <c r="U22" s="2105"/>
      <c r="V22" s="2107"/>
      <c r="W22" s="2112"/>
      <c r="X22" s="2113"/>
      <c r="Y22" s="2105"/>
      <c r="Z22" s="2105"/>
      <c r="AA22" s="2107"/>
      <c r="AB22" s="2112"/>
      <c r="AC22" s="2113"/>
      <c r="AD22" s="2105"/>
      <c r="AE22" s="2105"/>
      <c r="AF22" s="2107"/>
      <c r="AG22" s="2112"/>
      <c r="AH22" s="2113"/>
      <c r="AI22" s="2105"/>
      <c r="AJ22" s="2105"/>
      <c r="AK22" s="2011"/>
      <c r="AL22" s="2012"/>
      <c r="AM22" s="2012"/>
      <c r="AN22" s="2013"/>
      <c r="AO22" s="2011"/>
      <c r="AP22" s="2012"/>
      <c r="AQ22" s="2012"/>
      <c r="AR22" s="2013"/>
      <c r="AS22" s="651"/>
      <c r="AT22" s="652"/>
      <c r="AU22" s="1983"/>
      <c r="AV22" s="1983"/>
      <c r="AW22" s="1983"/>
      <c r="AX22" s="1983"/>
      <c r="AY22" s="1983"/>
      <c r="AZ22" s="1983"/>
      <c r="BA22" s="1983"/>
      <c r="BB22" s="654"/>
      <c r="BC22" s="654"/>
      <c r="BD22" s="652"/>
      <c r="BE22" s="652"/>
      <c r="BF22" s="652"/>
      <c r="BG22" s="652"/>
      <c r="BH22" s="652"/>
      <c r="BI22" s="652"/>
      <c r="BJ22" s="2225"/>
      <c r="BK22" s="2226"/>
      <c r="BL22" s="1381"/>
      <c r="BM22" s="684"/>
      <c r="BN22" s="1891" t="s">
        <v>326</v>
      </c>
      <c r="BO22" s="1892"/>
      <c r="BP22" s="675">
        <f t="shared" si="12"/>
        <v>0</v>
      </c>
      <c r="BQ22" s="674">
        <f>COUNTIFS($G$15:$G$404,"○",$F$15:$F$404,"一般(19歳～)")</f>
        <v>0</v>
      </c>
      <c r="BR22" s="708">
        <f>COUNTIFS($H$15:$H$404,"○",$F$15:$F$404,"一般(19歳～)")</f>
        <v>0</v>
      </c>
      <c r="BS22" s="1893">
        <f>COUNTIFS($G$15:$G$404,"○",$F$15:$F$404,"一般(19歳～)",$I$15:$I$404,"日帰り")</f>
        <v>0</v>
      </c>
      <c r="BT22" s="1894"/>
      <c r="BU22" s="1895">
        <f>COUNTIFS($H$15:$H$404,"○",$F$15:$F$404,"一般(19歳～)",$I$15:$I$404,"日帰り")</f>
        <v>0</v>
      </c>
      <c r="BV22" s="1896"/>
      <c r="BW22" s="1897">
        <f>COUNTIFS($G$15:$G$404,"○",$F$15:$F$404,"一般(19歳～)",$M$15:$M$404,"日帰り")</f>
        <v>0</v>
      </c>
      <c r="BX22" s="1894"/>
      <c r="BY22" s="1895">
        <f>COUNTIFS($H$15:$H$404,"○",$F$15:$F$404,"一般(19歳～)",$M$15:$M$404,"日帰り")</f>
        <v>0</v>
      </c>
      <c r="BZ22" s="1896"/>
      <c r="CA22" s="1897">
        <f>COUNTIFS($G$15:$G$404,"○",$F$15:$F$404,"一般(19歳～)",$R$15:$R$404,"日帰り")</f>
        <v>0</v>
      </c>
      <c r="CB22" s="1894"/>
      <c r="CC22" s="1895">
        <f>COUNTIFS($H$15:$H$404,"○",$F$15:$F$404,"一般(19歳～)",$R$15:$R$404,"日帰り")</f>
        <v>0</v>
      </c>
      <c r="CD22" s="1896"/>
      <c r="CE22" s="1897">
        <f>COUNTIFS($G$15:$G$404,"○",$F$15:$F$404,"一般(19歳～)",$W$15:$W$404,"日帰り")</f>
        <v>0</v>
      </c>
      <c r="CF22" s="1894"/>
      <c r="CG22" s="1895">
        <f>COUNTIFS($H$15:$H$404,"○",$F$15:$F$404,"一般(19歳～)",$W$15:$W$404,"日帰り")</f>
        <v>0</v>
      </c>
      <c r="CH22" s="1896"/>
      <c r="CI22" s="1897">
        <f>COUNTIFS($G$15:$G$404,"○",$F$15:$F$404,"一般(19歳～)",$AB$15:$AB$404,"日帰り")</f>
        <v>0</v>
      </c>
      <c r="CJ22" s="1894"/>
      <c r="CK22" s="1895">
        <f>COUNTIFS($H$15:$H$404,"○",$F$15:$F$404,"一般(19歳～)",$AB$15:$AB$404,"日帰り")</f>
        <v>0</v>
      </c>
      <c r="CL22" s="1896"/>
      <c r="CM22" s="1897">
        <f>COUNTIFS($G$15:$G$404,"○",$F$15:$F$404,"一般(19歳～)",$AG$15:$AG$404,"日帰り")</f>
        <v>0</v>
      </c>
      <c r="CN22" s="1894"/>
      <c r="CO22" s="1895">
        <f>COUNTIFS($H$15:$H$404,"○",$F$15:$F$404,"一般(19歳～)",$AG$15:$AG$404,"日帰り")</f>
        <v>0</v>
      </c>
      <c r="CP22" s="1896"/>
    </row>
    <row r="23" spans="1:94" ht="14.1" customHeight="1" thickBot="1" x14ac:dyDescent="0.2">
      <c r="A23" s="652" t="str">
        <f>IF(AND(D23="",D25&lt;&gt;""),"×","○")</f>
        <v>○</v>
      </c>
      <c r="B23" s="2174" t="str">
        <f t="shared" ref="B23" si="49">IF(AND(AT23="○",BB23="○",BC23="○",A23="○"),"○","×")</f>
        <v>○</v>
      </c>
      <c r="C23" s="2116">
        <v>5</v>
      </c>
      <c r="D23" s="2006"/>
      <c r="E23" s="2004"/>
      <c r="F23" s="2041"/>
      <c r="G23" s="2118"/>
      <c r="H23" s="2106"/>
      <c r="I23" s="2141"/>
      <c r="J23" s="2142"/>
      <c r="K23" s="2104"/>
      <c r="L23" s="2140"/>
      <c r="M23" s="2110"/>
      <c r="N23" s="2111"/>
      <c r="O23" s="2104"/>
      <c r="P23" s="2104"/>
      <c r="Q23" s="2106"/>
      <c r="R23" s="2110"/>
      <c r="S23" s="2111"/>
      <c r="T23" s="2104"/>
      <c r="U23" s="2104"/>
      <c r="V23" s="2106"/>
      <c r="W23" s="2110"/>
      <c r="X23" s="2111"/>
      <c r="Y23" s="2104"/>
      <c r="Z23" s="2104"/>
      <c r="AA23" s="2106"/>
      <c r="AB23" s="2110"/>
      <c r="AC23" s="2111"/>
      <c r="AD23" s="2104"/>
      <c r="AE23" s="2104"/>
      <c r="AF23" s="2106"/>
      <c r="AG23" s="2110"/>
      <c r="AH23" s="2111"/>
      <c r="AI23" s="2104"/>
      <c r="AJ23" s="2104"/>
      <c r="AK23" s="2038"/>
      <c r="AL23" s="2039"/>
      <c r="AM23" s="2039"/>
      <c r="AN23" s="2040"/>
      <c r="AO23" s="2008"/>
      <c r="AP23" s="2009"/>
      <c r="AQ23" s="2009"/>
      <c r="AR23" s="2010"/>
      <c r="AS23" s="651"/>
      <c r="AT23" s="652" t="str">
        <f t="shared" ref="AT23" si="50">IF(OR(AND(D23&lt;&gt;"",OR(AND(E23&lt;&gt;"",F23&lt;&gt;"",OR(G23&lt;&gt;"",H23&lt;&gt;"")),AND(E23="",F23="バス・カメラマン等"))),AND(D23="",E23="",F23="",OR(G23="",H23=""))),"○","×")</f>
        <v>○</v>
      </c>
      <c r="AU23" s="1983" t="str">
        <f t="shared" ref="AU23" si="51">IF(AND(E23&lt;&gt;"",E23&lt;=2),"2歳児以下","")</f>
        <v/>
      </c>
      <c r="AV23" s="1983" t="str">
        <f t="shared" ref="AV23" si="52">IF(OR(AND(3&lt;=E23,E23&lt;=6),COUNTIF(E23, "幼*"),COUNTIF(E23, "年少"),COUNTIF(E23, "年中"),COUNTIF(E23, "年長")),"3歳-学齢前","")</f>
        <v/>
      </c>
      <c r="AW23" s="1983" t="str">
        <f t="shared" ref="AW23" si="53">IF(OR(AND(6&lt;=E23,E23&lt;=12),COUNTIF(E23, "小*")),"小学生","")</f>
        <v/>
      </c>
      <c r="AX23" s="1983" t="str">
        <f t="shared" ref="AX23" si="54">IF(OR(AND(12&lt;=E23,E23&lt;=15),COUNTIF(E23, "中*")),"中学生","")</f>
        <v/>
      </c>
      <c r="AY23" s="1983" t="str">
        <f t="shared" ref="AY23" si="55">IF(OR(AND(15&lt;=E23,E23&lt;=18),COUNTIF(E23, "高*")),"高校生(～18歳)","")</f>
        <v/>
      </c>
      <c r="AZ23" s="1983" t="str">
        <f t="shared" ref="AZ23" si="56">IF(OR(19&lt;=E23,COUNTIF(E23, "大*"),COUNTIF(E23, "*院*"),COUNTIF(E23, "*専*")),"一般(19歳～)","")</f>
        <v/>
      </c>
      <c r="BA23" s="1983" t="s">
        <v>475</v>
      </c>
      <c r="BB23" s="652" t="str">
        <f t="shared" ref="BB23" si="57">IF(OR(AND(D23="",I23="",M23="",R23="",W23="",AB23="",AG23=""),AND(D23&lt;&gt;"",OR(I23&lt;&gt;"",M23&lt;&gt;"",R23&lt;&gt;"",W23&lt;&gt;"",AB23&lt;&gt;"",AG23&lt;&gt;""))),"○","×")</f>
        <v>○</v>
      </c>
      <c r="BC23" s="652" t="str">
        <f t="shared" ref="BC23" si="58">IF(AND(BD23="○",BE23="○",BF23="○",BG23="○",BH23="○",BI23="○"),"○","×")</f>
        <v>○</v>
      </c>
      <c r="BD23" s="653" t="str">
        <f t="shared" ref="BD23" si="59">IF(AND($I$7=" ",OR(I23&lt;&gt;"",K23&lt;&gt;"",L23&lt;&gt;"")),"×","○")</f>
        <v>○</v>
      </c>
      <c r="BE23" s="653" t="str">
        <f t="shared" ref="BE23" si="60">IF(AND($M$7=" ",OR(M23&lt;&gt;"",O23&lt;&gt;"",P23&lt;&gt;"",Q23&lt;&gt;"")),"×","○")</f>
        <v>○</v>
      </c>
      <c r="BF23" s="653" t="str">
        <f t="shared" ref="BF23" si="61">IF(AND($R$7=" ",OR(R23&lt;&gt;"",T23&lt;&gt;"",U23&lt;&gt;"",V23&lt;&gt;"")),"×","○")</f>
        <v>○</v>
      </c>
      <c r="BG23" s="653" t="str">
        <f t="shared" ref="BG23" si="62">IF(AND($W$7=" ",OR(W23&lt;&gt;"",Y23&lt;&gt;"",Z23&lt;&gt;"",AA23&lt;&gt;"")),"×","○")</f>
        <v>○</v>
      </c>
      <c r="BH23" s="653" t="str">
        <f t="shared" ref="BH23" si="63">IF(AND($AB$7=" ",OR(AB23&lt;&gt;"",AD23&lt;&gt;"",AE23&lt;&gt;"",AF23&lt;&gt;"")),"×","○")</f>
        <v>○</v>
      </c>
      <c r="BI23" s="653" t="str">
        <f t="shared" ref="BI23" si="64">IF(AND($AG$7=" ",OR(AG23&lt;&gt;"",AI23&lt;&gt;"",AJ23&lt;&gt;"")),"×","○")</f>
        <v>○</v>
      </c>
      <c r="BJ23" s="2225" t="e">
        <f t="shared" ref="BJ23" si="65">SUMPRODUCT(1/COUNTIF(I23:AH23,"宿泊"))</f>
        <v>#DIV/0!</v>
      </c>
      <c r="BK23" s="2226" t="e">
        <f t="shared" ref="BK23" si="66">SUMPRODUCT(1/COUNTIF(I23:AH23,"日帰り"))</f>
        <v>#DIV/0!</v>
      </c>
      <c r="BL23" s="1381">
        <f t="shared" ref="BL23" si="67">COUNT(BJ23)-COUNT(BK23)</f>
        <v>0</v>
      </c>
      <c r="BM23" s="684"/>
      <c r="BN23" s="1925" t="s">
        <v>519</v>
      </c>
      <c r="BO23" s="1926"/>
      <c r="BP23" s="709">
        <f t="shared" si="12"/>
        <v>0</v>
      </c>
      <c r="BQ23" s="710">
        <f>COUNTIFS($G$15:$G$404,"○",$F$15:$F$404,"バス・カメラマン等")</f>
        <v>0</v>
      </c>
      <c r="BR23" s="711">
        <f>COUNTIFS($H$15:$H$404,"○",$F$15:$F$404,"バス・カメラマン等")</f>
        <v>0</v>
      </c>
      <c r="BS23" s="1920">
        <f>COUNTIFS($G$15:$G$404,"○",$F$15:$F$404,"バス・カメラマン等",$I$15:$I$404,"日帰り")</f>
        <v>0</v>
      </c>
      <c r="BT23" s="1921"/>
      <c r="BU23" s="1922">
        <f>COUNTIFS($H$15:$H$404,"○",$F$15:$F$404,"バス・カメラマン等",$I$15:$I$404,"日帰り")</f>
        <v>0</v>
      </c>
      <c r="BV23" s="1923"/>
      <c r="BW23" s="1924">
        <f>COUNTIFS($G$15:$G$404,"○",$F$15:$F$404,"バス・カメラマン等",$M$15:$M$404,"日帰り")</f>
        <v>0</v>
      </c>
      <c r="BX23" s="1921"/>
      <c r="BY23" s="1922">
        <f>COUNTIFS($H$15:$H$404,"○",$F$15:$F$404,"バス・カメラマン等",$M$15:$M$404,"日帰り")</f>
        <v>0</v>
      </c>
      <c r="BZ23" s="1923"/>
      <c r="CA23" s="1924">
        <f>COUNTIFS($G$15:$G$404,"○",$F$15:$F$404,"バス・カメラマン等",$R$15:$R$404,"日帰り")</f>
        <v>0</v>
      </c>
      <c r="CB23" s="1921"/>
      <c r="CC23" s="1922">
        <f>COUNTIFS($H$15:$H$404,"○",$F$15:$F$404,"バス・カメラマン等",$R$15:$R$404,"日帰り")</f>
        <v>0</v>
      </c>
      <c r="CD23" s="1923"/>
      <c r="CE23" s="1924">
        <f>COUNTIFS($G$15:$G$404,"○",$F$15:$F$404,"バス・カメラマン等",$W$15:$W$404,"日帰り")</f>
        <v>0</v>
      </c>
      <c r="CF23" s="1921"/>
      <c r="CG23" s="1922">
        <f>COUNTIFS($H$15:$H$404,"○",$F$15:$F$404,"バス・カメラマン等",$W$15:$W$404,"日帰り")</f>
        <v>0</v>
      </c>
      <c r="CH23" s="1923"/>
      <c r="CI23" s="1924">
        <f>COUNTIFS($G$15:$G$404,"○",$F$15:$F$404,"バス・カメラマン等",$AB$15:$AB$404,"日帰り")</f>
        <v>0</v>
      </c>
      <c r="CJ23" s="1921"/>
      <c r="CK23" s="1922">
        <f>COUNTIFS($H$15:$H$404,"○",$F$15:$F$404,"バス・カメラマン等",$AB$15:$AB$404,"日帰り")</f>
        <v>0</v>
      </c>
      <c r="CL23" s="1923"/>
      <c r="CM23" s="1924">
        <f>COUNTIFS($G$15:$G$404,"○",$F$15:$F$404,"バス・カメラマン等",$AG$15:$AG$404,"日帰り")</f>
        <v>0</v>
      </c>
      <c r="CN23" s="1921"/>
      <c r="CO23" s="1922">
        <f>COUNTIFS($H$15:$H$404,"○",$F$15:$F$404,"バス・カメラマン等",$AG$15:$AG$404,"日帰り")</f>
        <v>0</v>
      </c>
      <c r="CP23" s="1923"/>
    </row>
    <row r="24" spans="1:94" ht="14.1" customHeight="1" thickBot="1" x14ac:dyDescent="0.2">
      <c r="A24" s="652"/>
      <c r="B24" s="2174"/>
      <c r="C24" s="2117"/>
      <c r="D24" s="2007"/>
      <c r="E24" s="2005"/>
      <c r="F24" s="2042"/>
      <c r="G24" s="2119"/>
      <c r="H24" s="2107"/>
      <c r="I24" s="2112"/>
      <c r="J24" s="2113"/>
      <c r="K24" s="2105"/>
      <c r="L24" s="2127"/>
      <c r="M24" s="2112"/>
      <c r="N24" s="2113"/>
      <c r="O24" s="2105"/>
      <c r="P24" s="2105"/>
      <c r="Q24" s="2107"/>
      <c r="R24" s="2112"/>
      <c r="S24" s="2113"/>
      <c r="T24" s="2105"/>
      <c r="U24" s="2105"/>
      <c r="V24" s="2107"/>
      <c r="W24" s="2112"/>
      <c r="X24" s="2113"/>
      <c r="Y24" s="2105"/>
      <c r="Z24" s="2105"/>
      <c r="AA24" s="2107"/>
      <c r="AB24" s="2112"/>
      <c r="AC24" s="2113"/>
      <c r="AD24" s="2105"/>
      <c r="AE24" s="2105"/>
      <c r="AF24" s="2107"/>
      <c r="AG24" s="2112"/>
      <c r="AH24" s="2113"/>
      <c r="AI24" s="2105"/>
      <c r="AJ24" s="2105"/>
      <c r="AK24" s="2011"/>
      <c r="AL24" s="2012"/>
      <c r="AM24" s="2012"/>
      <c r="AN24" s="2013"/>
      <c r="AO24" s="2011"/>
      <c r="AP24" s="2012"/>
      <c r="AQ24" s="2012"/>
      <c r="AR24" s="2013"/>
      <c r="AS24" s="651"/>
      <c r="AT24" s="652"/>
      <c r="AU24" s="1983"/>
      <c r="AV24" s="1983"/>
      <c r="AW24" s="1983"/>
      <c r="AX24" s="1983"/>
      <c r="AY24" s="1983"/>
      <c r="AZ24" s="1983"/>
      <c r="BA24" s="1983"/>
      <c r="BB24" s="654"/>
      <c r="BC24" s="654"/>
      <c r="BD24" s="652"/>
      <c r="BE24" s="652"/>
      <c r="BF24" s="652"/>
      <c r="BG24" s="652"/>
      <c r="BH24" s="652"/>
      <c r="BI24" s="652"/>
      <c r="BJ24" s="2225"/>
      <c r="BK24" s="2226"/>
      <c r="BL24" s="1381"/>
      <c r="BM24" s="684"/>
      <c r="BN24" s="1882"/>
      <c r="BO24" s="1882"/>
      <c r="BP24" s="1882"/>
      <c r="BQ24" s="1882"/>
      <c r="BR24" s="1882"/>
      <c r="BS24" s="1941" t="s">
        <v>155</v>
      </c>
      <c r="BT24" s="1942"/>
      <c r="BU24" s="1943">
        <f>COUNTIFS($I$15:$I$404,"宿泊")</f>
        <v>0</v>
      </c>
      <c r="BV24" s="1944"/>
      <c r="BW24" s="1945" t="s">
        <v>155</v>
      </c>
      <c r="BX24" s="1942"/>
      <c r="BY24" s="1943">
        <f>COUNTIFS($M$15:$M$404,"宿泊")</f>
        <v>0</v>
      </c>
      <c r="BZ24" s="1944"/>
      <c r="CA24" s="1945" t="s">
        <v>155</v>
      </c>
      <c r="CB24" s="1942"/>
      <c r="CC24" s="1943">
        <f>COUNTIFS($R$15:$R$404,"宿泊")</f>
        <v>0</v>
      </c>
      <c r="CD24" s="1944"/>
      <c r="CE24" s="1945" t="s">
        <v>155</v>
      </c>
      <c r="CF24" s="1942"/>
      <c r="CG24" s="1943">
        <f>COUNTIFS($W$15:$W$404,"宿泊")</f>
        <v>0</v>
      </c>
      <c r="CH24" s="1944"/>
      <c r="CI24" s="1945" t="s">
        <v>155</v>
      </c>
      <c r="CJ24" s="1942"/>
      <c r="CK24" s="1943">
        <f>COUNTIFS($AB$15:$AB$404,"宿泊")</f>
        <v>0</v>
      </c>
      <c r="CL24" s="1944"/>
      <c r="CM24" s="1945" t="s">
        <v>155</v>
      </c>
      <c r="CN24" s="1942"/>
      <c r="CO24" s="1943">
        <f>COUNTIFS($AG$15:$AG$404,"宿泊")</f>
        <v>0</v>
      </c>
      <c r="CP24" s="1944"/>
    </row>
    <row r="25" spans="1:94" ht="14.1" customHeight="1" x14ac:dyDescent="0.15">
      <c r="A25" s="652" t="str">
        <f t="shared" ref="A25" si="68">IF(AND(D25="",D27&lt;&gt;""),"×","○")</f>
        <v>○</v>
      </c>
      <c r="B25" s="2174" t="str">
        <f t="shared" ref="B25" si="69">IF(AND(AT25="○",BB25="○",BC25="○",A25="○"),"○","×")</f>
        <v>○</v>
      </c>
      <c r="C25" s="2116">
        <v>6</v>
      </c>
      <c r="D25" s="2006"/>
      <c r="E25" s="2004"/>
      <c r="F25" s="2041"/>
      <c r="G25" s="2118"/>
      <c r="H25" s="2109"/>
      <c r="I25" s="2141"/>
      <c r="J25" s="2142"/>
      <c r="K25" s="2104"/>
      <c r="L25" s="2140"/>
      <c r="M25" s="2110"/>
      <c r="N25" s="2111"/>
      <c r="O25" s="2108"/>
      <c r="P25" s="2108"/>
      <c r="Q25" s="2109"/>
      <c r="R25" s="2110"/>
      <c r="S25" s="2111"/>
      <c r="T25" s="2108"/>
      <c r="U25" s="2108"/>
      <c r="V25" s="2109"/>
      <c r="W25" s="2110"/>
      <c r="X25" s="2111"/>
      <c r="Y25" s="2108"/>
      <c r="Z25" s="2108"/>
      <c r="AA25" s="2109"/>
      <c r="AB25" s="2110"/>
      <c r="AC25" s="2111"/>
      <c r="AD25" s="2108"/>
      <c r="AE25" s="2108"/>
      <c r="AF25" s="2109"/>
      <c r="AG25" s="2110"/>
      <c r="AH25" s="2111"/>
      <c r="AI25" s="2108"/>
      <c r="AJ25" s="2108"/>
      <c r="AK25" s="2038"/>
      <c r="AL25" s="2039"/>
      <c r="AM25" s="2039"/>
      <c r="AN25" s="2040"/>
      <c r="AO25" s="2008"/>
      <c r="AP25" s="2009"/>
      <c r="AQ25" s="2009"/>
      <c r="AR25" s="2010"/>
      <c r="AS25" s="651"/>
      <c r="AT25" s="652" t="str">
        <f t="shared" ref="AT25" si="70">IF(OR(AND(D25&lt;&gt;"",OR(AND(E25&lt;&gt;"",F25&lt;&gt;"",OR(G25&lt;&gt;"",H25&lt;&gt;"")),AND(E25="",F25="バス・カメラマン等"))),AND(D25="",E25="",F25="",OR(G25="",H25=""))),"○","×")</f>
        <v>○</v>
      </c>
      <c r="AU25" s="1983" t="str">
        <f t="shared" ref="AU25" si="71">IF(AND(E25&lt;&gt;"",E25&lt;=2),"2歳児以下","")</f>
        <v/>
      </c>
      <c r="AV25" s="1983" t="str">
        <f t="shared" ref="AV25" si="72">IF(OR(AND(3&lt;=E25,E25&lt;=6),COUNTIF(E25, "幼*"),COUNTIF(E25, "年少"),COUNTIF(E25, "年中"),COUNTIF(E25, "年長")),"3歳-学齢前","")</f>
        <v/>
      </c>
      <c r="AW25" s="1983" t="str">
        <f t="shared" ref="AW25" si="73">IF(OR(AND(6&lt;=E25,E25&lt;=12),COUNTIF(E25, "小*")),"小学生","")</f>
        <v/>
      </c>
      <c r="AX25" s="1983" t="str">
        <f t="shared" ref="AX25" si="74">IF(OR(AND(12&lt;=E25,E25&lt;=15),COUNTIF(E25, "中*")),"中学生","")</f>
        <v/>
      </c>
      <c r="AY25" s="1983" t="str">
        <f t="shared" ref="AY25" si="75">IF(OR(AND(15&lt;=E25,E25&lt;=18),COUNTIF(E25, "高*")),"高校生(～18歳)","")</f>
        <v/>
      </c>
      <c r="AZ25" s="1983" t="str">
        <f t="shared" ref="AZ25" si="76">IF(OR(19&lt;=E25,COUNTIF(E25, "大*"),COUNTIF(E25, "*院*"),COUNTIF(E25, "*専*")),"一般(19歳～)","")</f>
        <v/>
      </c>
      <c r="BA25" s="1983" t="s">
        <v>475</v>
      </c>
      <c r="BB25" s="652" t="str">
        <f t="shared" ref="BB25" si="77">IF(OR(AND(D25="",I25="",M25="",R25="",W25="",AB25="",AG25=""),AND(D25&lt;&gt;"",OR(I25&lt;&gt;"",M25&lt;&gt;"",R25&lt;&gt;"",W25&lt;&gt;"",AB25&lt;&gt;"",AG25&lt;&gt;""))),"○","×")</f>
        <v>○</v>
      </c>
      <c r="BC25" s="652" t="str">
        <f t="shared" ref="BC25" si="78">IF(AND(BD25="○",BE25="○",BF25="○",BG25="○",BH25="○",BI25="○"),"○","×")</f>
        <v>○</v>
      </c>
      <c r="BD25" s="653" t="str">
        <f t="shared" ref="BD25" si="79">IF(AND($I$7=" ",OR(I25&lt;&gt;"",K25&lt;&gt;"",L25&lt;&gt;"")),"×","○")</f>
        <v>○</v>
      </c>
      <c r="BE25" s="653" t="str">
        <f t="shared" ref="BE25" si="80">IF(AND($M$7=" ",OR(M25&lt;&gt;"",O25&lt;&gt;"",P25&lt;&gt;"",Q25&lt;&gt;"")),"×","○")</f>
        <v>○</v>
      </c>
      <c r="BF25" s="653" t="str">
        <f t="shared" ref="BF25" si="81">IF(AND($R$7=" ",OR(R25&lt;&gt;"",T25&lt;&gt;"",U25&lt;&gt;"",V25&lt;&gt;"")),"×","○")</f>
        <v>○</v>
      </c>
      <c r="BG25" s="653" t="str">
        <f t="shared" ref="BG25" si="82">IF(AND($W$7=" ",OR(W25&lt;&gt;"",Y25&lt;&gt;"",Z25&lt;&gt;"",AA25&lt;&gt;"")),"×","○")</f>
        <v>○</v>
      </c>
      <c r="BH25" s="653" t="str">
        <f t="shared" ref="BH25" si="83">IF(AND($AB$7=" ",OR(AB25&lt;&gt;"",AD25&lt;&gt;"",AE25&lt;&gt;"",AF25&lt;&gt;"")),"×","○")</f>
        <v>○</v>
      </c>
      <c r="BI25" s="653" t="str">
        <f t="shared" ref="BI25" si="84">IF(AND($AG$7=" ",OR(AG25&lt;&gt;"",AI25&lt;&gt;"",AJ25&lt;&gt;"")),"×","○")</f>
        <v>○</v>
      </c>
      <c r="BJ25" s="2225" t="e">
        <f t="shared" ref="BJ25" si="85">SUMPRODUCT(1/COUNTIF(I25:AH25,"宿泊"))</f>
        <v>#DIV/0!</v>
      </c>
      <c r="BK25" s="2226" t="e">
        <f t="shared" ref="BK25" si="86">SUMPRODUCT(1/COUNTIF(I25:AH25,"日帰り"))</f>
        <v>#DIV/0!</v>
      </c>
      <c r="BL25" s="1381">
        <f t="shared" ref="BL25" si="87">COUNT(BJ25)-COUNT(BK25)</f>
        <v>0</v>
      </c>
      <c r="BM25" s="684"/>
      <c r="BN25" s="113"/>
      <c r="BO25" s="1898" t="s">
        <v>328</v>
      </c>
      <c r="BP25" s="2195"/>
      <c r="BQ25" s="2195"/>
      <c r="BR25" s="2196"/>
      <c r="BS25" s="745" t="s">
        <v>513</v>
      </c>
      <c r="BT25" s="672">
        <f>SUM(BS26:BT32)</f>
        <v>0</v>
      </c>
      <c r="BU25" s="747" t="s">
        <v>514</v>
      </c>
      <c r="BV25" s="748">
        <f>SUM(BU26:BV32)</f>
        <v>0</v>
      </c>
      <c r="BW25" s="746" t="s">
        <v>513</v>
      </c>
      <c r="BX25" s="672">
        <f>SUM(BW26:BX32)</f>
        <v>0</v>
      </c>
      <c r="BY25" s="747" t="s">
        <v>514</v>
      </c>
      <c r="BZ25" s="748">
        <f>SUM(BY26:BZ32)</f>
        <v>0</v>
      </c>
      <c r="CA25" s="746" t="s">
        <v>513</v>
      </c>
      <c r="CB25" s="672">
        <f>SUM(CA26:CB32)</f>
        <v>0</v>
      </c>
      <c r="CC25" s="747" t="s">
        <v>514</v>
      </c>
      <c r="CD25" s="748">
        <f>SUM(CC26:CD32)</f>
        <v>0</v>
      </c>
      <c r="CE25" s="746" t="s">
        <v>513</v>
      </c>
      <c r="CF25" s="672">
        <f>SUM(CE26:CF32)</f>
        <v>0</v>
      </c>
      <c r="CG25" s="747" t="s">
        <v>514</v>
      </c>
      <c r="CH25" s="748">
        <f>SUM(CG26:CH32)</f>
        <v>0</v>
      </c>
      <c r="CI25" s="746" t="s">
        <v>513</v>
      </c>
      <c r="CJ25" s="672">
        <f>SUM(CI26:CJ32)</f>
        <v>0</v>
      </c>
      <c r="CK25" s="747" t="s">
        <v>514</v>
      </c>
      <c r="CL25" s="748">
        <f>SUM(CK26:CL32)</f>
        <v>0</v>
      </c>
      <c r="CM25" s="746" t="s">
        <v>513</v>
      </c>
      <c r="CN25" s="682">
        <f>SUM(CM26:CN32)</f>
        <v>0</v>
      </c>
      <c r="CO25" s="742" t="s">
        <v>514</v>
      </c>
      <c r="CP25" s="685">
        <f>SUM(CO26:CP32)</f>
        <v>0</v>
      </c>
    </row>
    <row r="26" spans="1:94" ht="14.1" customHeight="1" x14ac:dyDescent="0.15">
      <c r="A26" s="652"/>
      <c r="B26" s="2174"/>
      <c r="C26" s="2117"/>
      <c r="D26" s="2007"/>
      <c r="E26" s="2005"/>
      <c r="F26" s="2042"/>
      <c r="G26" s="2119"/>
      <c r="H26" s="2107"/>
      <c r="I26" s="2112"/>
      <c r="J26" s="2113"/>
      <c r="K26" s="2105"/>
      <c r="L26" s="2127"/>
      <c r="M26" s="2112"/>
      <c r="N26" s="2113"/>
      <c r="O26" s="2105"/>
      <c r="P26" s="2105"/>
      <c r="Q26" s="2107"/>
      <c r="R26" s="2112"/>
      <c r="S26" s="2113"/>
      <c r="T26" s="2105"/>
      <c r="U26" s="2105"/>
      <c r="V26" s="2107"/>
      <c r="W26" s="2112"/>
      <c r="X26" s="2113"/>
      <c r="Y26" s="2105"/>
      <c r="Z26" s="2105"/>
      <c r="AA26" s="2107"/>
      <c r="AB26" s="2112"/>
      <c r="AC26" s="2113"/>
      <c r="AD26" s="2105"/>
      <c r="AE26" s="2105"/>
      <c r="AF26" s="2107"/>
      <c r="AG26" s="2112"/>
      <c r="AH26" s="2113"/>
      <c r="AI26" s="2105"/>
      <c r="AJ26" s="2105"/>
      <c r="AK26" s="2011"/>
      <c r="AL26" s="2012"/>
      <c r="AM26" s="2012"/>
      <c r="AN26" s="2013"/>
      <c r="AO26" s="2011"/>
      <c r="AP26" s="2012"/>
      <c r="AQ26" s="2012"/>
      <c r="AR26" s="2013"/>
      <c r="AS26" s="651"/>
      <c r="AT26" s="652"/>
      <c r="AU26" s="1983"/>
      <c r="AV26" s="1983"/>
      <c r="AW26" s="1983"/>
      <c r="AX26" s="1983"/>
      <c r="AY26" s="1983"/>
      <c r="AZ26" s="1983"/>
      <c r="BA26" s="1983"/>
      <c r="BB26" s="654"/>
      <c r="BC26" s="654"/>
      <c r="BD26" s="652"/>
      <c r="BE26" s="652"/>
      <c r="BF26" s="652"/>
      <c r="BG26" s="652"/>
      <c r="BH26" s="652"/>
      <c r="BI26" s="652"/>
      <c r="BJ26" s="2225"/>
      <c r="BK26" s="2226"/>
      <c r="BL26" s="1381"/>
      <c r="BM26" s="684"/>
      <c r="BO26" s="1900" t="s">
        <v>323</v>
      </c>
      <c r="BP26" s="2197"/>
      <c r="BQ26" s="2197"/>
      <c r="BR26" s="2198"/>
      <c r="BS26" s="1902">
        <f>COUNTIFS($G$15:$G$404,"○",$F$15:$F$404,"2歳児以下",$I$15:$I$404,"宿泊")</f>
        <v>0</v>
      </c>
      <c r="BT26" s="1903"/>
      <c r="BU26" s="1927">
        <f>COUNTIFS($H$15:$H$404,"○",$F$15:$F$404,"2歳児以下",$I$15:$I$404,"宿泊")</f>
        <v>0</v>
      </c>
      <c r="BV26" s="1928"/>
      <c r="BW26" s="1929">
        <f>COUNTIFS($G$15:$G$404,"○",$F$15:$F$404,"2歳児以下",$M$15:$M$404,"宿泊")</f>
        <v>0</v>
      </c>
      <c r="BX26" s="1903"/>
      <c r="BY26" s="1927">
        <f>COUNTIFS($H$15:$H$404,"○",$F$15:$F$404,"2歳児以下",$M$15:$M$404,"宿泊")</f>
        <v>0</v>
      </c>
      <c r="BZ26" s="1928"/>
      <c r="CA26" s="1929">
        <f>COUNTIFS($G$15:$G$404,"○",$F$15:$F$404,"2歳児以下",$R$15:$R$404,"宿泊")</f>
        <v>0</v>
      </c>
      <c r="CB26" s="1903"/>
      <c r="CC26" s="1927">
        <f>COUNTIFS($H$15:$H$404,"○",$F$15:$F$404,"2歳児以下",$R$15:$R$404,"宿泊")</f>
        <v>0</v>
      </c>
      <c r="CD26" s="1928"/>
      <c r="CE26" s="1929">
        <f>COUNTIFS($G$15:$G$404,"○",$F$15:$F$404,"2歳児以下",$W$15:$W$404,"宿泊")</f>
        <v>0</v>
      </c>
      <c r="CF26" s="1903"/>
      <c r="CG26" s="1927">
        <f>COUNTIFS($H$15:$H$404,"○",$F$15:$F$404,"2歳児以下",$W$15:$W$404,"宿泊")</f>
        <v>0</v>
      </c>
      <c r="CH26" s="1928"/>
      <c r="CI26" s="1929">
        <f>COUNTIFS($G$15:$G$404,"○",$F$15:$F$404,"2歳児以下",$AB$15:$AB$404,"宿泊")</f>
        <v>0</v>
      </c>
      <c r="CJ26" s="1903"/>
      <c r="CK26" s="1927">
        <f>COUNTIFS($H$15:$H$404,"○",$F$15:$F$404,"2歳児以下",$AB$15:$AB$404,"宿泊")</f>
        <v>0</v>
      </c>
      <c r="CL26" s="1928"/>
      <c r="CM26" s="1929">
        <f>COUNTIFS($G$15:$G$404,"○",$F$15:$F$404,"2歳児以下",$AG$15:$AG$404,"宿泊")</f>
        <v>0</v>
      </c>
      <c r="CN26" s="1903"/>
      <c r="CO26" s="1927">
        <f>COUNTIFS($H$15:$H$404,"○",$F$15:$F$404,"2歳児以下",$AG$15:$AG$404,"宿泊")</f>
        <v>0</v>
      </c>
      <c r="CP26" s="1928"/>
    </row>
    <row r="27" spans="1:94" ht="14.1" customHeight="1" x14ac:dyDescent="0.15">
      <c r="A27" s="652" t="str">
        <f t="shared" ref="A27" si="88">IF(AND(D27="",D29&lt;&gt;""),"×","○")</f>
        <v>○</v>
      </c>
      <c r="B27" s="2174" t="str">
        <f t="shared" ref="B27" si="89">IF(AND(AT27="○",BB27="○",BC27="○",A27="○"),"○","×")</f>
        <v>○</v>
      </c>
      <c r="C27" s="2116">
        <v>7</v>
      </c>
      <c r="D27" s="2006"/>
      <c r="E27" s="2004"/>
      <c r="F27" s="2041"/>
      <c r="G27" s="2123"/>
      <c r="H27" s="2109"/>
      <c r="I27" s="2141"/>
      <c r="J27" s="2142"/>
      <c r="K27" s="2104"/>
      <c r="L27" s="2140"/>
      <c r="M27" s="2110"/>
      <c r="N27" s="2111"/>
      <c r="O27" s="2108"/>
      <c r="P27" s="2108"/>
      <c r="Q27" s="2109"/>
      <c r="R27" s="2110"/>
      <c r="S27" s="2111"/>
      <c r="T27" s="2108"/>
      <c r="U27" s="2108"/>
      <c r="V27" s="2109"/>
      <c r="W27" s="2110"/>
      <c r="X27" s="2111"/>
      <c r="Y27" s="2108"/>
      <c r="Z27" s="2108"/>
      <c r="AA27" s="2109"/>
      <c r="AB27" s="2110"/>
      <c r="AC27" s="2111"/>
      <c r="AD27" s="2108"/>
      <c r="AE27" s="2108"/>
      <c r="AF27" s="2109"/>
      <c r="AG27" s="2110"/>
      <c r="AH27" s="2111"/>
      <c r="AI27" s="2108"/>
      <c r="AJ27" s="2108"/>
      <c r="AK27" s="2038"/>
      <c r="AL27" s="2039"/>
      <c r="AM27" s="2039"/>
      <c r="AN27" s="2040"/>
      <c r="AO27" s="2008"/>
      <c r="AP27" s="2009"/>
      <c r="AQ27" s="2009"/>
      <c r="AR27" s="2010"/>
      <c r="AS27" s="651"/>
      <c r="AT27" s="652" t="str">
        <f t="shared" ref="AT27" si="90">IF(OR(AND(D27&lt;&gt;"",OR(AND(E27&lt;&gt;"",F27&lt;&gt;"",OR(G27&lt;&gt;"",H27&lt;&gt;"")),AND(E27="",F27="バス・カメラマン等"))),AND(D27="",E27="",F27="",OR(G27="",H27=""))),"○","×")</f>
        <v>○</v>
      </c>
      <c r="AU27" s="1983" t="str">
        <f t="shared" ref="AU27" si="91">IF(AND(E27&lt;&gt;"",E27&lt;=2),"2歳児以下","")</f>
        <v/>
      </c>
      <c r="AV27" s="1983" t="str">
        <f t="shared" ref="AV27" si="92">IF(OR(AND(3&lt;=E27,E27&lt;=6),COUNTIF(E27, "幼*"),COUNTIF(E27, "年少"),COUNTIF(E27, "年中"),COUNTIF(E27, "年長")),"3歳-学齢前","")</f>
        <v/>
      </c>
      <c r="AW27" s="1983" t="str">
        <f t="shared" ref="AW27" si="93">IF(OR(AND(6&lt;=E27,E27&lt;=12),COUNTIF(E27, "小*")),"小学生","")</f>
        <v/>
      </c>
      <c r="AX27" s="1983" t="str">
        <f t="shared" ref="AX27" si="94">IF(OR(AND(12&lt;=E27,E27&lt;=15),COUNTIF(E27, "中*")),"中学生","")</f>
        <v/>
      </c>
      <c r="AY27" s="1983" t="str">
        <f t="shared" ref="AY27" si="95">IF(OR(AND(15&lt;=E27,E27&lt;=18),COUNTIF(E27, "高*")),"高校生(～18歳)","")</f>
        <v/>
      </c>
      <c r="AZ27" s="1983" t="str">
        <f t="shared" ref="AZ27" si="96">IF(OR(19&lt;=E27,COUNTIF(E27, "大*"),COUNTIF(E27, "*院*"),COUNTIF(E27, "*専*")),"一般(19歳～)","")</f>
        <v/>
      </c>
      <c r="BA27" s="1983" t="s">
        <v>475</v>
      </c>
      <c r="BB27" s="652" t="str">
        <f t="shared" ref="BB27" si="97">IF(OR(AND(D27="",I27="",M27="",R27="",W27="",AB27="",AG27=""),AND(D27&lt;&gt;"",OR(I27&lt;&gt;"",M27&lt;&gt;"",R27&lt;&gt;"",W27&lt;&gt;"",AB27&lt;&gt;"",AG27&lt;&gt;""))),"○","×")</f>
        <v>○</v>
      </c>
      <c r="BC27" s="652" t="str">
        <f t="shared" ref="BC27" si="98">IF(AND(BD27="○",BE27="○",BF27="○",BG27="○",BH27="○",BI27="○"),"○","×")</f>
        <v>○</v>
      </c>
      <c r="BD27" s="653" t="str">
        <f t="shared" ref="BD27" si="99">IF(AND($I$7=" ",OR(I27&lt;&gt;"",K27&lt;&gt;"",L27&lt;&gt;"")),"×","○")</f>
        <v>○</v>
      </c>
      <c r="BE27" s="653" t="str">
        <f t="shared" ref="BE27" si="100">IF(AND($M$7=" ",OR(M27&lt;&gt;"",O27&lt;&gt;"",P27&lt;&gt;"",Q27&lt;&gt;"")),"×","○")</f>
        <v>○</v>
      </c>
      <c r="BF27" s="653" t="str">
        <f t="shared" ref="BF27" si="101">IF(AND($R$7=" ",OR(R27&lt;&gt;"",T27&lt;&gt;"",U27&lt;&gt;"",V27&lt;&gt;"")),"×","○")</f>
        <v>○</v>
      </c>
      <c r="BG27" s="653" t="str">
        <f t="shared" ref="BG27" si="102">IF(AND($W$7=" ",OR(W27&lt;&gt;"",Y27&lt;&gt;"",Z27&lt;&gt;"",AA27&lt;&gt;"")),"×","○")</f>
        <v>○</v>
      </c>
      <c r="BH27" s="653" t="str">
        <f t="shared" ref="BH27" si="103">IF(AND($AB$7=" ",OR(AB27&lt;&gt;"",AD27&lt;&gt;"",AE27&lt;&gt;"",AF27&lt;&gt;"")),"×","○")</f>
        <v>○</v>
      </c>
      <c r="BI27" s="653" t="str">
        <f t="shared" ref="BI27" si="104">IF(AND($AG$7=" ",OR(AG27&lt;&gt;"",AI27&lt;&gt;"",AJ27&lt;&gt;"")),"×","○")</f>
        <v>○</v>
      </c>
      <c r="BJ27" s="2225" t="e">
        <f t="shared" ref="BJ27" si="105">SUMPRODUCT(1/COUNTIF(I27:AH27,"宿泊"))</f>
        <v>#DIV/0!</v>
      </c>
      <c r="BK27" s="2226" t="e">
        <f t="shared" ref="BK27" si="106">SUMPRODUCT(1/COUNTIF(I27:AH27,"日帰り"))</f>
        <v>#DIV/0!</v>
      </c>
      <c r="BL27" s="1381">
        <f t="shared" ref="BL27" si="107">COUNT(BJ27)-COUNT(BK27)</f>
        <v>0</v>
      </c>
      <c r="BM27" s="684"/>
      <c r="BO27" s="1891" t="s">
        <v>324</v>
      </c>
      <c r="BP27" s="1930"/>
      <c r="BQ27" s="1930"/>
      <c r="BR27" s="1931"/>
      <c r="BS27" s="1893">
        <f>COUNTIFS($G$15:$G$404,"○",$F$15:$F$404,"3歳-学齢前",$I$15:$I$404,"宿泊")</f>
        <v>0</v>
      </c>
      <c r="BT27" s="1894"/>
      <c r="BU27" s="1895">
        <f>COUNTIFS($H$15:$H$404,"○",$F$15:$F$404,"3歳-学齢前",$I$15:$I$404,"宿泊")</f>
        <v>0</v>
      </c>
      <c r="BV27" s="1896"/>
      <c r="BW27" s="1897">
        <f>COUNTIFS($G$15:$G$404,"○",$F$15:$F$404,"3歳-学齢前",$M$15:$M$404,"宿泊")</f>
        <v>0</v>
      </c>
      <c r="BX27" s="1894"/>
      <c r="BY27" s="1895">
        <f>COUNTIFS($H$15:$H$404,"○",$F$15:$F$404,"3歳-学齢前",$M$15:$M$404,"宿泊")</f>
        <v>0</v>
      </c>
      <c r="BZ27" s="1896"/>
      <c r="CA27" s="1897">
        <f>COUNTIFS($G$15:$G$404,"○",$F$15:$F$404,"3歳-学齢前",$R$15:$R$404,"宿泊")</f>
        <v>0</v>
      </c>
      <c r="CB27" s="1894"/>
      <c r="CC27" s="1895">
        <f>COUNTIFS($H$15:$H$404,"○",$F$15:$F$404,"3歳-学齢前",$R$15:$R$404,"宿泊")</f>
        <v>0</v>
      </c>
      <c r="CD27" s="1896"/>
      <c r="CE27" s="1897">
        <f>COUNTIFS($G$15:$G$404,"○",$F$15:$F$404,"3歳-学齢前",$W$15:$W$404,"宿泊")</f>
        <v>0</v>
      </c>
      <c r="CF27" s="1894"/>
      <c r="CG27" s="1895">
        <f>COUNTIFS($H$15:$H$404,"○",$F$15:$F$404,"3歳-学齢前",$W$15:$W$404,"宿泊")</f>
        <v>0</v>
      </c>
      <c r="CH27" s="1896"/>
      <c r="CI27" s="1897">
        <f>COUNTIFS($G$15:$G$404,"○",$F$15:$F$404,"3歳-学齢前",$AB$15:$AB$404,"宿泊")</f>
        <v>0</v>
      </c>
      <c r="CJ27" s="1894"/>
      <c r="CK27" s="1895">
        <f>COUNTIFS($H$15:$H$404,"○",$F$15:$F$404,"3歳-学齢前",$AB$15:$AB$404,"宿泊")</f>
        <v>0</v>
      </c>
      <c r="CL27" s="1896"/>
      <c r="CM27" s="1897">
        <f>COUNTIFS($G$15:$G$404,"○",$F$15:$F$404,"3歳-学齢前",$AG$15:$AG$404,"宿泊")</f>
        <v>0</v>
      </c>
      <c r="CN27" s="1894"/>
      <c r="CO27" s="1895">
        <f>COUNTIFS($H$15:$H$404,"○",$F$15:$F$404,"3歳-学齢前",$AG$15:$AG$404,"宿泊")</f>
        <v>0</v>
      </c>
      <c r="CP27" s="1896"/>
    </row>
    <row r="28" spans="1:94" ht="14.1" customHeight="1" x14ac:dyDescent="0.15">
      <c r="A28" s="652"/>
      <c r="B28" s="2174"/>
      <c r="C28" s="2117"/>
      <c r="D28" s="2007"/>
      <c r="E28" s="2005"/>
      <c r="F28" s="2042"/>
      <c r="G28" s="2119"/>
      <c r="H28" s="2107"/>
      <c r="I28" s="2112"/>
      <c r="J28" s="2113"/>
      <c r="K28" s="2105"/>
      <c r="L28" s="2127"/>
      <c r="M28" s="2112"/>
      <c r="N28" s="2113"/>
      <c r="O28" s="2105"/>
      <c r="P28" s="2105"/>
      <c r="Q28" s="2107"/>
      <c r="R28" s="2112"/>
      <c r="S28" s="2113"/>
      <c r="T28" s="2105"/>
      <c r="U28" s="2105"/>
      <c r="V28" s="2107"/>
      <c r="W28" s="2112"/>
      <c r="X28" s="2113"/>
      <c r="Y28" s="2105"/>
      <c r="Z28" s="2105"/>
      <c r="AA28" s="2107"/>
      <c r="AB28" s="2112"/>
      <c r="AC28" s="2113"/>
      <c r="AD28" s="2105"/>
      <c r="AE28" s="2105"/>
      <c r="AF28" s="2107"/>
      <c r="AG28" s="2112"/>
      <c r="AH28" s="2113"/>
      <c r="AI28" s="2105"/>
      <c r="AJ28" s="2105"/>
      <c r="AK28" s="2011"/>
      <c r="AL28" s="2012"/>
      <c r="AM28" s="2012"/>
      <c r="AN28" s="2013"/>
      <c r="AO28" s="2011"/>
      <c r="AP28" s="2012"/>
      <c r="AQ28" s="2012"/>
      <c r="AR28" s="2013"/>
      <c r="AS28" s="651"/>
      <c r="AT28" s="652"/>
      <c r="AU28" s="1983"/>
      <c r="AV28" s="1983"/>
      <c r="AW28" s="1983"/>
      <c r="AX28" s="1983"/>
      <c r="AY28" s="1983"/>
      <c r="AZ28" s="1983"/>
      <c r="BA28" s="1983"/>
      <c r="BB28" s="654"/>
      <c r="BC28" s="654"/>
      <c r="BD28" s="652"/>
      <c r="BE28" s="652"/>
      <c r="BF28" s="652"/>
      <c r="BG28" s="652"/>
      <c r="BH28" s="652"/>
      <c r="BI28" s="652"/>
      <c r="BJ28" s="2225"/>
      <c r="BK28" s="2226"/>
      <c r="BL28" s="1381"/>
      <c r="BM28" s="684"/>
      <c r="BO28" s="1891" t="s">
        <v>84</v>
      </c>
      <c r="BP28" s="1930"/>
      <c r="BQ28" s="1930"/>
      <c r="BR28" s="1931"/>
      <c r="BS28" s="1893">
        <f>COUNTIFS($G$15:$G$404,"○",$F$15:$F$404,"小学生",$I$15:$I$404,"宿泊")</f>
        <v>0</v>
      </c>
      <c r="BT28" s="1894"/>
      <c r="BU28" s="1895">
        <f>COUNTIFS($H$15:$H$404,"○",$F$15:$F$404,"小学生",$I$15:$I$404,"宿泊")</f>
        <v>0</v>
      </c>
      <c r="BV28" s="1896"/>
      <c r="BW28" s="1897">
        <f>COUNTIFS($G$15:$G$404,"○",$F$15:$F$404,"小学生",$M$15:$M$404,"宿泊")</f>
        <v>0</v>
      </c>
      <c r="BX28" s="1894"/>
      <c r="BY28" s="1895">
        <f>COUNTIFS($H$15:$H$404,"○",$F$15:$F$404,"小学生",$M$15:$M$404,"宿泊")</f>
        <v>0</v>
      </c>
      <c r="BZ28" s="1896"/>
      <c r="CA28" s="1897">
        <f>COUNTIFS($G$15:$G$404,"○",$F$15:$F$404,"小学生",$R$15:$R$404,"宿泊")</f>
        <v>0</v>
      </c>
      <c r="CB28" s="1894"/>
      <c r="CC28" s="1895">
        <f>COUNTIFS($H$15:$H$404,"○",$F$15:$F$404,"小学生",$R$15:$R$404,"宿泊")</f>
        <v>0</v>
      </c>
      <c r="CD28" s="1896"/>
      <c r="CE28" s="1897">
        <f>COUNTIFS($G$15:$G$404,"○",$F$15:$F$404,"小学生",$W$15:$W$404,"宿泊")</f>
        <v>0</v>
      </c>
      <c r="CF28" s="1894"/>
      <c r="CG28" s="1895">
        <f>COUNTIFS($H$15:$H$404,"○",$F$15:$F$404,"小学生",$W$15:$W$404,"宿泊")</f>
        <v>0</v>
      </c>
      <c r="CH28" s="1896"/>
      <c r="CI28" s="1897">
        <f>COUNTIFS($G$15:$G$404,"○",$F$15:$F$404,"小学生",$AB$15:$AB$404,"宿泊")</f>
        <v>0</v>
      </c>
      <c r="CJ28" s="1894"/>
      <c r="CK28" s="1895">
        <f>COUNTIFS($H$15:$H$404,"○",$F$15:$F$404,"小学生",$AB$15:$AB$404,"宿泊")</f>
        <v>0</v>
      </c>
      <c r="CL28" s="1896"/>
      <c r="CM28" s="1897">
        <f>COUNTIFS($G$15:$G$404,"○",$F$15:$F$404,"小学生",$AG$15:$AG$404,"宿泊")</f>
        <v>0</v>
      </c>
      <c r="CN28" s="1894"/>
      <c r="CO28" s="1895">
        <f>COUNTIFS($H$15:$H$404,"○",$F$15:$F$404,"小学生",$AG$15:$AG$404,"宿泊")</f>
        <v>0</v>
      </c>
      <c r="CP28" s="1896"/>
    </row>
    <row r="29" spans="1:94" ht="14.1" customHeight="1" x14ac:dyDescent="0.15">
      <c r="A29" s="652" t="str">
        <f t="shared" ref="A29" si="108">IF(AND(D29="",D31&lt;&gt;""),"×","○")</f>
        <v>○</v>
      </c>
      <c r="B29" s="2174" t="str">
        <f t="shared" ref="B29" si="109">IF(AND(AT29="○",BB29="○",BC29="○",A29="○"),"○","×")</f>
        <v>○</v>
      </c>
      <c r="C29" s="2116">
        <v>8</v>
      </c>
      <c r="D29" s="2006"/>
      <c r="E29" s="2004"/>
      <c r="F29" s="2041"/>
      <c r="G29" s="2123"/>
      <c r="H29" s="2109"/>
      <c r="I29" s="2141"/>
      <c r="J29" s="2142"/>
      <c r="K29" s="2104"/>
      <c r="L29" s="2140"/>
      <c r="M29" s="2110"/>
      <c r="N29" s="2111"/>
      <c r="O29" s="2108"/>
      <c r="P29" s="2108"/>
      <c r="Q29" s="2109"/>
      <c r="R29" s="2110"/>
      <c r="S29" s="2111"/>
      <c r="T29" s="2108"/>
      <c r="U29" s="2108"/>
      <c r="V29" s="2109"/>
      <c r="W29" s="2110"/>
      <c r="X29" s="2111"/>
      <c r="Y29" s="2108"/>
      <c r="Z29" s="2108"/>
      <c r="AA29" s="2109"/>
      <c r="AB29" s="2110"/>
      <c r="AC29" s="2111"/>
      <c r="AD29" s="2108"/>
      <c r="AE29" s="2108"/>
      <c r="AF29" s="2109"/>
      <c r="AG29" s="2110"/>
      <c r="AH29" s="2111"/>
      <c r="AI29" s="2108"/>
      <c r="AJ29" s="2108"/>
      <c r="AK29" s="2038"/>
      <c r="AL29" s="2039"/>
      <c r="AM29" s="2039"/>
      <c r="AN29" s="2040"/>
      <c r="AO29" s="2008"/>
      <c r="AP29" s="2009"/>
      <c r="AQ29" s="2009"/>
      <c r="AR29" s="2010"/>
      <c r="AS29" s="651"/>
      <c r="AT29" s="652" t="str">
        <f t="shared" ref="AT29" si="110">IF(OR(AND(D29&lt;&gt;"",OR(AND(E29&lt;&gt;"",F29&lt;&gt;"",OR(G29&lt;&gt;"",H29&lt;&gt;"")),AND(E29="",F29="バス・カメラマン等"))),AND(D29="",E29="",F29="",OR(G29="",H29=""))),"○","×")</f>
        <v>○</v>
      </c>
      <c r="AU29" s="1983" t="str">
        <f t="shared" ref="AU29" si="111">IF(AND(E29&lt;&gt;"",E29&lt;=2),"2歳児以下","")</f>
        <v/>
      </c>
      <c r="AV29" s="1983" t="str">
        <f t="shared" ref="AV29" si="112">IF(OR(AND(3&lt;=E29,E29&lt;=6),COUNTIF(E29, "幼*"),COUNTIF(E29, "年少"),COUNTIF(E29, "年中"),COUNTIF(E29, "年長")),"3歳-学齢前","")</f>
        <v/>
      </c>
      <c r="AW29" s="1983" t="str">
        <f t="shared" ref="AW29" si="113">IF(OR(AND(6&lt;=E29,E29&lt;=12),COUNTIF(E29, "小*")),"小学生","")</f>
        <v/>
      </c>
      <c r="AX29" s="1983" t="str">
        <f t="shared" ref="AX29" si="114">IF(OR(AND(12&lt;=E29,E29&lt;=15),COUNTIF(E29, "中*")),"中学生","")</f>
        <v/>
      </c>
      <c r="AY29" s="1983" t="str">
        <f t="shared" ref="AY29" si="115">IF(OR(AND(15&lt;=E29,E29&lt;=18),COUNTIF(E29, "高*")),"高校生(～18歳)","")</f>
        <v/>
      </c>
      <c r="AZ29" s="1983" t="str">
        <f t="shared" ref="AZ29" si="116">IF(OR(19&lt;=E29,COUNTIF(E29, "大*"),COUNTIF(E29, "*院*"),COUNTIF(E29, "*専*")),"一般(19歳～)","")</f>
        <v/>
      </c>
      <c r="BA29" s="1983" t="s">
        <v>475</v>
      </c>
      <c r="BB29" s="652" t="str">
        <f t="shared" ref="BB29" si="117">IF(OR(AND(D29="",I29="",M29="",R29="",W29="",AB29="",AG29=""),AND(D29&lt;&gt;"",OR(I29&lt;&gt;"",M29&lt;&gt;"",R29&lt;&gt;"",W29&lt;&gt;"",AB29&lt;&gt;"",AG29&lt;&gt;""))),"○","×")</f>
        <v>○</v>
      </c>
      <c r="BC29" s="652" t="str">
        <f t="shared" ref="BC29" si="118">IF(AND(BD29="○",BE29="○",BF29="○",BG29="○",BH29="○",BI29="○"),"○","×")</f>
        <v>○</v>
      </c>
      <c r="BD29" s="653" t="str">
        <f t="shared" ref="BD29" si="119">IF(AND($I$7=" ",OR(I29&lt;&gt;"",K29&lt;&gt;"",L29&lt;&gt;"")),"×","○")</f>
        <v>○</v>
      </c>
      <c r="BE29" s="653" t="str">
        <f t="shared" ref="BE29" si="120">IF(AND($M$7=" ",OR(M29&lt;&gt;"",O29&lt;&gt;"",P29&lt;&gt;"",Q29&lt;&gt;"")),"×","○")</f>
        <v>○</v>
      </c>
      <c r="BF29" s="653" t="str">
        <f t="shared" ref="BF29" si="121">IF(AND($R$7=" ",OR(R29&lt;&gt;"",T29&lt;&gt;"",U29&lt;&gt;"",V29&lt;&gt;"")),"×","○")</f>
        <v>○</v>
      </c>
      <c r="BG29" s="653" t="str">
        <f t="shared" ref="BG29" si="122">IF(AND($W$7=" ",OR(W29&lt;&gt;"",Y29&lt;&gt;"",Z29&lt;&gt;"",AA29&lt;&gt;"")),"×","○")</f>
        <v>○</v>
      </c>
      <c r="BH29" s="653" t="str">
        <f t="shared" ref="BH29" si="123">IF(AND($AB$7=" ",OR(AB29&lt;&gt;"",AD29&lt;&gt;"",AE29&lt;&gt;"",AF29&lt;&gt;"")),"×","○")</f>
        <v>○</v>
      </c>
      <c r="BI29" s="653" t="str">
        <f t="shared" ref="BI29" si="124">IF(AND($AG$7=" ",OR(AG29&lt;&gt;"",AI29&lt;&gt;"",AJ29&lt;&gt;"")),"×","○")</f>
        <v>○</v>
      </c>
      <c r="BJ29" s="2225" t="e">
        <f t="shared" ref="BJ29" si="125">SUMPRODUCT(1/COUNTIF(I29:AH29,"宿泊"))</f>
        <v>#DIV/0!</v>
      </c>
      <c r="BK29" s="2226" t="e">
        <f t="shared" ref="BK29" si="126">SUMPRODUCT(1/COUNTIF(I29:AH29,"日帰り"))</f>
        <v>#DIV/0!</v>
      </c>
      <c r="BL29" s="1381">
        <f t="shared" ref="BL29" si="127">COUNT(BJ29)-COUNT(BK29)</f>
        <v>0</v>
      </c>
      <c r="BM29" s="684"/>
      <c r="BO29" s="1891" t="s">
        <v>85</v>
      </c>
      <c r="BP29" s="1930"/>
      <c r="BQ29" s="1930"/>
      <c r="BR29" s="1931"/>
      <c r="BS29" s="1893">
        <f>COUNTIFS($G$15:$G$404,"○",$F$15:$F$404,"中学生",$I$15:$I$404,"宿泊")</f>
        <v>0</v>
      </c>
      <c r="BT29" s="1894"/>
      <c r="BU29" s="1895">
        <f>COUNTIFS($H$15:$H$404,"○",$F$15:$F$404,"中学生",$I$15:$I$404,"宿泊")</f>
        <v>0</v>
      </c>
      <c r="BV29" s="1896"/>
      <c r="BW29" s="1897">
        <f>COUNTIFS($G$15:$G$404,"○",$F$15:$F$404,"中学生",$M$15:$M$404,"宿泊")</f>
        <v>0</v>
      </c>
      <c r="BX29" s="1894"/>
      <c r="BY29" s="1895">
        <f>COUNTIFS($H$15:$H$404,"○",$F$15:$F$404,"中学生",$M$15:$M$404,"宿泊")</f>
        <v>0</v>
      </c>
      <c r="BZ29" s="1896"/>
      <c r="CA29" s="1897">
        <f>COUNTIFS($G$15:$G$404,"○",$F$15:$F$404,"中学生",$R$15:$R$404,"宿泊")</f>
        <v>0</v>
      </c>
      <c r="CB29" s="1894"/>
      <c r="CC29" s="1895">
        <f>COUNTIFS($H$15:$H$404,"○",$F$15:$F$404,"中学生",$R$15:$R$404,"宿泊")</f>
        <v>0</v>
      </c>
      <c r="CD29" s="1896"/>
      <c r="CE29" s="1897">
        <f>COUNTIFS($G$15:$G$404,"○",$F$15:$F$404,"中学生",$W$15:$W$404,"宿泊")</f>
        <v>0</v>
      </c>
      <c r="CF29" s="1894"/>
      <c r="CG29" s="1895">
        <f>COUNTIFS($H$15:$H$404,"○",$F$15:$F$404,"中学生",$W$15:$W$404,"宿泊")</f>
        <v>0</v>
      </c>
      <c r="CH29" s="1896"/>
      <c r="CI29" s="1897">
        <f>COUNTIFS($G$15:$G$404,"○",$F$15:$F$404,"中学生",$AB$15:$AB$404,"宿泊")</f>
        <v>0</v>
      </c>
      <c r="CJ29" s="1894"/>
      <c r="CK29" s="1895">
        <f>COUNTIFS($H$15:$H$404,"○",$F$15:$F$404,"中学生",$AB$15:$AB$404,"宿泊")</f>
        <v>0</v>
      </c>
      <c r="CL29" s="1896"/>
      <c r="CM29" s="1897">
        <f>COUNTIFS($G$15:$G$404,"○",$F$15:$F$404,"中学生",$AG$15:$AG$404,"宿泊")</f>
        <v>0</v>
      </c>
      <c r="CN29" s="1894"/>
      <c r="CO29" s="1895">
        <f>COUNTIFS($H$15:$H$404,"○",$F$15:$F$404,"中学生",$AG$15:$AG$404,"宿泊")</f>
        <v>0</v>
      </c>
      <c r="CP29" s="1896"/>
    </row>
    <row r="30" spans="1:94" ht="14.1" customHeight="1" x14ac:dyDescent="0.15">
      <c r="A30" s="652"/>
      <c r="B30" s="2174"/>
      <c r="C30" s="2117"/>
      <c r="D30" s="2007"/>
      <c r="E30" s="2005"/>
      <c r="F30" s="2042"/>
      <c r="G30" s="2119"/>
      <c r="H30" s="2107"/>
      <c r="I30" s="2112"/>
      <c r="J30" s="2113"/>
      <c r="K30" s="2105"/>
      <c r="L30" s="2127"/>
      <c r="M30" s="2112"/>
      <c r="N30" s="2113"/>
      <c r="O30" s="2105"/>
      <c r="P30" s="2105"/>
      <c r="Q30" s="2107"/>
      <c r="R30" s="2112"/>
      <c r="S30" s="2113"/>
      <c r="T30" s="2105"/>
      <c r="U30" s="2105"/>
      <c r="V30" s="2107"/>
      <c r="W30" s="2112"/>
      <c r="X30" s="2113"/>
      <c r="Y30" s="2105"/>
      <c r="Z30" s="2105"/>
      <c r="AA30" s="2107"/>
      <c r="AB30" s="2112"/>
      <c r="AC30" s="2113"/>
      <c r="AD30" s="2105"/>
      <c r="AE30" s="2105"/>
      <c r="AF30" s="2107"/>
      <c r="AG30" s="2112"/>
      <c r="AH30" s="2113"/>
      <c r="AI30" s="2105"/>
      <c r="AJ30" s="2105"/>
      <c r="AK30" s="2011"/>
      <c r="AL30" s="2012"/>
      <c r="AM30" s="2012"/>
      <c r="AN30" s="2013"/>
      <c r="AO30" s="2011"/>
      <c r="AP30" s="2012"/>
      <c r="AQ30" s="2012"/>
      <c r="AR30" s="2013"/>
      <c r="AS30" s="651"/>
      <c r="AT30" s="652"/>
      <c r="AU30" s="1983"/>
      <c r="AV30" s="1983"/>
      <c r="AW30" s="1983"/>
      <c r="AX30" s="1983"/>
      <c r="AY30" s="1983"/>
      <c r="AZ30" s="1983"/>
      <c r="BA30" s="1983"/>
      <c r="BB30" s="654"/>
      <c r="BC30" s="654"/>
      <c r="BD30" s="652"/>
      <c r="BE30" s="652"/>
      <c r="BF30" s="652"/>
      <c r="BG30" s="652"/>
      <c r="BH30" s="652"/>
      <c r="BI30" s="652"/>
      <c r="BJ30" s="2225"/>
      <c r="BK30" s="2226"/>
      <c r="BL30" s="1381"/>
      <c r="BM30" s="684"/>
      <c r="BO30" s="1891" t="s">
        <v>325</v>
      </c>
      <c r="BP30" s="1930"/>
      <c r="BQ30" s="1930"/>
      <c r="BR30" s="1931"/>
      <c r="BS30" s="1893">
        <f>COUNTIFS($G$15:$G$404,"○",$F$15:$F$404,"高校生(～18歳)",$I$15:$I$404,"宿泊")</f>
        <v>0</v>
      </c>
      <c r="BT30" s="1894"/>
      <c r="BU30" s="1895">
        <f>COUNTIFS($H$15:$H$404,"○",$F$15:$F$404,"高校生(～18歳)",$I$15:$I$404,"宿泊")</f>
        <v>0</v>
      </c>
      <c r="BV30" s="1896"/>
      <c r="BW30" s="1897">
        <f>COUNTIFS($G$15:$G$404,"○",$F$15:$F$404,"高校生(～18歳)",$M$15:$M$404,"宿泊")</f>
        <v>0</v>
      </c>
      <c r="BX30" s="1894"/>
      <c r="BY30" s="1895">
        <f>COUNTIFS($H$15:$H$404,"○",$F$15:$F$404,"高校生(～18歳)",$M$15:$M$404,"宿泊")</f>
        <v>0</v>
      </c>
      <c r="BZ30" s="1896"/>
      <c r="CA30" s="1897">
        <f>COUNTIFS($G$15:$G$404,"○",$F$15:$F$404,"高校生(～18歳)",$R$15:$R$404,"宿泊")</f>
        <v>0</v>
      </c>
      <c r="CB30" s="1894"/>
      <c r="CC30" s="1895">
        <f>COUNTIFS($H$15:$H$404,"○",$F$15:$F$404,"高校生(～18歳)",$R$15:$R$404,"宿泊")</f>
        <v>0</v>
      </c>
      <c r="CD30" s="1896"/>
      <c r="CE30" s="1897">
        <f>COUNTIFS($G$15:$G$404,"○",$F$15:$F$404,"高校生(～18歳)",$W$15:$W$404,"宿泊")</f>
        <v>0</v>
      </c>
      <c r="CF30" s="1894"/>
      <c r="CG30" s="1895">
        <f>COUNTIFS($H$15:$H$404,"○",$F$15:$F$404,"高校生(～18歳)",$W$15:$W$404,"宿泊")</f>
        <v>0</v>
      </c>
      <c r="CH30" s="1896"/>
      <c r="CI30" s="1897">
        <f>COUNTIFS($G$15:$G$404,"○",$F$15:$F$404,"高校生(～18歳)",$AB$15:$AB$404,"宿泊")</f>
        <v>0</v>
      </c>
      <c r="CJ30" s="1894"/>
      <c r="CK30" s="1895">
        <f>COUNTIFS($H$15:$H$404,"○",$F$15:$F$404,"高校生(～18歳)",$AB$15:$AB$404,"宿泊")</f>
        <v>0</v>
      </c>
      <c r="CL30" s="1896"/>
      <c r="CM30" s="1897">
        <f>COUNTIFS($G$15:$G$404,"○",$F$15:$F$404,"高校生(～18歳)",$AG$15:$AG$404,"宿泊")</f>
        <v>0</v>
      </c>
      <c r="CN30" s="1894"/>
      <c r="CO30" s="1895">
        <f>COUNTIFS($H$15:$H$404,"○",$F$15:$F$404,"高校生(～18歳)",$AG$15:$AG$404,"宿泊")</f>
        <v>0</v>
      </c>
      <c r="CP30" s="1896"/>
    </row>
    <row r="31" spans="1:94" ht="14.1" customHeight="1" x14ac:dyDescent="0.15">
      <c r="A31" s="652" t="str">
        <f t="shared" ref="A31" si="128">IF(AND(D31="",D33&lt;&gt;""),"×","○")</f>
        <v>○</v>
      </c>
      <c r="B31" s="2174" t="str">
        <f t="shared" ref="B31" si="129">IF(AND(AT31="○",BB31="○",BC31="○",A31="○"),"○","×")</f>
        <v>○</v>
      </c>
      <c r="C31" s="2116">
        <v>9</v>
      </c>
      <c r="D31" s="2006"/>
      <c r="E31" s="2004"/>
      <c r="F31" s="2041"/>
      <c r="G31" s="2123"/>
      <c r="H31" s="2109"/>
      <c r="I31" s="2141"/>
      <c r="J31" s="2142"/>
      <c r="K31" s="2104"/>
      <c r="L31" s="2140"/>
      <c r="M31" s="2110"/>
      <c r="N31" s="2111"/>
      <c r="O31" s="2108"/>
      <c r="P31" s="2108"/>
      <c r="Q31" s="2109"/>
      <c r="R31" s="2110"/>
      <c r="S31" s="2111"/>
      <c r="T31" s="2108"/>
      <c r="U31" s="2108"/>
      <c r="V31" s="2109"/>
      <c r="W31" s="2110"/>
      <c r="X31" s="2111"/>
      <c r="Y31" s="2108"/>
      <c r="Z31" s="2108"/>
      <c r="AA31" s="2109"/>
      <c r="AB31" s="2110"/>
      <c r="AC31" s="2111"/>
      <c r="AD31" s="2108"/>
      <c r="AE31" s="2108"/>
      <c r="AF31" s="2109"/>
      <c r="AG31" s="2110"/>
      <c r="AH31" s="2111"/>
      <c r="AI31" s="2108"/>
      <c r="AJ31" s="2108"/>
      <c r="AK31" s="2038"/>
      <c r="AL31" s="2039"/>
      <c r="AM31" s="2039"/>
      <c r="AN31" s="2040"/>
      <c r="AO31" s="2008"/>
      <c r="AP31" s="2009"/>
      <c r="AQ31" s="2009"/>
      <c r="AR31" s="2010"/>
      <c r="AS31" s="651"/>
      <c r="AT31" s="652" t="str">
        <f t="shared" ref="AT31" si="130">IF(OR(AND(D31&lt;&gt;"",OR(AND(E31&lt;&gt;"",F31&lt;&gt;"",OR(G31&lt;&gt;"",H31&lt;&gt;"")),AND(E31="",F31="バス・カメラマン等"))),AND(D31="",E31="",F31="",OR(G31="",H31=""))),"○","×")</f>
        <v>○</v>
      </c>
      <c r="AU31" s="1983" t="str">
        <f t="shared" ref="AU31" si="131">IF(AND(E31&lt;&gt;"",E31&lt;=2),"2歳児以下","")</f>
        <v/>
      </c>
      <c r="AV31" s="1983" t="str">
        <f t="shared" ref="AV31" si="132">IF(OR(AND(3&lt;=E31,E31&lt;=6),COUNTIF(E31, "幼*"),COUNTIF(E31, "年少"),COUNTIF(E31, "年中"),COUNTIF(E31, "年長")),"3歳-学齢前","")</f>
        <v/>
      </c>
      <c r="AW31" s="1983" t="str">
        <f t="shared" ref="AW31" si="133">IF(OR(AND(6&lt;=E31,E31&lt;=12),COUNTIF(E31, "小*")),"小学生","")</f>
        <v/>
      </c>
      <c r="AX31" s="1983" t="str">
        <f t="shared" ref="AX31" si="134">IF(OR(AND(12&lt;=E31,E31&lt;=15),COUNTIF(E31, "中*")),"中学生","")</f>
        <v/>
      </c>
      <c r="AY31" s="1983" t="str">
        <f t="shared" ref="AY31" si="135">IF(OR(AND(15&lt;=E31,E31&lt;=18),COUNTIF(E31, "高*")),"高校生(～18歳)","")</f>
        <v/>
      </c>
      <c r="AZ31" s="1983" t="str">
        <f t="shared" ref="AZ31" si="136">IF(OR(19&lt;=E31,COUNTIF(E31, "大*"),COUNTIF(E31, "*院*"),COUNTIF(E31, "*専*")),"一般(19歳～)","")</f>
        <v/>
      </c>
      <c r="BA31" s="1983" t="s">
        <v>475</v>
      </c>
      <c r="BB31" s="652" t="str">
        <f t="shared" ref="BB31" si="137">IF(OR(AND(D31="",I31="",M31="",R31="",W31="",AB31="",AG31=""),AND(D31&lt;&gt;"",OR(I31&lt;&gt;"",M31&lt;&gt;"",R31&lt;&gt;"",W31&lt;&gt;"",AB31&lt;&gt;"",AG31&lt;&gt;""))),"○","×")</f>
        <v>○</v>
      </c>
      <c r="BC31" s="652" t="str">
        <f t="shared" ref="BC31" si="138">IF(AND(BD31="○",BE31="○",BF31="○",BG31="○",BH31="○",BI31="○"),"○","×")</f>
        <v>○</v>
      </c>
      <c r="BD31" s="653" t="str">
        <f t="shared" ref="BD31" si="139">IF(AND($I$7=" ",OR(I31&lt;&gt;"",K31&lt;&gt;"",L31&lt;&gt;"")),"×","○")</f>
        <v>○</v>
      </c>
      <c r="BE31" s="653" t="str">
        <f t="shared" ref="BE31" si="140">IF(AND($M$7=" ",OR(M31&lt;&gt;"",O31&lt;&gt;"",P31&lt;&gt;"",Q31&lt;&gt;"")),"×","○")</f>
        <v>○</v>
      </c>
      <c r="BF31" s="653" t="str">
        <f t="shared" ref="BF31" si="141">IF(AND($R$7=" ",OR(R31&lt;&gt;"",T31&lt;&gt;"",U31&lt;&gt;"",V31&lt;&gt;"")),"×","○")</f>
        <v>○</v>
      </c>
      <c r="BG31" s="653" t="str">
        <f t="shared" ref="BG31" si="142">IF(AND($W$7=" ",OR(W31&lt;&gt;"",Y31&lt;&gt;"",Z31&lt;&gt;"",AA31&lt;&gt;"")),"×","○")</f>
        <v>○</v>
      </c>
      <c r="BH31" s="653" t="str">
        <f t="shared" ref="BH31" si="143">IF(AND($AB$7=" ",OR(AB31&lt;&gt;"",AD31&lt;&gt;"",AE31&lt;&gt;"",AF31&lt;&gt;"")),"×","○")</f>
        <v>○</v>
      </c>
      <c r="BI31" s="653" t="str">
        <f t="shared" ref="BI31" si="144">IF(AND($AG$7=" ",OR(AG31&lt;&gt;"",AI31&lt;&gt;"",AJ31&lt;&gt;"")),"×","○")</f>
        <v>○</v>
      </c>
      <c r="BJ31" s="2225" t="e">
        <f t="shared" ref="BJ31" si="145">SUMPRODUCT(1/COUNTIF(I31:AH31,"宿泊"))</f>
        <v>#DIV/0!</v>
      </c>
      <c r="BK31" s="2226" t="e">
        <f t="shared" ref="BK31" si="146">SUMPRODUCT(1/COUNTIF(I31:AH31,"日帰り"))</f>
        <v>#DIV/0!</v>
      </c>
      <c r="BL31" s="1381">
        <f t="shared" ref="BL31" si="147">COUNT(BJ31)-COUNT(BK31)</f>
        <v>0</v>
      </c>
      <c r="BM31" s="684"/>
      <c r="BO31" s="1891" t="s">
        <v>326</v>
      </c>
      <c r="BP31" s="1930"/>
      <c r="BQ31" s="1930"/>
      <c r="BR31" s="1931"/>
      <c r="BS31" s="1893">
        <f>COUNTIFS($G$15:$G$404,"○",$F$15:$F$404,"一般(19歳～)",$I$15:$I$404,"宿泊")</f>
        <v>0</v>
      </c>
      <c r="BT31" s="1894"/>
      <c r="BU31" s="1895">
        <f>COUNTIFS($H$15:$H$404,"○",$F$15:$F$404,"一般(19歳～)",$I$15:$I$404,"宿泊")</f>
        <v>0</v>
      </c>
      <c r="BV31" s="1896"/>
      <c r="BW31" s="1897">
        <f>COUNTIFS($G$15:$G$404,"○",$F$15:$F$404,"一般(19歳～)",$M$15:$M$404,"宿泊")</f>
        <v>0</v>
      </c>
      <c r="BX31" s="1894"/>
      <c r="BY31" s="1895">
        <f>COUNTIFS($H$15:$H$404,"○",$F$15:$F$404,"一般(19歳～)",$M$15:$M$404,"宿泊")</f>
        <v>0</v>
      </c>
      <c r="BZ31" s="1896"/>
      <c r="CA31" s="1897">
        <f>COUNTIFS($G$15:$G$404,"○",$F$15:$F$404,"一般(19歳～)",$R$15:$R$404,"宿泊")</f>
        <v>0</v>
      </c>
      <c r="CB31" s="1894"/>
      <c r="CC31" s="1895">
        <f>COUNTIFS($H$15:$H$404,"○",$F$15:$F$404,"一般(19歳～)",$R$15:$R$404,"宿泊")</f>
        <v>0</v>
      </c>
      <c r="CD31" s="1896"/>
      <c r="CE31" s="1897">
        <f>COUNTIFS($G$15:$G$404,"○",$F$15:$F$404,"一般(19歳～)",$W$15:$W$404,"宿泊")</f>
        <v>0</v>
      </c>
      <c r="CF31" s="1894"/>
      <c r="CG31" s="1895">
        <f>COUNTIFS($H$15:$H$404,"○",$F$15:$F$404,"一般(19歳～)",$W$15:$W$404,"宿泊")</f>
        <v>0</v>
      </c>
      <c r="CH31" s="1896"/>
      <c r="CI31" s="1897">
        <f>COUNTIFS($G$15:$G$404,"○",$F$15:$F$404,"一般(19歳～)",$AB$15:$AB$404,"宿泊")</f>
        <v>0</v>
      </c>
      <c r="CJ31" s="1894"/>
      <c r="CK31" s="1895">
        <f>COUNTIFS($H$15:$H$404,"○",$F$15:$F$404,"一般(19歳～)",$AB$15:$AB$404,"宿泊")</f>
        <v>0</v>
      </c>
      <c r="CL31" s="1896"/>
      <c r="CM31" s="1897">
        <f>COUNTIFS($G$15:$G$404,"○",$F$15:$F$404,"一般(19歳～)",$AG$15:$AG$404,"宿泊")</f>
        <v>0</v>
      </c>
      <c r="CN31" s="1894"/>
      <c r="CO31" s="1895">
        <f>COUNTIFS($H$15:$H$404,"○",$F$15:$F$404,"一般(19歳～)",$AG$15:$AG$404,"宿泊")</f>
        <v>0</v>
      </c>
      <c r="CP31" s="1896"/>
    </row>
    <row r="32" spans="1:94" ht="14.1" customHeight="1" thickBot="1" x14ac:dyDescent="0.2">
      <c r="A32" s="652"/>
      <c r="B32" s="2174"/>
      <c r="C32" s="2117"/>
      <c r="D32" s="2007"/>
      <c r="E32" s="2005"/>
      <c r="F32" s="2042"/>
      <c r="G32" s="2119"/>
      <c r="H32" s="2107"/>
      <c r="I32" s="2112"/>
      <c r="J32" s="2113"/>
      <c r="K32" s="2105"/>
      <c r="L32" s="2127"/>
      <c r="M32" s="2112"/>
      <c r="N32" s="2113"/>
      <c r="O32" s="2105"/>
      <c r="P32" s="2105"/>
      <c r="Q32" s="2107"/>
      <c r="R32" s="2112"/>
      <c r="S32" s="2113"/>
      <c r="T32" s="2105"/>
      <c r="U32" s="2105"/>
      <c r="V32" s="2107"/>
      <c r="W32" s="2112"/>
      <c r="X32" s="2113"/>
      <c r="Y32" s="2105"/>
      <c r="Z32" s="2105"/>
      <c r="AA32" s="2107"/>
      <c r="AB32" s="2112"/>
      <c r="AC32" s="2113"/>
      <c r="AD32" s="2105"/>
      <c r="AE32" s="2105"/>
      <c r="AF32" s="2107"/>
      <c r="AG32" s="2112"/>
      <c r="AH32" s="2113"/>
      <c r="AI32" s="2105"/>
      <c r="AJ32" s="2105"/>
      <c r="AK32" s="2011"/>
      <c r="AL32" s="2012"/>
      <c r="AM32" s="2012"/>
      <c r="AN32" s="2013"/>
      <c r="AO32" s="2011"/>
      <c r="AP32" s="2012"/>
      <c r="AQ32" s="2012"/>
      <c r="AR32" s="2013"/>
      <c r="AS32" s="651"/>
      <c r="AT32" s="652"/>
      <c r="AU32" s="1983"/>
      <c r="AV32" s="1983"/>
      <c r="AW32" s="1983"/>
      <c r="AX32" s="1983"/>
      <c r="AY32" s="1983"/>
      <c r="AZ32" s="1983"/>
      <c r="BA32" s="1983"/>
      <c r="BB32" s="654"/>
      <c r="BC32" s="654"/>
      <c r="BD32" s="652"/>
      <c r="BE32" s="652"/>
      <c r="BF32" s="652"/>
      <c r="BG32" s="652"/>
      <c r="BH32" s="652"/>
      <c r="BI32" s="652"/>
      <c r="BJ32" s="2225"/>
      <c r="BK32" s="2226"/>
      <c r="BL32" s="1381"/>
      <c r="BM32" s="684"/>
      <c r="BO32" s="1932" t="s">
        <v>515</v>
      </c>
      <c r="BP32" s="1933"/>
      <c r="BQ32" s="1933"/>
      <c r="BR32" s="1934"/>
      <c r="BS32" s="1920">
        <f>COUNTIFS($G$15:$G$404,"○",$F$15:$F$404,"バス・カメラマン等",$I$15:$I$404,"宿泊")</f>
        <v>0</v>
      </c>
      <c r="BT32" s="1921"/>
      <c r="BU32" s="1922">
        <f>COUNTIFS($H$15:$H$404,"○",$F$15:$F$404,"バス・カメラマン等",$I$15:$I$404,"宿泊")</f>
        <v>0</v>
      </c>
      <c r="BV32" s="1923"/>
      <c r="BW32" s="1924">
        <f>COUNTIFS($G$15:$G$404,"○",$F$15:$F$404,"バス・カメラマン等",$M$15:$M$404,"宿泊")</f>
        <v>0</v>
      </c>
      <c r="BX32" s="1921"/>
      <c r="BY32" s="1922">
        <f>COUNTIFS($H$15:$H$404,"○",$F$15:$F$404,"バス・カメラマン等",$M$15:$M$404,"宿泊")</f>
        <v>0</v>
      </c>
      <c r="BZ32" s="1923"/>
      <c r="CA32" s="1924">
        <f>COUNTIFS($G$15:$G$404,"○",$F$15:$F$404,"バス・カメラマン等",$R$15:$R$404,"宿泊")</f>
        <v>0</v>
      </c>
      <c r="CB32" s="1921"/>
      <c r="CC32" s="1922">
        <f>COUNTIFS($H$15:$H$404,"○",$F$15:$F$404,"バス・カメラマン等",$R$15:$R$404,"宿泊")</f>
        <v>0</v>
      </c>
      <c r="CD32" s="1923"/>
      <c r="CE32" s="1924">
        <f>COUNTIFS($G$15:$G$404,"○",$F$15:$F$404,"バス・カメラマン等",$W$15:$W$404,"宿泊")</f>
        <v>0</v>
      </c>
      <c r="CF32" s="1921"/>
      <c r="CG32" s="1922">
        <f>COUNTIFS($H$15:$H$404,"○",$F$15:$F$404,"バス・カメラマン等",$W$15:$W$404,"宿泊")</f>
        <v>0</v>
      </c>
      <c r="CH32" s="1923"/>
      <c r="CI32" s="1924">
        <f>COUNTIFS($G$15:$G$404,"○",$F$15:$F$404,"バス・カメラマン等",$AB$15:$AB$404,"宿泊")</f>
        <v>0</v>
      </c>
      <c r="CJ32" s="1921"/>
      <c r="CK32" s="1922">
        <f>COUNTIFS($H$15:$H$404,"○",$F$15:$F$404,"バス・カメラマン等",$AB$15:$AB$404,"宿泊")</f>
        <v>0</v>
      </c>
      <c r="CL32" s="1923"/>
      <c r="CM32" s="1924">
        <f>COUNTIFS($G$15:$G$404,"○",$F$15:$F$404,"バス・カメラマン等",$AG$15:$AG$404,"宿泊")</f>
        <v>0</v>
      </c>
      <c r="CN32" s="1921"/>
      <c r="CO32" s="1922">
        <f>COUNTIFS($H$15:$H$404,"○",$F$15:$F$404,"バス・カメラマン等",$AG$15:$AG$404,"宿泊")</f>
        <v>0</v>
      </c>
      <c r="CP32" s="1923"/>
    </row>
    <row r="33" spans="1:94" ht="14.1" customHeight="1" thickBot="1" x14ac:dyDescent="0.2">
      <c r="A33" s="652" t="str">
        <f t="shared" ref="A33" si="148">IF(AND(D33="",D35&lt;&gt;""),"×","○")</f>
        <v>○</v>
      </c>
      <c r="B33" s="2174" t="str">
        <f t="shared" ref="B33" si="149">IF(AND(AT33="○",BB33="○",BC33="○",A33="○"),"○","×")</f>
        <v>○</v>
      </c>
      <c r="C33" s="2116">
        <v>10</v>
      </c>
      <c r="D33" s="2006"/>
      <c r="E33" s="2004"/>
      <c r="F33" s="2041"/>
      <c r="G33" s="2123"/>
      <c r="H33" s="2109"/>
      <c r="I33" s="2141"/>
      <c r="J33" s="2142"/>
      <c r="K33" s="2104"/>
      <c r="L33" s="2140"/>
      <c r="M33" s="2110"/>
      <c r="N33" s="2111"/>
      <c r="O33" s="2108"/>
      <c r="P33" s="2108"/>
      <c r="Q33" s="2109"/>
      <c r="R33" s="2110"/>
      <c r="S33" s="2111"/>
      <c r="T33" s="2108"/>
      <c r="U33" s="2108"/>
      <c r="V33" s="2109"/>
      <c r="W33" s="2110"/>
      <c r="X33" s="2111"/>
      <c r="Y33" s="2108"/>
      <c r="Z33" s="2108"/>
      <c r="AA33" s="2109"/>
      <c r="AB33" s="2110"/>
      <c r="AC33" s="2111"/>
      <c r="AD33" s="2108"/>
      <c r="AE33" s="2108"/>
      <c r="AF33" s="2109"/>
      <c r="AG33" s="2110"/>
      <c r="AH33" s="2111"/>
      <c r="AI33" s="2108"/>
      <c r="AJ33" s="2108"/>
      <c r="AK33" s="2038"/>
      <c r="AL33" s="2039"/>
      <c r="AM33" s="2039"/>
      <c r="AN33" s="2040"/>
      <c r="AO33" s="2008"/>
      <c r="AP33" s="2009"/>
      <c r="AQ33" s="2009"/>
      <c r="AR33" s="2010"/>
      <c r="AS33" s="651"/>
      <c r="AT33" s="652" t="str">
        <f t="shared" ref="AT33" si="150">IF(OR(AND(D33&lt;&gt;"",OR(AND(E33&lt;&gt;"",F33&lt;&gt;"",OR(G33&lt;&gt;"",H33&lt;&gt;"")),AND(E33="",F33="バス・カメラマン等"))),AND(D33="",E33="",F33="",OR(G33="",H33=""))),"○","×")</f>
        <v>○</v>
      </c>
      <c r="AU33" s="1983" t="str">
        <f t="shared" ref="AU33" si="151">IF(AND(E33&lt;&gt;"",E33&lt;=2),"2歳児以下","")</f>
        <v/>
      </c>
      <c r="AV33" s="1983" t="str">
        <f t="shared" ref="AV33" si="152">IF(OR(AND(3&lt;=E33,E33&lt;=6),COUNTIF(E33, "幼*"),COUNTIF(E33, "年少"),COUNTIF(E33, "年中"),COUNTIF(E33, "年長")),"3歳-学齢前","")</f>
        <v/>
      </c>
      <c r="AW33" s="1983" t="str">
        <f t="shared" ref="AW33" si="153">IF(OR(AND(6&lt;=E33,E33&lt;=12),COUNTIF(E33, "小*")),"小学生","")</f>
        <v/>
      </c>
      <c r="AX33" s="1983" t="str">
        <f t="shared" ref="AX33" si="154">IF(OR(AND(12&lt;=E33,E33&lt;=15),COUNTIF(E33, "中*")),"中学生","")</f>
        <v/>
      </c>
      <c r="AY33" s="1983" t="str">
        <f t="shared" ref="AY33" si="155">IF(OR(AND(15&lt;=E33,E33&lt;=18),COUNTIF(E33, "高*")),"高校生(～18歳)","")</f>
        <v/>
      </c>
      <c r="AZ33" s="1983" t="str">
        <f t="shared" ref="AZ33" si="156">IF(OR(19&lt;=E33,COUNTIF(E33, "大*"),COUNTIF(E33, "*院*"),COUNTIF(E33, "*専*")),"一般(19歳～)","")</f>
        <v/>
      </c>
      <c r="BA33" s="1983" t="s">
        <v>475</v>
      </c>
      <c r="BB33" s="652" t="str">
        <f t="shared" ref="BB33" si="157">IF(OR(AND(D33="",I33="",M33="",R33="",W33="",AB33="",AG33=""),AND(D33&lt;&gt;"",OR(I33&lt;&gt;"",M33&lt;&gt;"",R33&lt;&gt;"",W33&lt;&gt;"",AB33&lt;&gt;"",AG33&lt;&gt;""))),"○","×")</f>
        <v>○</v>
      </c>
      <c r="BC33" s="652" t="str">
        <f t="shared" ref="BC33" si="158">IF(AND(BD33="○",BE33="○",BF33="○",BG33="○",BH33="○",BI33="○"),"○","×")</f>
        <v>○</v>
      </c>
      <c r="BD33" s="653" t="str">
        <f t="shared" ref="BD33" si="159">IF(AND($I$7=" ",OR(I33&lt;&gt;"",K33&lt;&gt;"",L33&lt;&gt;"")),"×","○")</f>
        <v>○</v>
      </c>
      <c r="BE33" s="653" t="str">
        <f t="shared" ref="BE33" si="160">IF(AND($M$7=" ",OR(M33&lt;&gt;"",O33&lt;&gt;"",P33&lt;&gt;"",Q33&lt;&gt;"")),"×","○")</f>
        <v>○</v>
      </c>
      <c r="BF33" s="653" t="str">
        <f t="shared" ref="BF33" si="161">IF(AND($R$7=" ",OR(R33&lt;&gt;"",T33&lt;&gt;"",U33&lt;&gt;"",V33&lt;&gt;"")),"×","○")</f>
        <v>○</v>
      </c>
      <c r="BG33" s="653" t="str">
        <f t="shared" ref="BG33" si="162">IF(AND($W$7=" ",OR(W33&lt;&gt;"",Y33&lt;&gt;"",Z33&lt;&gt;"",AA33&lt;&gt;"")),"×","○")</f>
        <v>○</v>
      </c>
      <c r="BH33" s="653" t="str">
        <f t="shared" ref="BH33" si="163">IF(AND($AB$7=" ",OR(AB33&lt;&gt;"",AD33&lt;&gt;"",AE33&lt;&gt;"",AF33&lt;&gt;"")),"×","○")</f>
        <v>○</v>
      </c>
      <c r="BI33" s="653" t="str">
        <f t="shared" ref="BI33" si="164">IF(AND($AG$7=" ",OR(AG33&lt;&gt;"",AI33&lt;&gt;"",AJ33&lt;&gt;"")),"×","○")</f>
        <v>○</v>
      </c>
      <c r="BJ33" s="2225" t="e">
        <f t="shared" ref="BJ33" si="165">SUMPRODUCT(1/COUNTIF(I33:AH33,"宿泊"))</f>
        <v>#DIV/0!</v>
      </c>
      <c r="BK33" s="2226" t="e">
        <f t="shared" ref="BK33" si="166">SUMPRODUCT(1/COUNTIF(I33:AH33,"日帰り"))</f>
        <v>#DIV/0!</v>
      </c>
      <c r="BL33" s="1381">
        <f t="shared" ref="BL33" si="167">COUNT(BJ33)-COUNT(BK33)</f>
        <v>0</v>
      </c>
      <c r="BM33" s="684"/>
      <c r="BN33" s="666"/>
      <c r="BO33" s="666"/>
      <c r="BP33" s="665"/>
      <c r="BQ33" s="667"/>
      <c r="BR33" s="667"/>
      <c r="BS33" s="665"/>
      <c r="BT33" s="668"/>
      <c r="BU33" s="668"/>
      <c r="BV33" s="668"/>
      <c r="BW33" s="668"/>
      <c r="BX33" s="668"/>
      <c r="BY33" s="668"/>
      <c r="BZ33" s="668"/>
      <c r="CA33" s="668"/>
      <c r="CB33" s="668"/>
      <c r="CC33" s="668"/>
      <c r="CD33" s="668"/>
      <c r="CE33" s="668"/>
      <c r="CF33" s="668"/>
      <c r="CG33" s="668"/>
      <c r="CH33" s="668"/>
      <c r="CI33" s="668"/>
      <c r="CJ33" s="668"/>
      <c r="CK33" s="668"/>
      <c r="CL33" s="668"/>
      <c r="CM33" s="668"/>
      <c r="CN33" s="668"/>
      <c r="CO33" s="668"/>
      <c r="CP33" s="668"/>
    </row>
    <row r="34" spans="1:94" ht="14.1" customHeight="1" thickBot="1" x14ac:dyDescent="0.2">
      <c r="A34" s="652"/>
      <c r="B34" s="2174"/>
      <c r="C34" s="2117"/>
      <c r="D34" s="2007"/>
      <c r="E34" s="2005"/>
      <c r="F34" s="2042"/>
      <c r="G34" s="2119"/>
      <c r="H34" s="2107"/>
      <c r="I34" s="2112"/>
      <c r="J34" s="2113"/>
      <c r="K34" s="2105"/>
      <c r="L34" s="2127"/>
      <c r="M34" s="2112"/>
      <c r="N34" s="2113"/>
      <c r="O34" s="2105"/>
      <c r="P34" s="2105"/>
      <c r="Q34" s="2107"/>
      <c r="R34" s="2112"/>
      <c r="S34" s="2113"/>
      <c r="T34" s="2105"/>
      <c r="U34" s="2105"/>
      <c r="V34" s="2107"/>
      <c r="W34" s="2112"/>
      <c r="X34" s="2113"/>
      <c r="Y34" s="2105"/>
      <c r="Z34" s="2105"/>
      <c r="AA34" s="2107"/>
      <c r="AB34" s="2112"/>
      <c r="AC34" s="2113"/>
      <c r="AD34" s="2105"/>
      <c r="AE34" s="2105"/>
      <c r="AF34" s="2107"/>
      <c r="AG34" s="2112"/>
      <c r="AH34" s="2113"/>
      <c r="AI34" s="2105"/>
      <c r="AJ34" s="2105"/>
      <c r="AK34" s="2011"/>
      <c r="AL34" s="2012"/>
      <c r="AM34" s="2012"/>
      <c r="AN34" s="2013"/>
      <c r="AO34" s="2011"/>
      <c r="AP34" s="2012"/>
      <c r="AQ34" s="2012"/>
      <c r="AR34" s="2013"/>
      <c r="AS34" s="651"/>
      <c r="AT34" s="652"/>
      <c r="AU34" s="1983"/>
      <c r="AV34" s="1983"/>
      <c r="AW34" s="1983"/>
      <c r="AX34" s="1983"/>
      <c r="AY34" s="1983"/>
      <c r="AZ34" s="1983"/>
      <c r="BA34" s="1983"/>
      <c r="BB34" s="654"/>
      <c r="BC34" s="654"/>
      <c r="BD34" s="652"/>
      <c r="BE34" s="652"/>
      <c r="BF34" s="652"/>
      <c r="BG34" s="652"/>
      <c r="BH34" s="652"/>
      <c r="BI34" s="652"/>
      <c r="BJ34" s="2225"/>
      <c r="BK34" s="2226"/>
      <c r="BL34" s="1381"/>
      <c r="BM34" s="684"/>
      <c r="BO34" s="1915" t="s">
        <v>516</v>
      </c>
      <c r="BP34" s="1915"/>
      <c r="BQ34" s="1915"/>
      <c r="BR34" s="1915"/>
      <c r="BS34" s="687"/>
      <c r="BT34" s="731" t="s">
        <v>154</v>
      </c>
      <c r="BU34" s="688" t="s">
        <v>153</v>
      </c>
      <c r="BV34" s="701" t="s">
        <v>327</v>
      </c>
      <c r="BW34" s="695"/>
      <c r="BX34" s="688" t="s">
        <v>154</v>
      </c>
      <c r="BY34" s="688" t="s">
        <v>153</v>
      </c>
      <c r="BZ34" s="701" t="s">
        <v>327</v>
      </c>
      <c r="CA34" s="695"/>
      <c r="CB34" s="688" t="s">
        <v>154</v>
      </c>
      <c r="CC34" s="688" t="s">
        <v>153</v>
      </c>
      <c r="CD34" s="701" t="s">
        <v>327</v>
      </c>
      <c r="CE34" s="695"/>
      <c r="CF34" s="688" t="s">
        <v>154</v>
      </c>
      <c r="CG34" s="688" t="s">
        <v>153</v>
      </c>
      <c r="CH34" s="701" t="s">
        <v>327</v>
      </c>
      <c r="CI34" s="695"/>
      <c r="CJ34" s="688" t="s">
        <v>154</v>
      </c>
      <c r="CK34" s="688" t="s">
        <v>153</v>
      </c>
      <c r="CL34" s="701" t="s">
        <v>327</v>
      </c>
      <c r="CM34" s="695"/>
      <c r="CN34" s="688" t="s">
        <v>154</v>
      </c>
      <c r="CO34" s="689" t="s">
        <v>153</v>
      </c>
      <c r="CP34" s="726" t="s">
        <v>327</v>
      </c>
    </row>
    <row r="35" spans="1:94" ht="14.1" customHeight="1" x14ac:dyDescent="0.15">
      <c r="A35" s="652" t="str">
        <f t="shared" ref="A35" si="168">IF(AND(D35="",D37&lt;&gt;""),"×","○")</f>
        <v>○</v>
      </c>
      <c r="B35" s="2174" t="str">
        <f t="shared" ref="B35" si="169">IF(AND(AT35="○",BB35="○",BC35="○",A35="○"),"○","×")</f>
        <v>○</v>
      </c>
      <c r="C35" s="2116">
        <v>11</v>
      </c>
      <c r="D35" s="2006"/>
      <c r="E35" s="2004"/>
      <c r="F35" s="2041"/>
      <c r="G35" s="2118"/>
      <c r="H35" s="2106"/>
      <c r="I35" s="2141"/>
      <c r="J35" s="2142"/>
      <c r="K35" s="2104"/>
      <c r="L35" s="2140"/>
      <c r="M35" s="2110"/>
      <c r="N35" s="2111"/>
      <c r="O35" s="2104"/>
      <c r="P35" s="2104"/>
      <c r="Q35" s="2106"/>
      <c r="R35" s="2110"/>
      <c r="S35" s="2111"/>
      <c r="T35" s="2104"/>
      <c r="U35" s="2104"/>
      <c r="V35" s="2106"/>
      <c r="W35" s="2110"/>
      <c r="X35" s="2111"/>
      <c r="Y35" s="2104"/>
      <c r="Z35" s="2104"/>
      <c r="AA35" s="2106"/>
      <c r="AB35" s="2110"/>
      <c r="AC35" s="2111"/>
      <c r="AD35" s="2104"/>
      <c r="AE35" s="2104"/>
      <c r="AF35" s="2106"/>
      <c r="AG35" s="2110"/>
      <c r="AH35" s="2111"/>
      <c r="AI35" s="2104"/>
      <c r="AJ35" s="2104"/>
      <c r="AK35" s="2038"/>
      <c r="AL35" s="2039"/>
      <c r="AM35" s="2039"/>
      <c r="AN35" s="2040"/>
      <c r="AO35" s="2008"/>
      <c r="AP35" s="2009"/>
      <c r="AQ35" s="2009"/>
      <c r="AR35" s="2010"/>
      <c r="AS35" s="651"/>
      <c r="AT35" s="652" t="str">
        <f t="shared" ref="AT35" si="170">IF(OR(AND(D35&lt;&gt;"",OR(AND(E35&lt;&gt;"",F35&lt;&gt;"",OR(G35&lt;&gt;"",H35&lt;&gt;"")),AND(E35="",F35="バス・カメラマン等"))),AND(D35="",E35="",F35="",OR(G35="",H35=""))),"○","×")</f>
        <v>○</v>
      </c>
      <c r="AU35" s="1983" t="str">
        <f t="shared" ref="AU35" si="171">IF(AND(E35&lt;&gt;"",E35&lt;=2),"2歳児以下","")</f>
        <v/>
      </c>
      <c r="AV35" s="1983" t="str">
        <f t="shared" ref="AV35" si="172">IF(OR(AND(3&lt;=E35,E35&lt;=6),COUNTIF(E35, "幼*"),COUNTIF(E35, "年少"),COUNTIF(E35, "年中"),COUNTIF(E35, "年長")),"3歳-学齢前","")</f>
        <v/>
      </c>
      <c r="AW35" s="1983" t="str">
        <f t="shared" ref="AW35" si="173">IF(OR(AND(6&lt;=E35,E35&lt;=12),COUNTIF(E35, "小*")),"小学生","")</f>
        <v/>
      </c>
      <c r="AX35" s="1983" t="str">
        <f t="shared" ref="AX35" si="174">IF(OR(AND(12&lt;=E35,E35&lt;=15),COUNTIF(E35, "中*")),"中学生","")</f>
        <v/>
      </c>
      <c r="AY35" s="1983" t="str">
        <f t="shared" ref="AY35" si="175">IF(OR(AND(15&lt;=E35,E35&lt;=18),COUNTIF(E35, "高*")),"高校生(～18歳)","")</f>
        <v/>
      </c>
      <c r="AZ35" s="1983" t="str">
        <f t="shared" ref="AZ35" si="176">IF(OR(19&lt;=E35,COUNTIF(E35, "大*"),COUNTIF(E35, "*院*"),COUNTIF(E35, "*専*")),"一般(19歳～)","")</f>
        <v/>
      </c>
      <c r="BA35" s="1983" t="s">
        <v>475</v>
      </c>
      <c r="BB35" s="652" t="str">
        <f t="shared" ref="BB35" si="177">IF(OR(AND(D35="",I35="",M35="",R35="",W35="",AB35="",AG35=""),AND(D35&lt;&gt;"",OR(I35&lt;&gt;"",M35&lt;&gt;"",R35&lt;&gt;"",W35&lt;&gt;"",AB35&lt;&gt;"",AG35&lt;&gt;""))),"○","×")</f>
        <v>○</v>
      </c>
      <c r="BC35" s="652" t="str">
        <f t="shared" ref="BC35" si="178">IF(AND(BD35="○",BE35="○",BF35="○",BG35="○",BH35="○",BI35="○"),"○","×")</f>
        <v>○</v>
      </c>
      <c r="BD35" s="653" t="str">
        <f t="shared" ref="BD35" si="179">IF(AND($I$7=" ",OR(I35&lt;&gt;"",K35&lt;&gt;"",L35&lt;&gt;"")),"×","○")</f>
        <v>○</v>
      </c>
      <c r="BE35" s="653" t="str">
        <f t="shared" ref="BE35" si="180">IF(AND($M$7=" ",OR(M35&lt;&gt;"",O35&lt;&gt;"",P35&lt;&gt;"",Q35&lt;&gt;"")),"×","○")</f>
        <v>○</v>
      </c>
      <c r="BF35" s="653" t="str">
        <f t="shared" ref="BF35" si="181">IF(AND($R$7=" ",OR(R35&lt;&gt;"",T35&lt;&gt;"",U35&lt;&gt;"",V35&lt;&gt;"")),"×","○")</f>
        <v>○</v>
      </c>
      <c r="BG35" s="653" t="str">
        <f t="shared" ref="BG35" si="182">IF(AND($W$7=" ",OR(W35&lt;&gt;"",Y35&lt;&gt;"",Z35&lt;&gt;"",AA35&lt;&gt;"")),"×","○")</f>
        <v>○</v>
      </c>
      <c r="BH35" s="653" t="str">
        <f t="shared" ref="BH35" si="183">IF(AND($AB$7=" ",OR(AB35&lt;&gt;"",AD35&lt;&gt;"",AE35&lt;&gt;"",AF35&lt;&gt;"")),"×","○")</f>
        <v>○</v>
      </c>
      <c r="BI35" s="653" t="str">
        <f t="shared" ref="BI35" si="184">IF(AND($AG$7=" ",OR(AG35&lt;&gt;"",AI35&lt;&gt;"",AJ35&lt;&gt;"")),"×","○")</f>
        <v>○</v>
      </c>
      <c r="BJ35" s="2225" t="e">
        <f t="shared" ref="BJ35" si="185">SUMPRODUCT(1/COUNTIF(I35:AH35,"宿泊"))</f>
        <v>#DIV/0!</v>
      </c>
      <c r="BK35" s="2226" t="e">
        <f t="shared" ref="BK35" si="186">SUMPRODUCT(1/COUNTIF(I35:AH35,"日帰り"))</f>
        <v>#DIV/0!</v>
      </c>
      <c r="BL35" s="1381">
        <f t="shared" ref="BL35" si="187">COUNT(BJ35)-COUNT(BK35)</f>
        <v>0</v>
      </c>
      <c r="BM35" s="684"/>
      <c r="BN35" s="666"/>
      <c r="BO35" s="1898" t="s">
        <v>328</v>
      </c>
      <c r="BP35" s="2195"/>
      <c r="BQ35" s="2195"/>
      <c r="BR35" s="2196"/>
      <c r="BS35" s="690"/>
      <c r="BT35" s="676"/>
      <c r="BU35" s="679">
        <f>COUNTIFS(K15:K404,"○")</f>
        <v>0</v>
      </c>
      <c r="BV35" s="702">
        <f>COUNTIFS(L15:L404,"○")</f>
        <v>0</v>
      </c>
      <c r="BW35" s="696"/>
      <c r="BX35" s="679">
        <f>COUNTIFS(O14:O403,"○")</f>
        <v>0</v>
      </c>
      <c r="BY35" s="679">
        <f>COUNTIFS(P14:P403,"○")</f>
        <v>0</v>
      </c>
      <c r="BZ35" s="702">
        <f>COUNTIFS(Q15:Q404,"○")</f>
        <v>0</v>
      </c>
      <c r="CA35" s="696"/>
      <c r="CB35" s="679">
        <f>COUNTIFS(T15:T404,"○")</f>
        <v>0</v>
      </c>
      <c r="CC35" s="679">
        <f>COUNTIFS(U15:U404,"○")</f>
        <v>0</v>
      </c>
      <c r="CD35" s="702">
        <f>COUNTIFS(V15:V404,"○")</f>
        <v>0</v>
      </c>
      <c r="CE35" s="696"/>
      <c r="CF35" s="679">
        <f>COUNTIFS(Y15:Y404,"○")</f>
        <v>0</v>
      </c>
      <c r="CG35" s="679">
        <f>COUNTIFS(U15:U404,"○")</f>
        <v>0</v>
      </c>
      <c r="CH35" s="702">
        <f>COUNTIFS(V15:V404,"○")</f>
        <v>0</v>
      </c>
      <c r="CI35" s="696"/>
      <c r="CJ35" s="679">
        <f>COUNTIFS(AD15:AD404,"○")</f>
        <v>0</v>
      </c>
      <c r="CK35" s="679">
        <f>COUNTIFS(AE15:AE404,"○")</f>
        <v>0</v>
      </c>
      <c r="CL35" s="702">
        <f>COUNTIFS(AF15:AF404,"○")</f>
        <v>0</v>
      </c>
      <c r="CM35" s="696"/>
      <c r="CN35" s="679">
        <f>COUNTIFS(AI15:AI404,"○")</f>
        <v>0</v>
      </c>
      <c r="CO35" s="679">
        <f>COUNTIFS(AJ15:AJ404,"○")</f>
        <v>0</v>
      </c>
      <c r="CP35" s="727"/>
    </row>
    <row r="36" spans="1:94" ht="14.1" customHeight="1" x14ac:dyDescent="0.15">
      <c r="A36" s="652"/>
      <c r="B36" s="2174"/>
      <c r="C36" s="2117"/>
      <c r="D36" s="2007"/>
      <c r="E36" s="2005"/>
      <c r="F36" s="2042"/>
      <c r="G36" s="2119"/>
      <c r="H36" s="2107"/>
      <c r="I36" s="2112"/>
      <c r="J36" s="2113"/>
      <c r="K36" s="2105"/>
      <c r="L36" s="2127"/>
      <c r="M36" s="2112"/>
      <c r="N36" s="2113"/>
      <c r="O36" s="2105"/>
      <c r="P36" s="2105"/>
      <c r="Q36" s="2107"/>
      <c r="R36" s="2112"/>
      <c r="S36" s="2113"/>
      <c r="T36" s="2105"/>
      <c r="U36" s="2105"/>
      <c r="V36" s="2107"/>
      <c r="W36" s="2112"/>
      <c r="X36" s="2113"/>
      <c r="Y36" s="2105"/>
      <c r="Z36" s="2105"/>
      <c r="AA36" s="2107"/>
      <c r="AB36" s="2112"/>
      <c r="AC36" s="2113"/>
      <c r="AD36" s="2105"/>
      <c r="AE36" s="2105"/>
      <c r="AF36" s="2107"/>
      <c r="AG36" s="2112"/>
      <c r="AH36" s="2113"/>
      <c r="AI36" s="2105"/>
      <c r="AJ36" s="2105"/>
      <c r="AK36" s="2011"/>
      <c r="AL36" s="2012"/>
      <c r="AM36" s="2012"/>
      <c r="AN36" s="2013"/>
      <c r="AO36" s="2011"/>
      <c r="AP36" s="2012"/>
      <c r="AQ36" s="2012"/>
      <c r="AR36" s="2013"/>
      <c r="AS36" s="651"/>
      <c r="AT36" s="652"/>
      <c r="AU36" s="1983"/>
      <c r="AV36" s="1983"/>
      <c r="AW36" s="1983"/>
      <c r="AX36" s="1983"/>
      <c r="AY36" s="1983"/>
      <c r="AZ36" s="1983"/>
      <c r="BA36" s="1983"/>
      <c r="BB36" s="654"/>
      <c r="BC36" s="654"/>
      <c r="BD36" s="652"/>
      <c r="BE36" s="652"/>
      <c r="BF36" s="652"/>
      <c r="BG36" s="652"/>
      <c r="BH36" s="652"/>
      <c r="BI36" s="652"/>
      <c r="BJ36" s="2225"/>
      <c r="BK36" s="2226"/>
      <c r="BL36" s="1381"/>
      <c r="BM36" s="684"/>
      <c r="BN36" s="666"/>
      <c r="BO36" s="1900" t="s">
        <v>323</v>
      </c>
      <c r="BP36" s="2197"/>
      <c r="BQ36" s="2197"/>
      <c r="BR36" s="2198"/>
      <c r="BS36" s="691"/>
      <c r="BT36" s="677"/>
      <c r="BU36" s="680">
        <f>COUNTIFS($K$15:$K$404,"○",$F$15:$F$404,"2歳児以下")</f>
        <v>0</v>
      </c>
      <c r="BV36" s="703">
        <f>COUNTIFS($L$15:$L$404,"○",$F$15:$F$404,"2歳児以下")</f>
        <v>0</v>
      </c>
      <c r="BW36" s="697"/>
      <c r="BX36" s="680">
        <f>COUNTIFS($O$15:$O$404,"○",$F$15:$F$404,"2歳児以下")</f>
        <v>0</v>
      </c>
      <c r="BY36" s="680">
        <f>COUNTIFS($P$15:$P$404,"○",$F$15:$F$404,"2歳児以下")</f>
        <v>0</v>
      </c>
      <c r="BZ36" s="703">
        <f>COUNTIFS($Q$15:$Q$404,"○",$F$15:$F$404,"2歳児以下")</f>
        <v>0</v>
      </c>
      <c r="CA36" s="697"/>
      <c r="CB36" s="680">
        <f>COUNTIFS($T$15:$T$404,"○",$F$15:$F$404,"2歳児以下")</f>
        <v>0</v>
      </c>
      <c r="CC36" s="680">
        <f>COUNTIFS($U$15:$U$404,"○",$F$15:$F$404,"2歳児以下")</f>
        <v>0</v>
      </c>
      <c r="CD36" s="703">
        <f>COUNTIFS($V$15:$V$404,"○",$F$15:$F$404,"2歳児以下")</f>
        <v>0</v>
      </c>
      <c r="CE36" s="697"/>
      <c r="CF36" s="680">
        <f>COUNTIFS($Y$15:$Y$404,"○",$F$15:$F$404,"2歳児以下")</f>
        <v>0</v>
      </c>
      <c r="CG36" s="680">
        <f>COUNTIFS($Z$15:$Z$404,"○",$F$15:$F$404,"2歳児以下")</f>
        <v>0</v>
      </c>
      <c r="CH36" s="703">
        <f>COUNTIFS($AA$15:$AA$404,"○",$F$15:$F$404,"2歳児以下")</f>
        <v>0</v>
      </c>
      <c r="CI36" s="697"/>
      <c r="CJ36" s="680">
        <f>COUNTIFS($AD$15:$AD$404,"○",$F$15:$F$404,"2歳児以下")</f>
        <v>0</v>
      </c>
      <c r="CK36" s="680">
        <f>COUNTIFS($AE$15:$AE$404,"○",$F$15:$F$404,"2歳児以下")</f>
        <v>0</v>
      </c>
      <c r="CL36" s="703">
        <f>COUNTIFS($AF$15:$AF$404,"○",$F$15:$F$404,"2歳児以下")</f>
        <v>0</v>
      </c>
      <c r="CM36" s="697"/>
      <c r="CN36" s="680">
        <f>COUNTIFS($AI$15:$AI$404,"○",$F$15:$F$404,"2歳児以下")</f>
        <v>0</v>
      </c>
      <c r="CO36" s="680">
        <f>COUNTIFS($AJ$15:$AJ$404,"○",$F$15:$F$404,"2歳児以下")</f>
        <v>0</v>
      </c>
      <c r="CP36" s="728"/>
    </row>
    <row r="37" spans="1:94" ht="14.1" customHeight="1" x14ac:dyDescent="0.15">
      <c r="A37" s="652" t="str">
        <f t="shared" ref="A37" si="188">IF(AND(D37="",D39&lt;&gt;""),"×","○")</f>
        <v>○</v>
      </c>
      <c r="B37" s="2174" t="str">
        <f t="shared" ref="B37" si="189">IF(AND(AT37="○",BB37="○",BC37="○",A37="○"),"○","×")</f>
        <v>○</v>
      </c>
      <c r="C37" s="2116">
        <v>12</v>
      </c>
      <c r="D37" s="2006"/>
      <c r="E37" s="2004"/>
      <c r="F37" s="2041"/>
      <c r="G37" s="2118"/>
      <c r="H37" s="2106"/>
      <c r="I37" s="2141"/>
      <c r="J37" s="2142"/>
      <c r="K37" s="2104"/>
      <c r="L37" s="2140"/>
      <c r="M37" s="2110"/>
      <c r="N37" s="2111"/>
      <c r="O37" s="2104"/>
      <c r="P37" s="2104"/>
      <c r="Q37" s="2106"/>
      <c r="R37" s="2110"/>
      <c r="S37" s="2111"/>
      <c r="T37" s="2104"/>
      <c r="U37" s="2104"/>
      <c r="V37" s="2106"/>
      <c r="W37" s="2110"/>
      <c r="X37" s="2111"/>
      <c r="Y37" s="2104"/>
      <c r="Z37" s="2104"/>
      <c r="AA37" s="2106"/>
      <c r="AB37" s="2110"/>
      <c r="AC37" s="2111"/>
      <c r="AD37" s="2104"/>
      <c r="AE37" s="2104"/>
      <c r="AF37" s="2106"/>
      <c r="AG37" s="2110"/>
      <c r="AH37" s="2111"/>
      <c r="AI37" s="2104"/>
      <c r="AJ37" s="2104"/>
      <c r="AK37" s="2038"/>
      <c r="AL37" s="2039"/>
      <c r="AM37" s="2039"/>
      <c r="AN37" s="2040"/>
      <c r="AO37" s="2008"/>
      <c r="AP37" s="2009"/>
      <c r="AQ37" s="2009"/>
      <c r="AR37" s="2010"/>
      <c r="AS37" s="651"/>
      <c r="AT37" s="652" t="str">
        <f t="shared" ref="AT37" si="190">IF(OR(AND(D37&lt;&gt;"",OR(AND(E37&lt;&gt;"",F37&lt;&gt;"",OR(G37&lt;&gt;"",H37&lt;&gt;"")),AND(E37="",F37="バス・カメラマン等"))),AND(D37="",E37="",F37="",OR(G37="",H37=""))),"○","×")</f>
        <v>○</v>
      </c>
      <c r="AU37" s="1983" t="str">
        <f t="shared" ref="AU37" si="191">IF(AND(E37&lt;&gt;"",E37&lt;=2),"2歳児以下","")</f>
        <v/>
      </c>
      <c r="AV37" s="1983" t="str">
        <f t="shared" ref="AV37" si="192">IF(OR(AND(3&lt;=E37,E37&lt;=6),COUNTIF(E37, "幼*"),COUNTIF(E37, "年少"),COUNTIF(E37, "年中"),COUNTIF(E37, "年長")),"3歳-学齢前","")</f>
        <v/>
      </c>
      <c r="AW37" s="1983" t="str">
        <f t="shared" ref="AW37" si="193">IF(OR(AND(6&lt;=E37,E37&lt;=12),COUNTIF(E37, "小*")),"小学生","")</f>
        <v/>
      </c>
      <c r="AX37" s="1983" t="str">
        <f t="shared" ref="AX37" si="194">IF(OR(AND(12&lt;=E37,E37&lt;=15),COUNTIF(E37, "中*")),"中学生","")</f>
        <v/>
      </c>
      <c r="AY37" s="1983" t="str">
        <f t="shared" ref="AY37" si="195">IF(OR(AND(15&lt;=E37,E37&lt;=18),COUNTIF(E37, "高*")),"高校生(～18歳)","")</f>
        <v/>
      </c>
      <c r="AZ37" s="1983" t="str">
        <f t="shared" ref="AZ37" si="196">IF(OR(19&lt;=E37,COUNTIF(E37, "大*"),COUNTIF(E37, "*院*"),COUNTIF(E37, "*専*")),"一般(19歳～)","")</f>
        <v/>
      </c>
      <c r="BA37" s="1983" t="s">
        <v>475</v>
      </c>
      <c r="BB37" s="652" t="str">
        <f t="shared" ref="BB37" si="197">IF(OR(AND(D37="",I37="",M37="",R37="",W37="",AB37="",AG37=""),AND(D37&lt;&gt;"",OR(I37&lt;&gt;"",M37&lt;&gt;"",R37&lt;&gt;"",W37&lt;&gt;"",AB37&lt;&gt;"",AG37&lt;&gt;""))),"○","×")</f>
        <v>○</v>
      </c>
      <c r="BC37" s="652" t="str">
        <f t="shared" ref="BC37" si="198">IF(AND(BD37="○",BE37="○",BF37="○",BG37="○",BH37="○",BI37="○"),"○","×")</f>
        <v>○</v>
      </c>
      <c r="BD37" s="653" t="str">
        <f t="shared" ref="BD37" si="199">IF(AND($I$7=" ",OR(I37&lt;&gt;"",K37&lt;&gt;"",L37&lt;&gt;"")),"×","○")</f>
        <v>○</v>
      </c>
      <c r="BE37" s="653" t="str">
        <f t="shared" ref="BE37" si="200">IF(AND($M$7=" ",OR(M37&lt;&gt;"",O37&lt;&gt;"",P37&lt;&gt;"",Q37&lt;&gt;"")),"×","○")</f>
        <v>○</v>
      </c>
      <c r="BF37" s="653" t="str">
        <f t="shared" ref="BF37" si="201">IF(AND($R$7=" ",OR(R37&lt;&gt;"",T37&lt;&gt;"",U37&lt;&gt;"",V37&lt;&gt;"")),"×","○")</f>
        <v>○</v>
      </c>
      <c r="BG37" s="653" t="str">
        <f t="shared" ref="BG37" si="202">IF(AND($W$7=" ",OR(W37&lt;&gt;"",Y37&lt;&gt;"",Z37&lt;&gt;"",AA37&lt;&gt;"")),"×","○")</f>
        <v>○</v>
      </c>
      <c r="BH37" s="653" t="str">
        <f t="shared" ref="BH37" si="203">IF(AND($AB$7=" ",OR(AB37&lt;&gt;"",AD37&lt;&gt;"",AE37&lt;&gt;"",AF37&lt;&gt;"")),"×","○")</f>
        <v>○</v>
      </c>
      <c r="BI37" s="653" t="str">
        <f t="shared" ref="BI37" si="204">IF(AND($AG$7=" ",OR(AG37&lt;&gt;"",AI37&lt;&gt;"",AJ37&lt;&gt;"")),"×","○")</f>
        <v>○</v>
      </c>
      <c r="BJ37" s="2225" t="e">
        <f t="shared" ref="BJ37" si="205">SUMPRODUCT(1/COUNTIF(I37:AH37,"宿泊"))</f>
        <v>#DIV/0!</v>
      </c>
      <c r="BK37" s="2226" t="e">
        <f t="shared" ref="BK37" si="206">SUMPRODUCT(1/COUNTIF(I37:AH37,"日帰り"))</f>
        <v>#DIV/0!</v>
      </c>
      <c r="BL37" s="1381">
        <f t="shared" ref="BL37" si="207">COUNT(BJ37)-COUNT(BK37)</f>
        <v>0</v>
      </c>
      <c r="BM37" s="684"/>
      <c r="BN37" s="666"/>
      <c r="BO37" s="1891" t="s">
        <v>324</v>
      </c>
      <c r="BP37" s="1930"/>
      <c r="BQ37" s="1930"/>
      <c r="BR37" s="1931"/>
      <c r="BS37" s="692"/>
      <c r="BT37" s="678"/>
      <c r="BU37" s="681">
        <f>COUNTIFS($K$15:$K$404,"○",$F$15:$F$404,"3歳-学齢前")</f>
        <v>0</v>
      </c>
      <c r="BV37" s="704">
        <f>COUNTIFS($L$15:$L$404,"○",$F$15:$F$404,"3歳-学齢前")</f>
        <v>0</v>
      </c>
      <c r="BW37" s="698"/>
      <c r="BX37" s="681">
        <f>COUNTIFS($O$15:$O$404,"○",$F$15:$F$404,"3歳-学齢前")</f>
        <v>0</v>
      </c>
      <c r="BY37" s="681">
        <f>COUNTIFS($P$15:$P$404,"○",$F$15:$F$404,"3歳-学齢前")</f>
        <v>0</v>
      </c>
      <c r="BZ37" s="704">
        <f>COUNTIFS($Q$15:$Q$404,"○",$F$15:$F$404,"3歳-学齢前")</f>
        <v>0</v>
      </c>
      <c r="CA37" s="698"/>
      <c r="CB37" s="681">
        <f>COUNTIFS($T$15:$T$404,"○",$F$15:$F$404,"3歳-学齢前")</f>
        <v>0</v>
      </c>
      <c r="CC37" s="681">
        <f>COUNTIFS($U$15:$U$404,"○",$F$15:$F$404,"3歳-学齢前")</f>
        <v>0</v>
      </c>
      <c r="CD37" s="704">
        <f>COUNTIFS($V$15:$V$404,"○",$F$15:$F$404,"3歳-学齢前")</f>
        <v>0</v>
      </c>
      <c r="CE37" s="698"/>
      <c r="CF37" s="681">
        <f>COUNTIFS($Y$15:$Y$404,"○",$F$15:$F$404,"3歳-学齢前")</f>
        <v>0</v>
      </c>
      <c r="CG37" s="681">
        <f>COUNTIFS($Z$15:$Z$404,"○",$F$15:$F$404,"3歳-学齢前")</f>
        <v>0</v>
      </c>
      <c r="CH37" s="704">
        <f>COUNTIFS($AA$15:$AA$404,"○",$F$15:$F$404,"3歳-学齢前")</f>
        <v>0</v>
      </c>
      <c r="CI37" s="698"/>
      <c r="CJ37" s="681">
        <f>COUNTIFS($AD$15:$AD$404,"○",$F$15:$F$404,"3歳-学齢前")</f>
        <v>0</v>
      </c>
      <c r="CK37" s="681">
        <f>COUNTIFS($AE$15:$AE$404,"○",$F$15:$F$404,"3歳-学齢前")</f>
        <v>0</v>
      </c>
      <c r="CL37" s="704">
        <f>COUNTIFS($AF$15:$AF$404,"○",$F$15:$F$404,"3歳-学齢前")</f>
        <v>0</v>
      </c>
      <c r="CM37" s="698"/>
      <c r="CN37" s="681">
        <f>COUNTIFS($AI$15:$AI$404,"○",$F$15:$F$404,"3歳-学齢前")</f>
        <v>0</v>
      </c>
      <c r="CO37" s="681">
        <f>COUNTIFS($AJ$15:$AJ$404,"○",$F$15:$F$404,"3歳-学齢前")</f>
        <v>0</v>
      </c>
      <c r="CP37" s="729"/>
    </row>
    <row r="38" spans="1:94" ht="14.1" customHeight="1" x14ac:dyDescent="0.15">
      <c r="A38" s="652"/>
      <c r="B38" s="2174"/>
      <c r="C38" s="2117"/>
      <c r="D38" s="2007"/>
      <c r="E38" s="2005"/>
      <c r="F38" s="2042"/>
      <c r="G38" s="2119"/>
      <c r="H38" s="2107"/>
      <c r="I38" s="2112"/>
      <c r="J38" s="2113"/>
      <c r="K38" s="2105"/>
      <c r="L38" s="2127"/>
      <c r="M38" s="2112"/>
      <c r="N38" s="2113"/>
      <c r="O38" s="2105"/>
      <c r="P38" s="2105"/>
      <c r="Q38" s="2107"/>
      <c r="R38" s="2112"/>
      <c r="S38" s="2113"/>
      <c r="T38" s="2105"/>
      <c r="U38" s="2105"/>
      <c r="V38" s="2107"/>
      <c r="W38" s="2112"/>
      <c r="X38" s="2113"/>
      <c r="Y38" s="2105"/>
      <c r="Z38" s="2105"/>
      <c r="AA38" s="2107"/>
      <c r="AB38" s="2112"/>
      <c r="AC38" s="2113"/>
      <c r="AD38" s="2105"/>
      <c r="AE38" s="2105"/>
      <c r="AF38" s="2107"/>
      <c r="AG38" s="2112"/>
      <c r="AH38" s="2113"/>
      <c r="AI38" s="2105"/>
      <c r="AJ38" s="2105"/>
      <c r="AK38" s="2011"/>
      <c r="AL38" s="2012"/>
      <c r="AM38" s="2012"/>
      <c r="AN38" s="2013"/>
      <c r="AO38" s="2011"/>
      <c r="AP38" s="2012"/>
      <c r="AQ38" s="2012"/>
      <c r="AR38" s="2013"/>
      <c r="AS38" s="651"/>
      <c r="AT38" s="652"/>
      <c r="AU38" s="1983"/>
      <c r="AV38" s="1983"/>
      <c r="AW38" s="1983"/>
      <c r="AX38" s="1983"/>
      <c r="AY38" s="1983"/>
      <c r="AZ38" s="1983"/>
      <c r="BA38" s="1983"/>
      <c r="BB38" s="654"/>
      <c r="BC38" s="654"/>
      <c r="BD38" s="652"/>
      <c r="BE38" s="652"/>
      <c r="BF38" s="652"/>
      <c r="BG38" s="652"/>
      <c r="BH38" s="652"/>
      <c r="BI38" s="652"/>
      <c r="BJ38" s="2225"/>
      <c r="BK38" s="2226"/>
      <c r="BL38" s="1381"/>
      <c r="BM38" s="684"/>
      <c r="BN38" s="666"/>
      <c r="BO38" s="1891" t="s">
        <v>84</v>
      </c>
      <c r="BP38" s="1930"/>
      <c r="BQ38" s="1930"/>
      <c r="BR38" s="1931"/>
      <c r="BS38" s="692"/>
      <c r="BT38" s="678"/>
      <c r="BU38" s="681">
        <f>COUNTIFS($K$15:$K$404,"○",$F$15:$F$404,"小学生")</f>
        <v>0</v>
      </c>
      <c r="BV38" s="704">
        <f>COUNTIFS($L$15:$L$404,"○",$F$15:$F$404,"小学生")</f>
        <v>0</v>
      </c>
      <c r="BW38" s="698"/>
      <c r="BX38" s="681">
        <f>COUNTIFS($O$15:$O$404,"○",$F$15:$F$404,"小学生")</f>
        <v>0</v>
      </c>
      <c r="BY38" s="681">
        <f>COUNTIFS($P$15:$P$404,"○",$F$15:$F$404,"小学生")</f>
        <v>0</v>
      </c>
      <c r="BZ38" s="704">
        <f>COUNTIFS($Q$15:$Q$404,"○",$F$15:$F$404,"小学生")</f>
        <v>0</v>
      </c>
      <c r="CA38" s="698"/>
      <c r="CB38" s="681">
        <f>COUNTIFS($T$15:$T$404,"○",$F$15:$F$404,"小学生")</f>
        <v>0</v>
      </c>
      <c r="CC38" s="681">
        <f>COUNTIFS($U$15:$U$404,"○",$F$15:$F$404,"小学生")</f>
        <v>0</v>
      </c>
      <c r="CD38" s="704">
        <f>COUNTIFS($V$15:$V$404,"○",$F$15:$F$404,"小学生")</f>
        <v>0</v>
      </c>
      <c r="CE38" s="698"/>
      <c r="CF38" s="681">
        <f>COUNTIFS($Y$15:$Y$404,"○",$F$15:$F$404,"小学生")</f>
        <v>0</v>
      </c>
      <c r="CG38" s="681">
        <f>COUNTIFS($Z$15:$Z$404,"○",$F$15:$F$404,"小学生")</f>
        <v>0</v>
      </c>
      <c r="CH38" s="704">
        <f>COUNTIFS($AA$15:$AA$404,"○",$F$15:$F$404,"小学生")</f>
        <v>0</v>
      </c>
      <c r="CI38" s="698"/>
      <c r="CJ38" s="681">
        <f>COUNTIFS($AD$15:$AD$404,"○",$F$15:$F$404,"小学生")</f>
        <v>0</v>
      </c>
      <c r="CK38" s="681">
        <f>COUNTIFS($AE$15:$AE$404,"○",$F$15:$F$404,"小学生")</f>
        <v>0</v>
      </c>
      <c r="CL38" s="704">
        <f>COUNTIFS($AF$15:$AF$404,"○",$F$15:$F$404,"小学生")</f>
        <v>0</v>
      </c>
      <c r="CM38" s="698"/>
      <c r="CN38" s="681">
        <f>COUNTIFS($AI$15:$AI$404,"○",$F$15:$F$404,"小学生")</f>
        <v>0</v>
      </c>
      <c r="CO38" s="681">
        <f>COUNTIFS($AJ$15:$AJ$404,"○",$F$15:$F$404,"小学生")</f>
        <v>0</v>
      </c>
      <c r="CP38" s="729"/>
    </row>
    <row r="39" spans="1:94" ht="14.1" customHeight="1" x14ac:dyDescent="0.15">
      <c r="A39" s="652" t="str">
        <f t="shared" ref="A39" si="208">IF(AND(D39="",D41&lt;&gt;""),"×","○")</f>
        <v>○</v>
      </c>
      <c r="B39" s="2174" t="str">
        <f t="shared" ref="B39" si="209">IF(AND(AT39="○",BB39="○",BC39="○",A39="○"),"○","×")</f>
        <v>○</v>
      </c>
      <c r="C39" s="2116">
        <v>13</v>
      </c>
      <c r="D39" s="2006"/>
      <c r="E39" s="2004"/>
      <c r="F39" s="2041"/>
      <c r="G39" s="2118"/>
      <c r="H39" s="2106"/>
      <c r="I39" s="2141"/>
      <c r="J39" s="2142"/>
      <c r="K39" s="2104"/>
      <c r="L39" s="2140"/>
      <c r="M39" s="2110"/>
      <c r="N39" s="2111"/>
      <c r="O39" s="2104"/>
      <c r="P39" s="2104"/>
      <c r="Q39" s="2106"/>
      <c r="R39" s="2110"/>
      <c r="S39" s="2111"/>
      <c r="T39" s="2104"/>
      <c r="U39" s="2104"/>
      <c r="V39" s="2106"/>
      <c r="W39" s="2110"/>
      <c r="X39" s="2111"/>
      <c r="Y39" s="2104"/>
      <c r="Z39" s="2104"/>
      <c r="AA39" s="2106"/>
      <c r="AB39" s="2110"/>
      <c r="AC39" s="2111"/>
      <c r="AD39" s="2104"/>
      <c r="AE39" s="2104"/>
      <c r="AF39" s="2106"/>
      <c r="AG39" s="2110"/>
      <c r="AH39" s="2111"/>
      <c r="AI39" s="2104"/>
      <c r="AJ39" s="2104"/>
      <c r="AK39" s="2038"/>
      <c r="AL39" s="2039"/>
      <c r="AM39" s="2039"/>
      <c r="AN39" s="2040"/>
      <c r="AO39" s="2008"/>
      <c r="AP39" s="2009"/>
      <c r="AQ39" s="2009"/>
      <c r="AR39" s="2010"/>
      <c r="AS39" s="651"/>
      <c r="AT39" s="652" t="str">
        <f t="shared" ref="AT39" si="210">IF(OR(AND(D39&lt;&gt;"",OR(AND(E39&lt;&gt;"",F39&lt;&gt;"",OR(G39&lt;&gt;"",H39&lt;&gt;"")),AND(E39="",F39="バス・カメラマン等"))),AND(D39="",E39="",F39="",OR(G39="",H39=""))),"○","×")</f>
        <v>○</v>
      </c>
      <c r="AU39" s="1983" t="str">
        <f t="shared" ref="AU39" si="211">IF(AND(E39&lt;&gt;"",E39&lt;=2),"2歳児以下","")</f>
        <v/>
      </c>
      <c r="AV39" s="1983" t="str">
        <f t="shared" ref="AV39" si="212">IF(OR(AND(3&lt;=E39,E39&lt;=6),COUNTIF(E39, "幼*"),COUNTIF(E39, "年少"),COUNTIF(E39, "年中"),COUNTIF(E39, "年長")),"3歳-学齢前","")</f>
        <v/>
      </c>
      <c r="AW39" s="1983" t="str">
        <f t="shared" ref="AW39" si="213">IF(OR(AND(6&lt;=E39,E39&lt;=12),COUNTIF(E39, "小*")),"小学生","")</f>
        <v/>
      </c>
      <c r="AX39" s="1983" t="str">
        <f t="shared" ref="AX39" si="214">IF(OR(AND(12&lt;=E39,E39&lt;=15),COUNTIF(E39, "中*")),"中学生","")</f>
        <v/>
      </c>
      <c r="AY39" s="1983" t="str">
        <f t="shared" ref="AY39" si="215">IF(OR(AND(15&lt;=E39,E39&lt;=18),COUNTIF(E39, "高*")),"高校生(～18歳)","")</f>
        <v/>
      </c>
      <c r="AZ39" s="1983" t="str">
        <f t="shared" ref="AZ39" si="216">IF(OR(19&lt;=E39,COUNTIF(E39, "大*"),COUNTIF(E39, "*院*"),COUNTIF(E39, "*専*")),"一般(19歳～)","")</f>
        <v/>
      </c>
      <c r="BA39" s="1983" t="s">
        <v>475</v>
      </c>
      <c r="BB39" s="652" t="str">
        <f t="shared" ref="BB39" si="217">IF(OR(AND(D39="",I39="",M39="",R39="",W39="",AB39="",AG39=""),AND(D39&lt;&gt;"",OR(I39&lt;&gt;"",M39&lt;&gt;"",R39&lt;&gt;"",W39&lt;&gt;"",AB39&lt;&gt;"",AG39&lt;&gt;""))),"○","×")</f>
        <v>○</v>
      </c>
      <c r="BC39" s="652" t="str">
        <f t="shared" ref="BC39" si="218">IF(AND(BD39="○",BE39="○",BF39="○",BG39="○",BH39="○",BI39="○"),"○","×")</f>
        <v>○</v>
      </c>
      <c r="BD39" s="653" t="str">
        <f t="shared" ref="BD39" si="219">IF(AND($I$7=" ",OR(I39&lt;&gt;"",K39&lt;&gt;"",L39&lt;&gt;"")),"×","○")</f>
        <v>○</v>
      </c>
      <c r="BE39" s="653" t="str">
        <f t="shared" ref="BE39" si="220">IF(AND($M$7=" ",OR(M39&lt;&gt;"",O39&lt;&gt;"",P39&lt;&gt;"",Q39&lt;&gt;"")),"×","○")</f>
        <v>○</v>
      </c>
      <c r="BF39" s="653" t="str">
        <f t="shared" ref="BF39" si="221">IF(AND($R$7=" ",OR(R39&lt;&gt;"",T39&lt;&gt;"",U39&lt;&gt;"",V39&lt;&gt;"")),"×","○")</f>
        <v>○</v>
      </c>
      <c r="BG39" s="653" t="str">
        <f t="shared" ref="BG39" si="222">IF(AND($W$7=" ",OR(W39&lt;&gt;"",Y39&lt;&gt;"",Z39&lt;&gt;"",AA39&lt;&gt;"")),"×","○")</f>
        <v>○</v>
      </c>
      <c r="BH39" s="653" t="str">
        <f t="shared" ref="BH39" si="223">IF(AND($AB$7=" ",OR(AB39&lt;&gt;"",AD39&lt;&gt;"",AE39&lt;&gt;"",AF39&lt;&gt;"")),"×","○")</f>
        <v>○</v>
      </c>
      <c r="BI39" s="653" t="str">
        <f t="shared" ref="BI39" si="224">IF(AND($AG$7=" ",OR(AG39&lt;&gt;"",AI39&lt;&gt;"",AJ39&lt;&gt;"")),"×","○")</f>
        <v>○</v>
      </c>
      <c r="BJ39" s="2225" t="e">
        <f t="shared" ref="BJ39" si="225">SUMPRODUCT(1/COUNTIF(I39:AH39,"宿泊"))</f>
        <v>#DIV/0!</v>
      </c>
      <c r="BK39" s="2226" t="e">
        <f t="shared" ref="BK39" si="226">SUMPRODUCT(1/COUNTIF(I39:AH39,"日帰り"))</f>
        <v>#DIV/0!</v>
      </c>
      <c r="BL39" s="1381">
        <f t="shared" ref="BL39" si="227">COUNT(BJ39)-COUNT(BK39)</f>
        <v>0</v>
      </c>
      <c r="BM39" s="684"/>
      <c r="BN39" s="666"/>
      <c r="BO39" s="1891" t="s">
        <v>85</v>
      </c>
      <c r="BP39" s="1930"/>
      <c r="BQ39" s="1930"/>
      <c r="BR39" s="1931"/>
      <c r="BS39" s="692"/>
      <c r="BT39" s="678"/>
      <c r="BU39" s="681">
        <f>COUNTIFS($K$15:$K$404,"○",$F$15:$F$404,"中学生")</f>
        <v>0</v>
      </c>
      <c r="BV39" s="704">
        <f>COUNTIFS($L$15:$L$404,"○",$F$15:$F$404,"中学生")</f>
        <v>0</v>
      </c>
      <c r="BW39" s="698"/>
      <c r="BX39" s="681">
        <f>COUNTIFS($O$15:$O$404,"○",$F$15:$F$404,"中学生")</f>
        <v>0</v>
      </c>
      <c r="BY39" s="681">
        <f>COUNTIFS($P$15:$P$404,"○",$F$15:$F$404,"中学生")</f>
        <v>0</v>
      </c>
      <c r="BZ39" s="704">
        <f>COUNTIFS($Q$15:$Q$404,"○",$F$15:$F$404,"中学生")</f>
        <v>0</v>
      </c>
      <c r="CA39" s="698"/>
      <c r="CB39" s="681">
        <f>COUNTIFS($T$15:$T$404,"○",$F$15:$F$404,"中学生")</f>
        <v>0</v>
      </c>
      <c r="CC39" s="681">
        <f>COUNTIFS($U$15:$U$404,"○",$F$15:$F$404,"中学生")</f>
        <v>0</v>
      </c>
      <c r="CD39" s="704">
        <f>COUNTIFS($V$15:$V$404,"○",$F$15:$F$404,"中学生")</f>
        <v>0</v>
      </c>
      <c r="CE39" s="698"/>
      <c r="CF39" s="681">
        <f>COUNTIFS($Y$15:$Y$404,"○",$F$15:$F$404,"中学生")</f>
        <v>0</v>
      </c>
      <c r="CG39" s="681">
        <f>COUNTIFS($Z$15:$Z$404,"○",$F$15:$F$404,"中学生")</f>
        <v>0</v>
      </c>
      <c r="CH39" s="704">
        <f>COUNTIFS($AA$15:$AA$404,"○",$F$15:$F$404,"中学生")</f>
        <v>0</v>
      </c>
      <c r="CI39" s="698"/>
      <c r="CJ39" s="681">
        <f>COUNTIFS($AD$15:$AD$404,"○",$F$15:$F$404,"中学生")</f>
        <v>0</v>
      </c>
      <c r="CK39" s="681">
        <f>COUNTIFS($AE$15:$AE$404,"○",$F$15:$F$404,"中学生")</f>
        <v>0</v>
      </c>
      <c r="CL39" s="704">
        <f>COUNTIFS($AF$15:$AF$404,"○",$F$15:$F$404,"中学生")</f>
        <v>0</v>
      </c>
      <c r="CM39" s="698"/>
      <c r="CN39" s="681">
        <f>COUNTIFS($AI$15:$AI$404,"○",$F$15:$F$404,"中学生")</f>
        <v>0</v>
      </c>
      <c r="CO39" s="681">
        <f>COUNTIFS($AJ$15:$AJ$404,"○",$F$15:$F$404,"中学生")</f>
        <v>0</v>
      </c>
      <c r="CP39" s="729"/>
    </row>
    <row r="40" spans="1:94" ht="14.1" customHeight="1" x14ac:dyDescent="0.15">
      <c r="A40" s="652"/>
      <c r="B40" s="2174"/>
      <c r="C40" s="2117"/>
      <c r="D40" s="2007"/>
      <c r="E40" s="2005"/>
      <c r="F40" s="2042"/>
      <c r="G40" s="2119"/>
      <c r="H40" s="2107"/>
      <c r="I40" s="2112"/>
      <c r="J40" s="2113"/>
      <c r="K40" s="2105"/>
      <c r="L40" s="2127"/>
      <c r="M40" s="2112"/>
      <c r="N40" s="2113"/>
      <c r="O40" s="2105"/>
      <c r="P40" s="2105"/>
      <c r="Q40" s="2107"/>
      <c r="R40" s="2112"/>
      <c r="S40" s="2113"/>
      <c r="T40" s="2105"/>
      <c r="U40" s="2105"/>
      <c r="V40" s="2107"/>
      <c r="W40" s="2112"/>
      <c r="X40" s="2113"/>
      <c r="Y40" s="2105"/>
      <c r="Z40" s="2105"/>
      <c r="AA40" s="2107"/>
      <c r="AB40" s="2112"/>
      <c r="AC40" s="2113"/>
      <c r="AD40" s="2105"/>
      <c r="AE40" s="2105"/>
      <c r="AF40" s="2107"/>
      <c r="AG40" s="2112"/>
      <c r="AH40" s="2113"/>
      <c r="AI40" s="2105"/>
      <c r="AJ40" s="2105"/>
      <c r="AK40" s="2011"/>
      <c r="AL40" s="2012"/>
      <c r="AM40" s="2012"/>
      <c r="AN40" s="2013"/>
      <c r="AO40" s="2011"/>
      <c r="AP40" s="2012"/>
      <c r="AQ40" s="2012"/>
      <c r="AR40" s="2013"/>
      <c r="AS40" s="651"/>
      <c r="AT40" s="652"/>
      <c r="AU40" s="1983"/>
      <c r="AV40" s="1983"/>
      <c r="AW40" s="1983"/>
      <c r="AX40" s="1983"/>
      <c r="AY40" s="1983"/>
      <c r="AZ40" s="1983"/>
      <c r="BA40" s="1983"/>
      <c r="BB40" s="654"/>
      <c r="BC40" s="654"/>
      <c r="BD40" s="652"/>
      <c r="BE40" s="652"/>
      <c r="BF40" s="652"/>
      <c r="BG40" s="652"/>
      <c r="BH40" s="652"/>
      <c r="BI40" s="652"/>
      <c r="BJ40" s="2225"/>
      <c r="BK40" s="2226"/>
      <c r="BL40" s="1381"/>
      <c r="BM40" s="684"/>
      <c r="BN40" s="666"/>
      <c r="BO40" s="1891" t="s">
        <v>325</v>
      </c>
      <c r="BP40" s="1930"/>
      <c r="BQ40" s="1930"/>
      <c r="BR40" s="1931"/>
      <c r="BS40" s="692"/>
      <c r="BT40" s="678"/>
      <c r="BU40" s="681">
        <f>COUNTIFS($K$15:$K$404,"○",$F$15:$F$404,"高校生(～18歳)")</f>
        <v>0</v>
      </c>
      <c r="BV40" s="704">
        <f>COUNTIFS($L$15:$L$404,"○",$F$15:$F$404,"高校生(～18歳)")</f>
        <v>0</v>
      </c>
      <c r="BW40" s="698"/>
      <c r="BX40" s="681">
        <f>COUNTIFS($O$15:$O$404,"○",$F$15:$F$404,"高校生(～18歳)")</f>
        <v>0</v>
      </c>
      <c r="BY40" s="681">
        <f>COUNTIFS($P$15:$P$404,"○",$F$15:$F$404,"高校生(～18歳)")</f>
        <v>0</v>
      </c>
      <c r="BZ40" s="704">
        <f>COUNTIFS($Q$15:$Q$404,"○",$F$15:$F$404,"高校生(～18歳)")</f>
        <v>0</v>
      </c>
      <c r="CA40" s="698"/>
      <c r="CB40" s="681">
        <f>COUNTIFS($T$15:$T$404,"○",$F$15:$F$404,"高校生(～18歳)")</f>
        <v>0</v>
      </c>
      <c r="CC40" s="681">
        <f>COUNTIFS($U$15:$U$404,"○",$F$15:$F$404,"高校生(～18歳)")</f>
        <v>0</v>
      </c>
      <c r="CD40" s="704">
        <f>COUNTIFS($V$15:$V$404,"○",$F$15:$F$404,"高校生(～18歳)")</f>
        <v>0</v>
      </c>
      <c r="CE40" s="698"/>
      <c r="CF40" s="681">
        <f>COUNTIFS($Y$15:$Y$404,"○",$F$15:$F$404,"高校生(～18歳)")</f>
        <v>0</v>
      </c>
      <c r="CG40" s="681">
        <f>COUNTIFS($Z$15:$Z$404,"○",$F$15:$F$404,"高校生(～18歳)")</f>
        <v>0</v>
      </c>
      <c r="CH40" s="704">
        <f>COUNTIFS($AA$15:$AA$404,"○",$F$15:$F$404,"高校生(～18歳)")</f>
        <v>0</v>
      </c>
      <c r="CI40" s="698"/>
      <c r="CJ40" s="681">
        <f>COUNTIFS($AD$15:$AD$404,"○",$F$15:$F$404,"高校生(～18歳)")</f>
        <v>0</v>
      </c>
      <c r="CK40" s="681">
        <f>COUNTIFS($AE$15:$AE$404,"○",$F$15:$F$404,"高校生(～18歳)")</f>
        <v>0</v>
      </c>
      <c r="CL40" s="704">
        <f>COUNTIFS($AF$15:$AF$404,"○",$F$15:$F$404,"高校生(～18歳)")</f>
        <v>0</v>
      </c>
      <c r="CM40" s="698"/>
      <c r="CN40" s="681">
        <f>COUNTIFS($AI$15:$AI$404,"○",$F$15:$F$404,"高校生(～18歳)")</f>
        <v>0</v>
      </c>
      <c r="CO40" s="681">
        <f>COUNTIFS($AJ$15:$AJ$404,"○",$F$15:$F$404,"高校生(～18歳)")</f>
        <v>0</v>
      </c>
      <c r="CP40" s="729"/>
    </row>
    <row r="41" spans="1:94" ht="14.1" customHeight="1" x14ac:dyDescent="0.15">
      <c r="A41" s="652" t="str">
        <f t="shared" ref="A41" si="228">IF(AND(D41="",D43&lt;&gt;""),"×","○")</f>
        <v>○</v>
      </c>
      <c r="B41" s="2174" t="str">
        <f t="shared" ref="B41" si="229">IF(AND(AT41="○",BB41="○",BC41="○",A41="○"),"○","×")</f>
        <v>○</v>
      </c>
      <c r="C41" s="2116">
        <v>14</v>
      </c>
      <c r="D41" s="2006"/>
      <c r="E41" s="2004"/>
      <c r="F41" s="2041"/>
      <c r="G41" s="2118"/>
      <c r="H41" s="2106"/>
      <c r="I41" s="2141"/>
      <c r="J41" s="2142"/>
      <c r="K41" s="2104"/>
      <c r="L41" s="2140"/>
      <c r="M41" s="2110"/>
      <c r="N41" s="2111"/>
      <c r="O41" s="2104"/>
      <c r="P41" s="2104"/>
      <c r="Q41" s="2106"/>
      <c r="R41" s="2110"/>
      <c r="S41" s="2111"/>
      <c r="T41" s="2104"/>
      <c r="U41" s="2104"/>
      <c r="V41" s="2106"/>
      <c r="W41" s="2110"/>
      <c r="X41" s="2111"/>
      <c r="Y41" s="2104"/>
      <c r="Z41" s="2104"/>
      <c r="AA41" s="2106"/>
      <c r="AB41" s="2110"/>
      <c r="AC41" s="2111"/>
      <c r="AD41" s="2104"/>
      <c r="AE41" s="2104"/>
      <c r="AF41" s="2106"/>
      <c r="AG41" s="2110"/>
      <c r="AH41" s="2111"/>
      <c r="AI41" s="2104"/>
      <c r="AJ41" s="2104"/>
      <c r="AK41" s="2038"/>
      <c r="AL41" s="2039"/>
      <c r="AM41" s="2039"/>
      <c r="AN41" s="2040"/>
      <c r="AO41" s="2008"/>
      <c r="AP41" s="2009"/>
      <c r="AQ41" s="2009"/>
      <c r="AR41" s="2010"/>
      <c r="AS41" s="651"/>
      <c r="AT41" s="652" t="str">
        <f t="shared" ref="AT41" si="230">IF(OR(AND(D41&lt;&gt;"",OR(AND(E41&lt;&gt;"",F41&lt;&gt;"",OR(G41&lt;&gt;"",H41&lt;&gt;"")),AND(E41="",F41="バス・カメラマン等"))),AND(D41="",E41="",F41="",OR(G41="",H41=""))),"○","×")</f>
        <v>○</v>
      </c>
      <c r="AU41" s="1983" t="str">
        <f t="shared" ref="AU41" si="231">IF(AND(E41&lt;&gt;"",E41&lt;=2),"2歳児以下","")</f>
        <v/>
      </c>
      <c r="AV41" s="1983" t="str">
        <f t="shared" ref="AV41" si="232">IF(OR(AND(3&lt;=E41,E41&lt;=6),COUNTIF(E41, "幼*"),COUNTIF(E41, "年少"),COUNTIF(E41, "年中"),COUNTIF(E41, "年長")),"3歳-学齢前","")</f>
        <v/>
      </c>
      <c r="AW41" s="1983" t="str">
        <f t="shared" ref="AW41" si="233">IF(OR(AND(6&lt;=E41,E41&lt;=12),COUNTIF(E41, "小*")),"小学生","")</f>
        <v/>
      </c>
      <c r="AX41" s="1983" t="str">
        <f t="shared" ref="AX41" si="234">IF(OR(AND(12&lt;=E41,E41&lt;=15),COUNTIF(E41, "中*")),"中学生","")</f>
        <v/>
      </c>
      <c r="AY41" s="1983" t="str">
        <f t="shared" ref="AY41" si="235">IF(OR(AND(15&lt;=E41,E41&lt;=18),COUNTIF(E41, "高*")),"高校生(～18歳)","")</f>
        <v/>
      </c>
      <c r="AZ41" s="1983" t="str">
        <f t="shared" ref="AZ41" si="236">IF(OR(19&lt;=E41,COUNTIF(E41, "大*"),COUNTIF(E41, "*院*"),COUNTIF(E41, "*専*")),"一般(19歳～)","")</f>
        <v/>
      </c>
      <c r="BA41" s="1983" t="s">
        <v>475</v>
      </c>
      <c r="BB41" s="652" t="str">
        <f t="shared" ref="BB41" si="237">IF(OR(AND(D41="",I41="",M41="",R41="",W41="",AB41="",AG41=""),AND(D41&lt;&gt;"",OR(I41&lt;&gt;"",M41&lt;&gt;"",R41&lt;&gt;"",W41&lt;&gt;"",AB41&lt;&gt;"",AG41&lt;&gt;""))),"○","×")</f>
        <v>○</v>
      </c>
      <c r="BC41" s="652" t="str">
        <f t="shared" ref="BC41" si="238">IF(AND(BD41="○",BE41="○",BF41="○",BG41="○",BH41="○",BI41="○"),"○","×")</f>
        <v>○</v>
      </c>
      <c r="BD41" s="653" t="str">
        <f t="shared" ref="BD41" si="239">IF(AND($I$7=" ",OR(I41&lt;&gt;"",K41&lt;&gt;"",L41&lt;&gt;"")),"×","○")</f>
        <v>○</v>
      </c>
      <c r="BE41" s="653" t="str">
        <f t="shared" ref="BE41" si="240">IF(AND($M$7=" ",OR(M41&lt;&gt;"",O41&lt;&gt;"",P41&lt;&gt;"",Q41&lt;&gt;"")),"×","○")</f>
        <v>○</v>
      </c>
      <c r="BF41" s="653" t="str">
        <f t="shared" ref="BF41" si="241">IF(AND($R$7=" ",OR(R41&lt;&gt;"",T41&lt;&gt;"",U41&lt;&gt;"",V41&lt;&gt;"")),"×","○")</f>
        <v>○</v>
      </c>
      <c r="BG41" s="653" t="str">
        <f t="shared" ref="BG41" si="242">IF(AND($W$7=" ",OR(W41&lt;&gt;"",Y41&lt;&gt;"",Z41&lt;&gt;"",AA41&lt;&gt;"")),"×","○")</f>
        <v>○</v>
      </c>
      <c r="BH41" s="653" t="str">
        <f t="shared" ref="BH41" si="243">IF(AND($AB$7=" ",OR(AB41&lt;&gt;"",AD41&lt;&gt;"",AE41&lt;&gt;"",AF41&lt;&gt;"")),"×","○")</f>
        <v>○</v>
      </c>
      <c r="BI41" s="653" t="str">
        <f t="shared" ref="BI41" si="244">IF(AND($AG$7=" ",OR(AG41&lt;&gt;"",AI41&lt;&gt;"",AJ41&lt;&gt;"")),"×","○")</f>
        <v>○</v>
      </c>
      <c r="BJ41" s="2225" t="e">
        <f t="shared" ref="BJ41" si="245">SUMPRODUCT(1/COUNTIF(I41:AH41,"宿泊"))</f>
        <v>#DIV/0!</v>
      </c>
      <c r="BK41" s="2226" t="e">
        <f t="shared" ref="BK41" si="246">SUMPRODUCT(1/COUNTIF(I41:AH41,"日帰り"))</f>
        <v>#DIV/0!</v>
      </c>
      <c r="BL41" s="1381">
        <f t="shared" ref="BL41" si="247">COUNT(BJ41)-COUNT(BK41)</f>
        <v>0</v>
      </c>
      <c r="BM41" s="684"/>
      <c r="BN41" s="666"/>
      <c r="BO41" s="1891" t="s">
        <v>326</v>
      </c>
      <c r="BP41" s="1930"/>
      <c r="BQ41" s="1930"/>
      <c r="BR41" s="1931"/>
      <c r="BS41" s="692"/>
      <c r="BT41" s="678"/>
      <c r="BU41" s="681">
        <f>COUNTIFS($K$15:$K$404,"○",$F$15:$F$404,"一般(19歳～)")</f>
        <v>0</v>
      </c>
      <c r="BV41" s="704">
        <f>COUNTIFS($L$15:$L$404,"○",$F$15:$F$404,"一般(19歳～)")</f>
        <v>0</v>
      </c>
      <c r="BW41" s="699"/>
      <c r="BX41" s="681">
        <f>COUNTIFS($O$15:$O$404,"○",$F$15:$F$404,"一般(19歳～)")</f>
        <v>0</v>
      </c>
      <c r="BY41" s="681">
        <f>COUNTIFS($P$15:$P$404,"○",$F$15:$F$404,"一般(19歳～)")</f>
        <v>0</v>
      </c>
      <c r="BZ41" s="704">
        <f>COUNTIFS($Q$15:$Q$404,"○",$F$15:$F$404,"一般(19歳～)")</f>
        <v>0</v>
      </c>
      <c r="CA41" s="699"/>
      <c r="CB41" s="681">
        <f>COUNTIFS($T$15:$T$404,"○",$F$15:$F$404,"一般(19歳～)")</f>
        <v>0</v>
      </c>
      <c r="CC41" s="681">
        <f>COUNTIFS($U$15:$U$404,"○",$F$15:$F$404,"一般(19歳～)")</f>
        <v>0</v>
      </c>
      <c r="CD41" s="704">
        <f>COUNTIFS($V$15:$V$404,"○",$F$15:$F$404,"一般(19歳～)")</f>
        <v>0</v>
      </c>
      <c r="CE41" s="699"/>
      <c r="CF41" s="681">
        <f>COUNTIFS($Y$15:$Y$404,"○",$F$15:$F$404,"一般(19歳～)")</f>
        <v>0</v>
      </c>
      <c r="CG41" s="681">
        <f>COUNTIFS($Z$15:$Z$404,"○",$F$15:$F$404,"一般(19歳～)")</f>
        <v>0</v>
      </c>
      <c r="CH41" s="704">
        <f>COUNTIFS($AA$15:$AA$404,"○",$F$15:$F$404,"一般(19歳～)")</f>
        <v>0</v>
      </c>
      <c r="CI41" s="699"/>
      <c r="CJ41" s="681">
        <f>COUNTIFS($AD$15:$AD$404,"○",$F$15:$F$404,"一般(19歳～)")</f>
        <v>0</v>
      </c>
      <c r="CK41" s="681">
        <f>COUNTIFS($AE$15:$AE$404,"○",$F$15:$F$404,"一般(19歳～)")</f>
        <v>0</v>
      </c>
      <c r="CL41" s="704">
        <f>COUNTIFS($AF$15:$AF$404,"○",$F$15:$F$404,"一般(19歳～)")</f>
        <v>0</v>
      </c>
      <c r="CM41" s="699"/>
      <c r="CN41" s="681">
        <f>COUNTIFS($AI$15:$AI$404,"○",$F$15:$F$404,"一般(19歳～)")</f>
        <v>0</v>
      </c>
      <c r="CO41" s="681">
        <f>COUNTIFS($AJ$15:$AJ$404,"○",$F$15:$F$404,"一般(19歳～)")</f>
        <v>0</v>
      </c>
      <c r="CP41" s="729"/>
    </row>
    <row r="42" spans="1:94" ht="14.1" customHeight="1" thickBot="1" x14ac:dyDescent="0.2">
      <c r="A42" s="652"/>
      <c r="B42" s="2174"/>
      <c r="C42" s="2117"/>
      <c r="D42" s="2007"/>
      <c r="E42" s="2005"/>
      <c r="F42" s="2042"/>
      <c r="G42" s="2119"/>
      <c r="H42" s="2107"/>
      <c r="I42" s="2112"/>
      <c r="J42" s="2113"/>
      <c r="K42" s="2105"/>
      <c r="L42" s="2127"/>
      <c r="M42" s="2112"/>
      <c r="N42" s="2113"/>
      <c r="O42" s="2105"/>
      <c r="P42" s="2105"/>
      <c r="Q42" s="2107"/>
      <c r="R42" s="2112"/>
      <c r="S42" s="2113"/>
      <c r="T42" s="2105"/>
      <c r="U42" s="2105"/>
      <c r="V42" s="2107"/>
      <c r="W42" s="2112"/>
      <c r="X42" s="2113"/>
      <c r="Y42" s="2105"/>
      <c r="Z42" s="2105"/>
      <c r="AA42" s="2107"/>
      <c r="AB42" s="2112"/>
      <c r="AC42" s="2113"/>
      <c r="AD42" s="2105"/>
      <c r="AE42" s="2105"/>
      <c r="AF42" s="2107"/>
      <c r="AG42" s="2112"/>
      <c r="AH42" s="2113"/>
      <c r="AI42" s="2105"/>
      <c r="AJ42" s="2105"/>
      <c r="AK42" s="2011"/>
      <c r="AL42" s="2012"/>
      <c r="AM42" s="2012"/>
      <c r="AN42" s="2013"/>
      <c r="AO42" s="2011"/>
      <c r="AP42" s="2012"/>
      <c r="AQ42" s="2012"/>
      <c r="AR42" s="2013"/>
      <c r="AS42" s="651"/>
      <c r="AT42" s="652"/>
      <c r="AU42" s="1983"/>
      <c r="AV42" s="1983"/>
      <c r="AW42" s="1983"/>
      <c r="AX42" s="1983"/>
      <c r="AY42" s="1983"/>
      <c r="AZ42" s="1983"/>
      <c r="BA42" s="1983"/>
      <c r="BB42" s="654"/>
      <c r="BC42" s="654"/>
      <c r="BD42" s="652"/>
      <c r="BE42" s="652"/>
      <c r="BF42" s="652"/>
      <c r="BG42" s="652"/>
      <c r="BH42" s="652"/>
      <c r="BI42" s="652"/>
      <c r="BJ42" s="2225"/>
      <c r="BK42" s="2226"/>
      <c r="BL42" s="1381"/>
      <c r="BM42" s="684"/>
      <c r="BN42" s="666"/>
      <c r="BO42" s="1932" t="s">
        <v>515</v>
      </c>
      <c r="BP42" s="1933"/>
      <c r="BQ42" s="1933"/>
      <c r="BR42" s="1934"/>
      <c r="BS42" s="693"/>
      <c r="BT42" s="732"/>
      <c r="BU42" s="694">
        <f>COUNTIFS($K$15:$K$404,"○",$F$15:$F$404,"バス・カメラマン等")</f>
        <v>0</v>
      </c>
      <c r="BV42" s="705">
        <f>COUNTIFS($L$15:$L$404,"○",$F$15:$F$404,"バス・カメラマン等")</f>
        <v>0</v>
      </c>
      <c r="BW42" s="700"/>
      <c r="BX42" s="694">
        <f>COUNTIFS($O$15:$O$404,"○",$F$15:$F$404,"バス・カメラマン等")</f>
        <v>0</v>
      </c>
      <c r="BY42" s="694">
        <f>COUNTIFS($P$15:$P$404,"○",$F$15:$F$404,"バス・カメラマン等")</f>
        <v>0</v>
      </c>
      <c r="BZ42" s="705">
        <f>COUNTIFS($Q$15:$Q$404,"○",$F$15:$F$404,"バス・カメラマン等")</f>
        <v>0</v>
      </c>
      <c r="CA42" s="700"/>
      <c r="CB42" s="694">
        <f>COUNTIFS($T$15:$T$404,"○",$F$15:$F$404,"バス・カメラマン等")</f>
        <v>0</v>
      </c>
      <c r="CC42" s="694">
        <f>COUNTIFS($U$15:$U$404,"○",$F$15:$F$404,"バス・カメラマン等")</f>
        <v>0</v>
      </c>
      <c r="CD42" s="705">
        <f>COUNTIFS($V$15:$V$404,"○",$F$15:$F$404,"バス・カメラマン等")</f>
        <v>0</v>
      </c>
      <c r="CE42" s="700"/>
      <c r="CF42" s="694">
        <f>COUNTIFS($Y$15:$Y$404,"○",$F$15:$F$404,"バス・カメラマン等")</f>
        <v>0</v>
      </c>
      <c r="CG42" s="694">
        <f>COUNTIFS($Z$15:$Z$404,"○",$F$15:$F$404,"バス・カメラマン等")</f>
        <v>0</v>
      </c>
      <c r="CH42" s="705">
        <f>COUNTIFS($AA$15:$AA$404,"○",$F$15:$F$404,"バス・カメラマン等")</f>
        <v>0</v>
      </c>
      <c r="CI42" s="700"/>
      <c r="CJ42" s="694">
        <f>COUNTIFS($AD$15:$AD$404,"○",$F$15:$F$404,"バス・カメラマン等")</f>
        <v>0</v>
      </c>
      <c r="CK42" s="694">
        <f>COUNTIFS($AE$15:$AE$404,"○",$F$15:$F$404,"バス・カメラマン等")</f>
        <v>0</v>
      </c>
      <c r="CL42" s="705">
        <f>COUNTIFS($AF$15:$AF$404,"○",$F$15:$F$404,"バス・カメラマン等")</f>
        <v>0</v>
      </c>
      <c r="CM42" s="700"/>
      <c r="CN42" s="694">
        <f>COUNTIFS($AI$15:$AI$404,"○",$F$15:$F$404,"バス・カメラマン等")</f>
        <v>0</v>
      </c>
      <c r="CO42" s="694">
        <f>COUNTIFS($AJ$15:$AJ$404,"○",$F$15:$F$404,"バス・カメラマン等")</f>
        <v>0</v>
      </c>
      <c r="CP42" s="730"/>
    </row>
    <row r="43" spans="1:94" ht="14.1" customHeight="1" x14ac:dyDescent="0.15">
      <c r="A43" s="652" t="str">
        <f t="shared" ref="A43" si="248">IF(AND(D43="",D45&lt;&gt;""),"×","○")</f>
        <v>○</v>
      </c>
      <c r="B43" s="2174" t="str">
        <f t="shared" ref="B43" si="249">IF(AND(AT43="○",BB43="○",BC43="○",A43="○"),"○","×")</f>
        <v>○</v>
      </c>
      <c r="C43" s="2116">
        <v>15</v>
      </c>
      <c r="D43" s="2006"/>
      <c r="E43" s="2004"/>
      <c r="F43" s="2041"/>
      <c r="G43" s="2118"/>
      <c r="H43" s="2106"/>
      <c r="I43" s="2141"/>
      <c r="J43" s="2142"/>
      <c r="K43" s="2104"/>
      <c r="L43" s="2140"/>
      <c r="M43" s="2110"/>
      <c r="N43" s="2111"/>
      <c r="O43" s="2104"/>
      <c r="P43" s="2104"/>
      <c r="Q43" s="2106"/>
      <c r="R43" s="2110"/>
      <c r="S43" s="2111"/>
      <c r="T43" s="2104"/>
      <c r="U43" s="2104"/>
      <c r="V43" s="2106"/>
      <c r="W43" s="2110"/>
      <c r="X43" s="2111"/>
      <c r="Y43" s="2104"/>
      <c r="Z43" s="2104"/>
      <c r="AA43" s="2106"/>
      <c r="AB43" s="2110"/>
      <c r="AC43" s="2111"/>
      <c r="AD43" s="2104"/>
      <c r="AE43" s="2104"/>
      <c r="AF43" s="2106"/>
      <c r="AG43" s="2110"/>
      <c r="AH43" s="2111"/>
      <c r="AI43" s="2104"/>
      <c r="AJ43" s="2104"/>
      <c r="AK43" s="2038"/>
      <c r="AL43" s="2039"/>
      <c r="AM43" s="2039"/>
      <c r="AN43" s="2040"/>
      <c r="AO43" s="2008"/>
      <c r="AP43" s="2009"/>
      <c r="AQ43" s="2009"/>
      <c r="AR43" s="2010"/>
      <c r="AS43" s="651"/>
      <c r="AT43" s="652" t="str">
        <f t="shared" ref="AT43" si="250">IF(OR(AND(D43&lt;&gt;"",OR(AND(E43&lt;&gt;"",F43&lt;&gt;"",OR(G43&lt;&gt;"",H43&lt;&gt;"")),AND(E43="",F43="バス・カメラマン等"))),AND(D43="",E43="",F43="",OR(G43="",H43=""))),"○","×")</f>
        <v>○</v>
      </c>
      <c r="AU43" s="1983" t="str">
        <f t="shared" ref="AU43" si="251">IF(AND(E43&lt;&gt;"",E43&lt;=2),"2歳児以下","")</f>
        <v/>
      </c>
      <c r="AV43" s="1983" t="str">
        <f t="shared" ref="AV43" si="252">IF(OR(AND(3&lt;=E43,E43&lt;=6),COUNTIF(E43, "幼*"),COUNTIF(E43, "年少"),COUNTIF(E43, "年中"),COUNTIF(E43, "年長")),"3歳-学齢前","")</f>
        <v/>
      </c>
      <c r="AW43" s="1983" t="str">
        <f t="shared" ref="AW43" si="253">IF(OR(AND(6&lt;=E43,E43&lt;=12),COUNTIF(E43, "小*")),"小学生","")</f>
        <v/>
      </c>
      <c r="AX43" s="1983" t="str">
        <f t="shared" ref="AX43" si="254">IF(OR(AND(12&lt;=E43,E43&lt;=15),COUNTIF(E43, "中*")),"中学生","")</f>
        <v/>
      </c>
      <c r="AY43" s="1983" t="str">
        <f t="shared" ref="AY43" si="255">IF(OR(AND(15&lt;=E43,E43&lt;=18),COUNTIF(E43, "高*")),"高校生(～18歳)","")</f>
        <v/>
      </c>
      <c r="AZ43" s="1983" t="str">
        <f t="shared" ref="AZ43" si="256">IF(OR(19&lt;=E43,COUNTIF(E43, "大*"),COUNTIF(E43, "*院*"),COUNTIF(E43, "*専*")),"一般(19歳～)","")</f>
        <v/>
      </c>
      <c r="BA43" s="1983" t="s">
        <v>475</v>
      </c>
      <c r="BB43" s="652" t="str">
        <f t="shared" ref="BB43" si="257">IF(OR(AND(D43="",I43="",M43="",R43="",W43="",AB43="",AG43=""),AND(D43&lt;&gt;"",OR(I43&lt;&gt;"",M43&lt;&gt;"",R43&lt;&gt;"",W43&lt;&gt;"",AB43&lt;&gt;"",AG43&lt;&gt;""))),"○","×")</f>
        <v>○</v>
      </c>
      <c r="BC43" s="652" t="str">
        <f t="shared" ref="BC43" si="258">IF(AND(BD43="○",BE43="○",BF43="○",BG43="○",BH43="○",BI43="○"),"○","×")</f>
        <v>○</v>
      </c>
      <c r="BD43" s="653" t="str">
        <f t="shared" ref="BD43" si="259">IF(AND($I$7=" ",OR(I43&lt;&gt;"",K43&lt;&gt;"",L43&lt;&gt;"")),"×","○")</f>
        <v>○</v>
      </c>
      <c r="BE43" s="653" t="str">
        <f t="shared" ref="BE43" si="260">IF(AND($M$7=" ",OR(M43&lt;&gt;"",O43&lt;&gt;"",P43&lt;&gt;"",Q43&lt;&gt;"")),"×","○")</f>
        <v>○</v>
      </c>
      <c r="BF43" s="653" t="str">
        <f t="shared" ref="BF43" si="261">IF(AND($R$7=" ",OR(R43&lt;&gt;"",T43&lt;&gt;"",U43&lt;&gt;"",V43&lt;&gt;"")),"×","○")</f>
        <v>○</v>
      </c>
      <c r="BG43" s="653" t="str">
        <f t="shared" ref="BG43" si="262">IF(AND($W$7=" ",OR(W43&lt;&gt;"",Y43&lt;&gt;"",Z43&lt;&gt;"",AA43&lt;&gt;"")),"×","○")</f>
        <v>○</v>
      </c>
      <c r="BH43" s="653" t="str">
        <f t="shared" ref="BH43" si="263">IF(AND($AB$7=" ",OR(AB43&lt;&gt;"",AD43&lt;&gt;"",AE43&lt;&gt;"",AF43&lt;&gt;"")),"×","○")</f>
        <v>○</v>
      </c>
      <c r="BI43" s="653" t="str">
        <f t="shared" ref="BI43" si="264">IF(AND($AG$7=" ",OR(AG43&lt;&gt;"",AI43&lt;&gt;"",AJ43&lt;&gt;"")),"×","○")</f>
        <v>○</v>
      </c>
      <c r="BJ43" s="2225" t="e">
        <f t="shared" ref="BJ43" si="265">SUMPRODUCT(1/COUNTIF(I43:AH43,"宿泊"))</f>
        <v>#DIV/0!</v>
      </c>
      <c r="BK43" s="2226" t="e">
        <f t="shared" ref="BK43" si="266">SUMPRODUCT(1/COUNTIF(I43:AH43,"日帰り"))</f>
        <v>#DIV/0!</v>
      </c>
      <c r="BL43" s="1381">
        <f t="shared" ref="BL43" si="267">COUNT(BJ43)-COUNT(BK43)</f>
        <v>0</v>
      </c>
      <c r="BM43" s="684"/>
      <c r="BN43" s="666"/>
      <c r="BO43" s="666"/>
      <c r="BP43" s="665"/>
      <c r="BQ43" s="667"/>
      <c r="BR43" s="667"/>
      <c r="BS43" s="665"/>
      <c r="BT43" s="668"/>
      <c r="BU43" s="668"/>
      <c r="BV43" s="668"/>
      <c r="BW43" s="668"/>
      <c r="BX43" s="668"/>
      <c r="BY43" s="668"/>
      <c r="BZ43" s="668"/>
      <c r="CA43" s="668"/>
      <c r="CB43" s="668"/>
      <c r="CC43" s="668"/>
      <c r="CD43" s="668"/>
      <c r="CE43" s="668"/>
      <c r="CF43" s="668"/>
      <c r="CG43" s="668"/>
      <c r="CH43" s="668"/>
      <c r="CI43" s="668"/>
      <c r="CJ43" s="668"/>
      <c r="CK43" s="668"/>
      <c r="CL43" s="668"/>
      <c r="CM43" s="668"/>
      <c r="CN43" s="668"/>
      <c r="CO43" s="668"/>
      <c r="CP43" s="668"/>
    </row>
    <row r="44" spans="1:94" ht="14.1" customHeight="1" x14ac:dyDescent="0.15">
      <c r="A44" s="652"/>
      <c r="B44" s="2174"/>
      <c r="C44" s="2117"/>
      <c r="D44" s="2007"/>
      <c r="E44" s="2005"/>
      <c r="F44" s="2042"/>
      <c r="G44" s="2119"/>
      <c r="H44" s="2107"/>
      <c r="I44" s="2112"/>
      <c r="J44" s="2113"/>
      <c r="K44" s="2105"/>
      <c r="L44" s="2127"/>
      <c r="M44" s="2112"/>
      <c r="N44" s="2113"/>
      <c r="O44" s="2105"/>
      <c r="P44" s="2105"/>
      <c r="Q44" s="2107"/>
      <c r="R44" s="2112"/>
      <c r="S44" s="2113"/>
      <c r="T44" s="2105"/>
      <c r="U44" s="2105"/>
      <c r="V44" s="2107"/>
      <c r="W44" s="2112"/>
      <c r="X44" s="2113"/>
      <c r="Y44" s="2105"/>
      <c r="Z44" s="2105"/>
      <c r="AA44" s="2107"/>
      <c r="AB44" s="2112"/>
      <c r="AC44" s="2113"/>
      <c r="AD44" s="2105"/>
      <c r="AE44" s="2105"/>
      <c r="AF44" s="2107"/>
      <c r="AG44" s="2112"/>
      <c r="AH44" s="2113"/>
      <c r="AI44" s="2105"/>
      <c r="AJ44" s="2105"/>
      <c r="AK44" s="2011"/>
      <c r="AL44" s="2012"/>
      <c r="AM44" s="2012"/>
      <c r="AN44" s="2013"/>
      <c r="AO44" s="2011"/>
      <c r="AP44" s="2012"/>
      <c r="AQ44" s="2012"/>
      <c r="AR44" s="2013"/>
      <c r="AS44" s="651"/>
      <c r="AT44" s="652"/>
      <c r="AU44" s="1983"/>
      <c r="AV44" s="1983"/>
      <c r="AW44" s="1983"/>
      <c r="AX44" s="1983"/>
      <c r="AY44" s="1983"/>
      <c r="AZ44" s="1983"/>
      <c r="BA44" s="1983"/>
      <c r="BB44" s="654"/>
      <c r="BC44" s="654"/>
      <c r="BD44" s="652"/>
      <c r="BE44" s="652"/>
      <c r="BF44" s="652"/>
      <c r="BG44" s="652"/>
      <c r="BH44" s="652"/>
      <c r="BI44" s="652"/>
      <c r="BJ44" s="2225"/>
      <c r="BK44" s="2226"/>
      <c r="BL44" s="1381"/>
      <c r="BM44" s="684"/>
      <c r="BN44" s="666"/>
      <c r="BO44" s="666"/>
      <c r="BP44" s="665"/>
      <c r="BQ44" s="667"/>
      <c r="BR44" s="667"/>
      <c r="BS44" s="665"/>
      <c r="BT44" s="668"/>
      <c r="BU44" s="668"/>
      <c r="BV44" s="668"/>
      <c r="BW44" s="668"/>
      <c r="BX44" s="668"/>
      <c r="BY44" s="668"/>
      <c r="BZ44" s="668"/>
      <c r="CA44" s="668"/>
      <c r="CB44" s="668"/>
      <c r="CC44" s="668"/>
      <c r="CD44" s="668"/>
      <c r="CE44" s="668"/>
      <c r="CF44" s="668"/>
      <c r="CG44" s="668"/>
      <c r="CH44" s="668"/>
      <c r="CI44" s="668"/>
      <c r="CJ44" s="668"/>
      <c r="CK44" s="668"/>
      <c r="CL44" s="668"/>
      <c r="CM44" s="668"/>
      <c r="CN44" s="668"/>
      <c r="CO44" s="668"/>
      <c r="CP44" s="668"/>
    </row>
    <row r="45" spans="1:94" ht="14.1" customHeight="1" x14ac:dyDescent="0.15">
      <c r="A45" s="652" t="str">
        <f t="shared" ref="A45" si="268">IF(AND(D45="",D47&lt;&gt;""),"×","○")</f>
        <v>○</v>
      </c>
      <c r="B45" s="2174" t="str">
        <f t="shared" ref="B45" si="269">IF(AND(AT45="○",BB45="○",BC45="○",A45="○"),"○","×")</f>
        <v>○</v>
      </c>
      <c r="C45" s="2143">
        <v>16</v>
      </c>
      <c r="D45" s="2006"/>
      <c r="E45" s="2004"/>
      <c r="F45" s="2041"/>
      <c r="G45" s="2118"/>
      <c r="H45" s="2106"/>
      <c r="I45" s="2141"/>
      <c r="J45" s="2142"/>
      <c r="K45" s="2104"/>
      <c r="L45" s="2140"/>
      <c r="M45" s="2110"/>
      <c r="N45" s="2111"/>
      <c r="O45" s="2104"/>
      <c r="P45" s="2104"/>
      <c r="Q45" s="2106"/>
      <c r="R45" s="2110"/>
      <c r="S45" s="2111"/>
      <c r="T45" s="2104"/>
      <c r="U45" s="2104"/>
      <c r="V45" s="2106"/>
      <c r="W45" s="2110"/>
      <c r="X45" s="2111"/>
      <c r="Y45" s="2104"/>
      <c r="Z45" s="2104"/>
      <c r="AA45" s="2106"/>
      <c r="AB45" s="2110"/>
      <c r="AC45" s="2111"/>
      <c r="AD45" s="2104"/>
      <c r="AE45" s="2104"/>
      <c r="AF45" s="2106"/>
      <c r="AG45" s="2110"/>
      <c r="AH45" s="2111"/>
      <c r="AI45" s="2104"/>
      <c r="AJ45" s="2104"/>
      <c r="AK45" s="2038"/>
      <c r="AL45" s="2039"/>
      <c r="AM45" s="2039"/>
      <c r="AN45" s="2040"/>
      <c r="AO45" s="2008"/>
      <c r="AP45" s="2009"/>
      <c r="AQ45" s="2009"/>
      <c r="AR45" s="2010"/>
      <c r="AS45" s="651"/>
      <c r="AT45" s="652" t="str">
        <f t="shared" ref="AT45" si="270">IF(OR(AND(D45&lt;&gt;"",OR(AND(E45&lt;&gt;"",F45&lt;&gt;"",OR(G45&lt;&gt;"",H45&lt;&gt;"")),AND(E45="",F45="バス・カメラマン等"))),AND(D45="",E45="",F45="",OR(G45="",H45=""))),"○","×")</f>
        <v>○</v>
      </c>
      <c r="AU45" s="1983" t="str">
        <f t="shared" ref="AU45" si="271">IF(AND(E45&lt;&gt;"",E45&lt;=2),"2歳児以下","")</f>
        <v/>
      </c>
      <c r="AV45" s="1983" t="str">
        <f t="shared" ref="AV45" si="272">IF(OR(AND(3&lt;=E45,E45&lt;=6),COUNTIF(E45, "幼*"),COUNTIF(E45, "年少"),COUNTIF(E45, "年中"),COUNTIF(E45, "年長")),"3歳-学齢前","")</f>
        <v/>
      </c>
      <c r="AW45" s="1983" t="str">
        <f t="shared" ref="AW45" si="273">IF(OR(AND(6&lt;=E45,E45&lt;=12),COUNTIF(E45, "小*")),"小学生","")</f>
        <v/>
      </c>
      <c r="AX45" s="1983" t="str">
        <f t="shared" ref="AX45" si="274">IF(OR(AND(12&lt;=E45,E45&lt;=15),COUNTIF(E45, "中*")),"中学生","")</f>
        <v/>
      </c>
      <c r="AY45" s="1983" t="str">
        <f t="shared" ref="AY45" si="275">IF(OR(AND(15&lt;=E45,E45&lt;=18),COUNTIF(E45, "高*")),"高校生(～18歳)","")</f>
        <v/>
      </c>
      <c r="AZ45" s="1983" t="str">
        <f t="shared" ref="AZ45" si="276">IF(OR(19&lt;=E45,COUNTIF(E45, "大*"),COUNTIF(E45, "*院*"),COUNTIF(E45, "*専*")),"一般(19歳～)","")</f>
        <v/>
      </c>
      <c r="BA45" s="1983" t="s">
        <v>475</v>
      </c>
      <c r="BB45" s="652" t="str">
        <f t="shared" ref="BB45" si="277">IF(OR(AND(D45="",I45="",M45="",R45="",W45="",AB45="",AG45=""),AND(D45&lt;&gt;"",OR(I45&lt;&gt;"",M45&lt;&gt;"",R45&lt;&gt;"",W45&lt;&gt;"",AB45&lt;&gt;"",AG45&lt;&gt;""))),"○","×")</f>
        <v>○</v>
      </c>
      <c r="BC45" s="652" t="str">
        <f t="shared" ref="BC45" si="278">IF(AND(BD45="○",BE45="○",BF45="○",BG45="○",BH45="○",BI45="○"),"○","×")</f>
        <v>○</v>
      </c>
      <c r="BD45" s="653" t="str">
        <f t="shared" ref="BD45" si="279">IF(AND($I$7=" ",OR(I45&lt;&gt;"",K45&lt;&gt;"",L45&lt;&gt;"")),"×","○")</f>
        <v>○</v>
      </c>
      <c r="BE45" s="653" t="str">
        <f t="shared" ref="BE45" si="280">IF(AND($M$7=" ",OR(M45&lt;&gt;"",O45&lt;&gt;"",P45&lt;&gt;"",Q45&lt;&gt;"")),"×","○")</f>
        <v>○</v>
      </c>
      <c r="BF45" s="653" t="str">
        <f t="shared" ref="BF45" si="281">IF(AND($R$7=" ",OR(R45&lt;&gt;"",T45&lt;&gt;"",U45&lt;&gt;"",V45&lt;&gt;"")),"×","○")</f>
        <v>○</v>
      </c>
      <c r="BG45" s="653" t="str">
        <f t="shared" ref="BG45" si="282">IF(AND($W$7=" ",OR(W45&lt;&gt;"",Y45&lt;&gt;"",Z45&lt;&gt;"",AA45&lt;&gt;"")),"×","○")</f>
        <v>○</v>
      </c>
      <c r="BH45" s="653" t="str">
        <f t="shared" ref="BH45" si="283">IF(AND($AB$7=" ",OR(AB45&lt;&gt;"",AD45&lt;&gt;"",AE45&lt;&gt;"",AF45&lt;&gt;"")),"×","○")</f>
        <v>○</v>
      </c>
      <c r="BI45" s="653" t="str">
        <f t="shared" ref="BI45" si="284">IF(AND($AG$7=" ",OR(AG45&lt;&gt;"",AI45&lt;&gt;"",AJ45&lt;&gt;"")),"×","○")</f>
        <v>○</v>
      </c>
      <c r="BJ45" s="2225" t="e">
        <f t="shared" ref="BJ45" si="285">SUMPRODUCT(1/COUNTIF(I45:AH45,"宿泊"))</f>
        <v>#DIV/0!</v>
      </c>
      <c r="BK45" s="2226" t="e">
        <f t="shared" ref="BK45" si="286">SUMPRODUCT(1/COUNTIF(I45:AH45,"日帰り"))</f>
        <v>#DIV/0!</v>
      </c>
      <c r="BL45" s="1381">
        <f t="shared" ref="BL45" si="287">COUNT(BJ45)-COUNT(BK45)</f>
        <v>0</v>
      </c>
      <c r="BM45" s="684"/>
      <c r="CB45" s="669"/>
      <c r="CC45" s="669"/>
      <c r="CD45" s="669"/>
      <c r="CE45" s="669"/>
      <c r="CF45" s="669"/>
      <c r="CG45" s="669"/>
      <c r="CH45" s="669"/>
      <c r="CI45" s="669"/>
      <c r="CJ45" s="669"/>
      <c r="CK45" s="669"/>
      <c r="CL45" s="669"/>
      <c r="CM45" s="669"/>
      <c r="CN45" s="669"/>
      <c r="CO45" s="669"/>
      <c r="CP45" s="669"/>
    </row>
    <row r="46" spans="1:94" ht="14.1" customHeight="1" x14ac:dyDescent="0.15">
      <c r="A46" s="652"/>
      <c r="B46" s="2174"/>
      <c r="C46" s="2144"/>
      <c r="D46" s="2007"/>
      <c r="E46" s="2005"/>
      <c r="F46" s="2042"/>
      <c r="G46" s="2119"/>
      <c r="H46" s="2107"/>
      <c r="I46" s="2112"/>
      <c r="J46" s="2113"/>
      <c r="K46" s="2105"/>
      <c r="L46" s="2127"/>
      <c r="M46" s="2112"/>
      <c r="N46" s="2113"/>
      <c r="O46" s="2105"/>
      <c r="P46" s="2105"/>
      <c r="Q46" s="2107"/>
      <c r="R46" s="2112"/>
      <c r="S46" s="2113"/>
      <c r="T46" s="2105"/>
      <c r="U46" s="2105"/>
      <c r="V46" s="2107"/>
      <c r="W46" s="2112"/>
      <c r="X46" s="2113"/>
      <c r="Y46" s="2105"/>
      <c r="Z46" s="2105"/>
      <c r="AA46" s="2107"/>
      <c r="AB46" s="2112"/>
      <c r="AC46" s="2113"/>
      <c r="AD46" s="2105"/>
      <c r="AE46" s="2105"/>
      <c r="AF46" s="2107"/>
      <c r="AG46" s="2112"/>
      <c r="AH46" s="2113"/>
      <c r="AI46" s="2105"/>
      <c r="AJ46" s="2105"/>
      <c r="AK46" s="2011"/>
      <c r="AL46" s="2012"/>
      <c r="AM46" s="2012"/>
      <c r="AN46" s="2013"/>
      <c r="AO46" s="2011"/>
      <c r="AP46" s="2012"/>
      <c r="AQ46" s="2012"/>
      <c r="AR46" s="2013"/>
      <c r="AS46" s="651"/>
      <c r="AT46" s="652"/>
      <c r="AU46" s="1983"/>
      <c r="AV46" s="1983"/>
      <c r="AW46" s="1983"/>
      <c r="AX46" s="1983"/>
      <c r="AY46" s="1983"/>
      <c r="AZ46" s="1983"/>
      <c r="BA46" s="1983"/>
      <c r="BB46" s="654"/>
      <c r="BC46" s="654"/>
      <c r="BD46" s="652"/>
      <c r="BE46" s="652"/>
      <c r="BF46" s="652"/>
      <c r="BG46" s="652"/>
      <c r="BH46" s="652"/>
      <c r="BI46" s="652"/>
      <c r="BJ46" s="2225"/>
      <c r="BK46" s="2226"/>
      <c r="BL46" s="1381"/>
      <c r="BM46" s="684"/>
      <c r="CB46" s="669"/>
      <c r="CC46" s="669"/>
      <c r="CD46" s="669"/>
      <c r="CE46" s="669"/>
      <c r="CF46" s="669"/>
      <c r="CG46" s="669"/>
      <c r="CH46" s="669"/>
      <c r="CI46" s="669"/>
      <c r="CJ46" s="669"/>
      <c r="CK46" s="669"/>
      <c r="CL46" s="669"/>
      <c r="CM46" s="669"/>
      <c r="CN46" s="669"/>
      <c r="CO46" s="669"/>
      <c r="CP46" s="669"/>
    </row>
    <row r="47" spans="1:94" ht="14.1" customHeight="1" x14ac:dyDescent="0.15">
      <c r="A47" s="652" t="str">
        <f t="shared" ref="A47" si="288">IF(AND(D47="",D49&lt;&gt;""),"×","○")</f>
        <v>○</v>
      </c>
      <c r="B47" s="2174" t="str">
        <f t="shared" ref="B47" si="289">IF(AND(AT47="○",BB47="○",BC47="○",A47="○"),"○","×")</f>
        <v>○</v>
      </c>
      <c r="C47" s="2143">
        <v>17</v>
      </c>
      <c r="D47" s="2006"/>
      <c r="E47" s="2004"/>
      <c r="F47" s="2041"/>
      <c r="G47" s="2118"/>
      <c r="H47" s="2106"/>
      <c r="I47" s="2141"/>
      <c r="J47" s="2142"/>
      <c r="K47" s="2104"/>
      <c r="L47" s="2140"/>
      <c r="M47" s="2110"/>
      <c r="N47" s="2111"/>
      <c r="O47" s="2104"/>
      <c r="P47" s="2104"/>
      <c r="Q47" s="2106"/>
      <c r="R47" s="2110"/>
      <c r="S47" s="2111"/>
      <c r="T47" s="2104"/>
      <c r="U47" s="2104"/>
      <c r="V47" s="2106"/>
      <c r="W47" s="2110"/>
      <c r="X47" s="2111"/>
      <c r="Y47" s="2104"/>
      <c r="Z47" s="2104"/>
      <c r="AA47" s="2106"/>
      <c r="AB47" s="2110"/>
      <c r="AC47" s="2111"/>
      <c r="AD47" s="2104"/>
      <c r="AE47" s="2104"/>
      <c r="AF47" s="2106"/>
      <c r="AG47" s="2110"/>
      <c r="AH47" s="2111"/>
      <c r="AI47" s="2104"/>
      <c r="AJ47" s="2104"/>
      <c r="AK47" s="2038"/>
      <c r="AL47" s="2039"/>
      <c r="AM47" s="2039"/>
      <c r="AN47" s="2040"/>
      <c r="AO47" s="2008"/>
      <c r="AP47" s="2009"/>
      <c r="AQ47" s="2009"/>
      <c r="AR47" s="2010"/>
      <c r="AS47" s="651"/>
      <c r="AT47" s="652" t="str">
        <f t="shared" ref="AT47" si="290">IF(OR(AND(D47&lt;&gt;"",OR(AND(E47&lt;&gt;"",F47&lt;&gt;"",OR(G47&lt;&gt;"",H47&lt;&gt;"")),AND(E47="",F47="バス・カメラマン等"))),AND(D47="",E47="",F47="",OR(G47="",H47=""))),"○","×")</f>
        <v>○</v>
      </c>
      <c r="AU47" s="1983" t="str">
        <f t="shared" ref="AU47" si="291">IF(AND(E47&lt;&gt;"",E47&lt;=2),"2歳児以下","")</f>
        <v/>
      </c>
      <c r="AV47" s="1983" t="str">
        <f t="shared" ref="AV47" si="292">IF(OR(AND(3&lt;=E47,E47&lt;=6),COUNTIF(E47, "幼*"),COUNTIF(E47, "年少"),COUNTIF(E47, "年中"),COUNTIF(E47, "年長")),"3歳-学齢前","")</f>
        <v/>
      </c>
      <c r="AW47" s="1983" t="str">
        <f t="shared" ref="AW47" si="293">IF(OR(AND(6&lt;=E47,E47&lt;=12),COUNTIF(E47, "小*")),"小学生","")</f>
        <v/>
      </c>
      <c r="AX47" s="1983" t="str">
        <f t="shared" ref="AX47" si="294">IF(OR(AND(12&lt;=E47,E47&lt;=15),COUNTIF(E47, "中*")),"中学生","")</f>
        <v/>
      </c>
      <c r="AY47" s="1983" t="str">
        <f t="shared" ref="AY47" si="295">IF(OR(AND(15&lt;=E47,E47&lt;=18),COUNTIF(E47, "高*")),"高校生(～18歳)","")</f>
        <v/>
      </c>
      <c r="AZ47" s="1983" t="str">
        <f t="shared" ref="AZ47" si="296">IF(OR(19&lt;=E47,COUNTIF(E47, "大*"),COUNTIF(E47, "*院*"),COUNTIF(E47, "*専*")),"一般(19歳～)","")</f>
        <v/>
      </c>
      <c r="BA47" s="1983" t="s">
        <v>475</v>
      </c>
      <c r="BB47" s="652" t="str">
        <f t="shared" ref="BB47" si="297">IF(OR(AND(D47="",I47="",M47="",R47="",W47="",AB47="",AG47=""),AND(D47&lt;&gt;"",OR(I47&lt;&gt;"",M47&lt;&gt;"",R47&lt;&gt;"",W47&lt;&gt;"",AB47&lt;&gt;"",AG47&lt;&gt;""))),"○","×")</f>
        <v>○</v>
      </c>
      <c r="BC47" s="652" t="str">
        <f t="shared" ref="BC47" si="298">IF(AND(BD47="○",BE47="○",BF47="○",BG47="○",BH47="○",BI47="○"),"○","×")</f>
        <v>○</v>
      </c>
      <c r="BD47" s="653" t="str">
        <f t="shared" ref="BD47" si="299">IF(AND($I$7=" ",OR(I47&lt;&gt;"",K47&lt;&gt;"",L47&lt;&gt;"")),"×","○")</f>
        <v>○</v>
      </c>
      <c r="BE47" s="653" t="str">
        <f t="shared" ref="BE47" si="300">IF(AND($M$7=" ",OR(M47&lt;&gt;"",O47&lt;&gt;"",P47&lt;&gt;"",Q47&lt;&gt;"")),"×","○")</f>
        <v>○</v>
      </c>
      <c r="BF47" s="653" t="str">
        <f t="shared" ref="BF47" si="301">IF(AND($R$7=" ",OR(R47&lt;&gt;"",T47&lt;&gt;"",U47&lt;&gt;"",V47&lt;&gt;"")),"×","○")</f>
        <v>○</v>
      </c>
      <c r="BG47" s="653" t="str">
        <f t="shared" ref="BG47" si="302">IF(AND($W$7=" ",OR(W47&lt;&gt;"",Y47&lt;&gt;"",Z47&lt;&gt;"",AA47&lt;&gt;"")),"×","○")</f>
        <v>○</v>
      </c>
      <c r="BH47" s="653" t="str">
        <f t="shared" ref="BH47" si="303">IF(AND($AB$7=" ",OR(AB47&lt;&gt;"",AD47&lt;&gt;"",AE47&lt;&gt;"",AF47&lt;&gt;"")),"×","○")</f>
        <v>○</v>
      </c>
      <c r="BI47" s="653" t="str">
        <f t="shared" ref="BI47" si="304">IF(AND($AG$7=" ",OR(AG47&lt;&gt;"",AI47&lt;&gt;"",AJ47&lt;&gt;"")),"×","○")</f>
        <v>○</v>
      </c>
      <c r="BJ47" s="2225" t="e">
        <f t="shared" ref="BJ47" si="305">SUMPRODUCT(1/COUNTIF(I47:AH47,"宿泊"))</f>
        <v>#DIV/0!</v>
      </c>
      <c r="BK47" s="2226" t="e">
        <f t="shared" ref="BK47" si="306">SUMPRODUCT(1/COUNTIF(I47:AH47,"日帰り"))</f>
        <v>#DIV/0!</v>
      </c>
      <c r="BL47" s="1381">
        <f t="shared" ref="BL47" si="307">COUNT(BJ47)-COUNT(BK47)</f>
        <v>0</v>
      </c>
      <c r="BM47" s="684"/>
      <c r="CB47" s="669"/>
      <c r="CC47" s="669"/>
      <c r="CD47" s="669"/>
      <c r="CE47" s="669"/>
      <c r="CF47" s="669"/>
      <c r="CG47" s="669"/>
      <c r="CH47" s="669"/>
      <c r="CI47" s="669"/>
      <c r="CJ47" s="669"/>
      <c r="CK47" s="669"/>
      <c r="CL47" s="669"/>
      <c r="CM47" s="669"/>
      <c r="CN47" s="669"/>
      <c r="CO47" s="669"/>
      <c r="CP47" s="669"/>
    </row>
    <row r="48" spans="1:94" ht="14.1" customHeight="1" x14ac:dyDescent="0.15">
      <c r="A48" s="652"/>
      <c r="B48" s="2174"/>
      <c r="C48" s="2144"/>
      <c r="D48" s="2007"/>
      <c r="E48" s="2005"/>
      <c r="F48" s="2042"/>
      <c r="G48" s="2119"/>
      <c r="H48" s="2107"/>
      <c r="I48" s="2112"/>
      <c r="J48" s="2113"/>
      <c r="K48" s="2105"/>
      <c r="L48" s="2127"/>
      <c r="M48" s="2112"/>
      <c r="N48" s="2113"/>
      <c r="O48" s="2105"/>
      <c r="P48" s="2105"/>
      <c r="Q48" s="2107"/>
      <c r="R48" s="2112"/>
      <c r="S48" s="2113"/>
      <c r="T48" s="2105"/>
      <c r="U48" s="2105"/>
      <c r="V48" s="2107"/>
      <c r="W48" s="2112"/>
      <c r="X48" s="2113"/>
      <c r="Y48" s="2105"/>
      <c r="Z48" s="2105"/>
      <c r="AA48" s="2107"/>
      <c r="AB48" s="2112"/>
      <c r="AC48" s="2113"/>
      <c r="AD48" s="2105"/>
      <c r="AE48" s="2105"/>
      <c r="AF48" s="2107"/>
      <c r="AG48" s="2112"/>
      <c r="AH48" s="2113"/>
      <c r="AI48" s="2105"/>
      <c r="AJ48" s="2105"/>
      <c r="AK48" s="2011"/>
      <c r="AL48" s="2012"/>
      <c r="AM48" s="2012"/>
      <c r="AN48" s="2013"/>
      <c r="AO48" s="2011"/>
      <c r="AP48" s="2012"/>
      <c r="AQ48" s="2012"/>
      <c r="AR48" s="2013"/>
      <c r="AS48" s="651"/>
      <c r="AT48" s="652"/>
      <c r="AU48" s="1983"/>
      <c r="AV48" s="1983"/>
      <c r="AW48" s="1983"/>
      <c r="AX48" s="1983"/>
      <c r="AY48" s="1983"/>
      <c r="AZ48" s="1983"/>
      <c r="BA48" s="1983"/>
      <c r="BB48" s="654"/>
      <c r="BC48" s="654"/>
      <c r="BD48" s="652"/>
      <c r="BE48" s="652"/>
      <c r="BF48" s="652"/>
      <c r="BG48" s="652"/>
      <c r="BH48" s="652"/>
      <c r="BI48" s="652"/>
      <c r="BJ48" s="2225"/>
      <c r="BK48" s="2226"/>
      <c r="BL48" s="1381"/>
      <c r="BM48" s="684"/>
      <c r="CB48" s="669"/>
      <c r="CC48" s="669"/>
      <c r="CD48" s="669"/>
      <c r="CE48" s="669"/>
      <c r="CF48" s="669"/>
      <c r="CG48" s="669"/>
      <c r="CH48" s="669"/>
      <c r="CI48" s="669"/>
      <c r="CJ48" s="669"/>
      <c r="CK48" s="669"/>
      <c r="CL48" s="669"/>
      <c r="CM48" s="669"/>
      <c r="CN48" s="669"/>
      <c r="CO48" s="669"/>
      <c r="CP48" s="669"/>
    </row>
    <row r="49" spans="1:94" ht="14.1" customHeight="1" x14ac:dyDescent="0.15">
      <c r="A49" s="652" t="str">
        <f t="shared" ref="A49" si="308">IF(AND(D49="",D51&lt;&gt;""),"×","○")</f>
        <v>○</v>
      </c>
      <c r="B49" s="2174" t="str">
        <f t="shared" ref="B49" si="309">IF(AND(AT49="○",BB49="○",BC49="○",A49="○"),"○","×")</f>
        <v>○</v>
      </c>
      <c r="C49" s="2143">
        <v>18</v>
      </c>
      <c r="D49" s="2006"/>
      <c r="E49" s="2004"/>
      <c r="F49" s="2041"/>
      <c r="G49" s="2118"/>
      <c r="H49" s="2106"/>
      <c r="I49" s="2141"/>
      <c r="J49" s="2142"/>
      <c r="K49" s="2104"/>
      <c r="L49" s="2140"/>
      <c r="M49" s="2110"/>
      <c r="N49" s="2111"/>
      <c r="O49" s="2104"/>
      <c r="P49" s="2104"/>
      <c r="Q49" s="2106"/>
      <c r="R49" s="2110"/>
      <c r="S49" s="2111"/>
      <c r="T49" s="2104"/>
      <c r="U49" s="2104"/>
      <c r="V49" s="2106"/>
      <c r="W49" s="2110"/>
      <c r="X49" s="2111"/>
      <c r="Y49" s="2104"/>
      <c r="Z49" s="2104"/>
      <c r="AA49" s="2106"/>
      <c r="AB49" s="2110"/>
      <c r="AC49" s="2111"/>
      <c r="AD49" s="2104"/>
      <c r="AE49" s="2104"/>
      <c r="AF49" s="2106"/>
      <c r="AG49" s="2110"/>
      <c r="AH49" s="2111"/>
      <c r="AI49" s="2104"/>
      <c r="AJ49" s="2104"/>
      <c r="AK49" s="2038"/>
      <c r="AL49" s="2039"/>
      <c r="AM49" s="2039"/>
      <c r="AN49" s="2040"/>
      <c r="AO49" s="2008"/>
      <c r="AP49" s="2009"/>
      <c r="AQ49" s="2009"/>
      <c r="AR49" s="2010"/>
      <c r="AS49" s="651"/>
      <c r="AT49" s="652" t="str">
        <f t="shared" ref="AT49" si="310">IF(OR(AND(D49&lt;&gt;"",OR(AND(E49&lt;&gt;"",F49&lt;&gt;"",OR(G49&lt;&gt;"",H49&lt;&gt;"")),AND(E49="",F49="バス・カメラマン等"))),AND(D49="",E49="",F49="",OR(G49="",H49=""))),"○","×")</f>
        <v>○</v>
      </c>
      <c r="AU49" s="1983" t="str">
        <f t="shared" ref="AU49" si="311">IF(AND(E49&lt;&gt;"",E49&lt;=2),"2歳児以下","")</f>
        <v/>
      </c>
      <c r="AV49" s="1983" t="str">
        <f t="shared" ref="AV49" si="312">IF(OR(AND(3&lt;=E49,E49&lt;=6),COUNTIF(E49, "幼*"),COUNTIF(E49, "年少"),COUNTIF(E49, "年中"),COUNTIF(E49, "年長")),"3歳-学齢前","")</f>
        <v/>
      </c>
      <c r="AW49" s="1983" t="str">
        <f t="shared" ref="AW49" si="313">IF(OR(AND(6&lt;=E49,E49&lt;=12),COUNTIF(E49, "小*")),"小学生","")</f>
        <v/>
      </c>
      <c r="AX49" s="1983" t="str">
        <f t="shared" ref="AX49" si="314">IF(OR(AND(12&lt;=E49,E49&lt;=15),COUNTIF(E49, "中*")),"中学生","")</f>
        <v/>
      </c>
      <c r="AY49" s="1983" t="str">
        <f t="shared" ref="AY49" si="315">IF(OR(AND(15&lt;=E49,E49&lt;=18),COUNTIF(E49, "高*")),"高校生(～18歳)","")</f>
        <v/>
      </c>
      <c r="AZ49" s="1983" t="str">
        <f t="shared" ref="AZ49" si="316">IF(OR(19&lt;=E49,COUNTIF(E49, "大*"),COUNTIF(E49, "*院*"),COUNTIF(E49, "*専*")),"一般(19歳～)","")</f>
        <v/>
      </c>
      <c r="BA49" s="1983" t="s">
        <v>475</v>
      </c>
      <c r="BB49" s="652" t="str">
        <f t="shared" ref="BB49" si="317">IF(OR(AND(D49="",I49="",M49="",R49="",W49="",AB49="",AG49=""),AND(D49&lt;&gt;"",OR(I49&lt;&gt;"",M49&lt;&gt;"",R49&lt;&gt;"",W49&lt;&gt;"",AB49&lt;&gt;"",AG49&lt;&gt;""))),"○","×")</f>
        <v>○</v>
      </c>
      <c r="BC49" s="652" t="str">
        <f t="shared" ref="BC49" si="318">IF(AND(BD49="○",BE49="○",BF49="○",BG49="○",BH49="○",BI49="○"),"○","×")</f>
        <v>○</v>
      </c>
      <c r="BD49" s="653" t="str">
        <f t="shared" ref="BD49" si="319">IF(AND($I$7=" ",OR(I49&lt;&gt;"",K49&lt;&gt;"",L49&lt;&gt;"")),"×","○")</f>
        <v>○</v>
      </c>
      <c r="BE49" s="653" t="str">
        <f t="shared" ref="BE49" si="320">IF(AND($M$7=" ",OR(M49&lt;&gt;"",O49&lt;&gt;"",P49&lt;&gt;"",Q49&lt;&gt;"")),"×","○")</f>
        <v>○</v>
      </c>
      <c r="BF49" s="653" t="str">
        <f t="shared" ref="BF49" si="321">IF(AND($R$7=" ",OR(R49&lt;&gt;"",T49&lt;&gt;"",U49&lt;&gt;"",V49&lt;&gt;"")),"×","○")</f>
        <v>○</v>
      </c>
      <c r="BG49" s="653" t="str">
        <f t="shared" ref="BG49" si="322">IF(AND($W$7=" ",OR(W49&lt;&gt;"",Y49&lt;&gt;"",Z49&lt;&gt;"",AA49&lt;&gt;"")),"×","○")</f>
        <v>○</v>
      </c>
      <c r="BH49" s="653" t="str">
        <f t="shared" ref="BH49" si="323">IF(AND($AB$7=" ",OR(AB49&lt;&gt;"",AD49&lt;&gt;"",AE49&lt;&gt;"",AF49&lt;&gt;"")),"×","○")</f>
        <v>○</v>
      </c>
      <c r="BI49" s="653" t="str">
        <f t="shared" ref="BI49" si="324">IF(AND($AG$7=" ",OR(AG49&lt;&gt;"",AI49&lt;&gt;"",AJ49&lt;&gt;"")),"×","○")</f>
        <v>○</v>
      </c>
      <c r="BJ49" s="2225" t="e">
        <f t="shared" ref="BJ49" si="325">SUMPRODUCT(1/COUNTIF(I49:AH49,"宿泊"))</f>
        <v>#DIV/0!</v>
      </c>
      <c r="BK49" s="2226" t="e">
        <f t="shared" ref="BK49" si="326">SUMPRODUCT(1/COUNTIF(I49:AH49,"日帰り"))</f>
        <v>#DIV/0!</v>
      </c>
      <c r="BL49" s="1381">
        <f t="shared" ref="BL49" si="327">COUNT(BJ49)-COUNT(BK49)</f>
        <v>0</v>
      </c>
      <c r="BM49" s="684"/>
      <c r="CB49" s="669"/>
      <c r="CC49" s="669"/>
      <c r="CD49" s="669"/>
      <c r="CE49" s="669"/>
      <c r="CF49" s="669"/>
      <c r="CG49" s="669"/>
      <c r="CH49" s="669"/>
      <c r="CI49" s="668"/>
      <c r="CJ49" s="669"/>
      <c r="CK49" s="669"/>
      <c r="CL49" s="669"/>
      <c r="CM49" s="669"/>
      <c r="CN49" s="669"/>
      <c r="CO49" s="669"/>
      <c r="CP49" s="669"/>
    </row>
    <row r="50" spans="1:94" ht="14.1" customHeight="1" x14ac:dyDescent="0.15">
      <c r="A50" s="652"/>
      <c r="B50" s="2174"/>
      <c r="C50" s="2144"/>
      <c r="D50" s="2007"/>
      <c r="E50" s="2005"/>
      <c r="F50" s="2042"/>
      <c r="G50" s="2119"/>
      <c r="H50" s="2107"/>
      <c r="I50" s="2112"/>
      <c r="J50" s="2113"/>
      <c r="K50" s="2105"/>
      <c r="L50" s="2127"/>
      <c r="M50" s="2112"/>
      <c r="N50" s="2113"/>
      <c r="O50" s="2105"/>
      <c r="P50" s="2105"/>
      <c r="Q50" s="2107"/>
      <c r="R50" s="2112"/>
      <c r="S50" s="2113"/>
      <c r="T50" s="2105"/>
      <c r="U50" s="2105"/>
      <c r="V50" s="2107"/>
      <c r="W50" s="2112"/>
      <c r="X50" s="2113"/>
      <c r="Y50" s="2105"/>
      <c r="Z50" s="2105"/>
      <c r="AA50" s="2107"/>
      <c r="AB50" s="2112"/>
      <c r="AC50" s="2113"/>
      <c r="AD50" s="2105"/>
      <c r="AE50" s="2105"/>
      <c r="AF50" s="2107"/>
      <c r="AG50" s="2112"/>
      <c r="AH50" s="2113"/>
      <c r="AI50" s="2105"/>
      <c r="AJ50" s="2105"/>
      <c r="AK50" s="2011"/>
      <c r="AL50" s="2012"/>
      <c r="AM50" s="2012"/>
      <c r="AN50" s="2013"/>
      <c r="AO50" s="2011"/>
      <c r="AP50" s="2012"/>
      <c r="AQ50" s="2012"/>
      <c r="AR50" s="2013"/>
      <c r="AS50" s="651"/>
      <c r="AT50" s="652"/>
      <c r="AU50" s="1983"/>
      <c r="AV50" s="1983"/>
      <c r="AW50" s="1983"/>
      <c r="AX50" s="1983"/>
      <c r="AY50" s="1983"/>
      <c r="AZ50" s="1983"/>
      <c r="BA50" s="1983"/>
      <c r="BB50" s="654"/>
      <c r="BC50" s="654"/>
      <c r="BD50" s="652"/>
      <c r="BE50" s="652"/>
      <c r="BF50" s="652"/>
      <c r="BG50" s="652"/>
      <c r="BH50" s="652"/>
      <c r="BI50" s="652"/>
      <c r="BJ50" s="2225"/>
      <c r="BK50" s="2226"/>
      <c r="BL50" s="1381"/>
      <c r="BM50" s="684"/>
      <c r="CB50" s="669"/>
      <c r="CC50" s="669"/>
      <c r="CD50" s="669"/>
      <c r="CE50" s="669"/>
      <c r="CF50" s="669"/>
      <c r="CG50" s="669"/>
      <c r="CH50" s="669"/>
      <c r="CI50" s="669"/>
      <c r="CJ50" s="669"/>
      <c r="CK50" s="669"/>
      <c r="CL50" s="669"/>
      <c r="CM50" s="669"/>
      <c r="CN50" s="669"/>
      <c r="CO50" s="669"/>
      <c r="CP50" s="669"/>
    </row>
    <row r="51" spans="1:94" ht="14.1" customHeight="1" x14ac:dyDescent="0.15">
      <c r="A51" s="652" t="str">
        <f t="shared" ref="A51" si="328">IF(AND(D51="",D53&lt;&gt;""),"×","○")</f>
        <v>○</v>
      </c>
      <c r="B51" s="2174" t="str">
        <f t="shared" ref="B51" si="329">IF(AND(AT51="○",BB51="○",BC51="○",A51="○"),"○","×")</f>
        <v>○</v>
      </c>
      <c r="C51" s="2143">
        <v>19</v>
      </c>
      <c r="D51" s="2006"/>
      <c r="E51" s="2004"/>
      <c r="F51" s="2041"/>
      <c r="G51" s="2118"/>
      <c r="H51" s="2106"/>
      <c r="I51" s="2141"/>
      <c r="J51" s="2142"/>
      <c r="K51" s="2104"/>
      <c r="L51" s="2140"/>
      <c r="M51" s="2110"/>
      <c r="N51" s="2111"/>
      <c r="O51" s="2104"/>
      <c r="P51" s="2104"/>
      <c r="Q51" s="2106"/>
      <c r="R51" s="2110"/>
      <c r="S51" s="2111"/>
      <c r="T51" s="2104"/>
      <c r="U51" s="2104"/>
      <c r="V51" s="2106"/>
      <c r="W51" s="2110"/>
      <c r="X51" s="2111"/>
      <c r="Y51" s="2104"/>
      <c r="Z51" s="2104"/>
      <c r="AA51" s="2106"/>
      <c r="AB51" s="2110"/>
      <c r="AC51" s="2111"/>
      <c r="AD51" s="2104"/>
      <c r="AE51" s="2104"/>
      <c r="AF51" s="2106"/>
      <c r="AG51" s="2110"/>
      <c r="AH51" s="2111"/>
      <c r="AI51" s="2104"/>
      <c r="AJ51" s="2104"/>
      <c r="AK51" s="2038"/>
      <c r="AL51" s="2039"/>
      <c r="AM51" s="2039"/>
      <c r="AN51" s="2040"/>
      <c r="AO51" s="2008"/>
      <c r="AP51" s="2009"/>
      <c r="AQ51" s="2009"/>
      <c r="AR51" s="2010"/>
      <c r="AS51" s="651"/>
      <c r="AT51" s="652" t="str">
        <f t="shared" ref="AT51" si="330">IF(OR(AND(D51&lt;&gt;"",OR(AND(E51&lt;&gt;"",F51&lt;&gt;"",OR(G51&lt;&gt;"",H51&lt;&gt;"")),AND(E51="",F51="バス・カメラマン等"))),AND(D51="",E51="",F51="",OR(G51="",H51=""))),"○","×")</f>
        <v>○</v>
      </c>
      <c r="AU51" s="1983" t="str">
        <f t="shared" ref="AU51" si="331">IF(AND(E51&lt;&gt;"",E51&lt;=2),"2歳児以下","")</f>
        <v/>
      </c>
      <c r="AV51" s="1983" t="str">
        <f t="shared" ref="AV51" si="332">IF(OR(AND(3&lt;=E51,E51&lt;=6),COUNTIF(E51, "幼*"),COUNTIF(E51, "年少"),COUNTIF(E51, "年中"),COUNTIF(E51, "年長")),"3歳-学齢前","")</f>
        <v/>
      </c>
      <c r="AW51" s="1983" t="str">
        <f t="shared" ref="AW51" si="333">IF(OR(AND(6&lt;=E51,E51&lt;=12),COUNTIF(E51, "小*")),"小学生","")</f>
        <v/>
      </c>
      <c r="AX51" s="1983" t="str">
        <f t="shared" ref="AX51" si="334">IF(OR(AND(12&lt;=E51,E51&lt;=15),COUNTIF(E51, "中*")),"中学生","")</f>
        <v/>
      </c>
      <c r="AY51" s="1983" t="str">
        <f t="shared" ref="AY51" si="335">IF(OR(AND(15&lt;=E51,E51&lt;=18),COUNTIF(E51, "高*")),"高校生(～18歳)","")</f>
        <v/>
      </c>
      <c r="AZ51" s="1983" t="str">
        <f t="shared" ref="AZ51" si="336">IF(OR(19&lt;=E51,COUNTIF(E51, "大*"),COUNTIF(E51, "*院*"),COUNTIF(E51, "*専*")),"一般(19歳～)","")</f>
        <v/>
      </c>
      <c r="BA51" s="1983" t="s">
        <v>475</v>
      </c>
      <c r="BB51" s="652" t="str">
        <f t="shared" ref="BB51" si="337">IF(OR(AND(D51="",I51="",M51="",R51="",W51="",AB51="",AG51=""),AND(D51&lt;&gt;"",OR(I51&lt;&gt;"",M51&lt;&gt;"",R51&lt;&gt;"",W51&lt;&gt;"",AB51&lt;&gt;"",AG51&lt;&gt;""))),"○","×")</f>
        <v>○</v>
      </c>
      <c r="BC51" s="652" t="str">
        <f t="shared" ref="BC51" si="338">IF(AND(BD51="○",BE51="○",BF51="○",BG51="○",BH51="○",BI51="○"),"○","×")</f>
        <v>○</v>
      </c>
      <c r="BD51" s="653" t="str">
        <f t="shared" ref="BD51" si="339">IF(AND($I$7=" ",OR(I51&lt;&gt;"",K51&lt;&gt;"",L51&lt;&gt;"")),"×","○")</f>
        <v>○</v>
      </c>
      <c r="BE51" s="653" t="str">
        <f t="shared" ref="BE51" si="340">IF(AND($M$7=" ",OR(M51&lt;&gt;"",O51&lt;&gt;"",P51&lt;&gt;"",Q51&lt;&gt;"")),"×","○")</f>
        <v>○</v>
      </c>
      <c r="BF51" s="653" t="str">
        <f t="shared" ref="BF51" si="341">IF(AND($R$7=" ",OR(R51&lt;&gt;"",T51&lt;&gt;"",U51&lt;&gt;"",V51&lt;&gt;"")),"×","○")</f>
        <v>○</v>
      </c>
      <c r="BG51" s="653" t="str">
        <f t="shared" ref="BG51" si="342">IF(AND($W$7=" ",OR(W51&lt;&gt;"",Y51&lt;&gt;"",Z51&lt;&gt;"",AA51&lt;&gt;"")),"×","○")</f>
        <v>○</v>
      </c>
      <c r="BH51" s="653" t="str">
        <f t="shared" ref="BH51" si="343">IF(AND($AB$7=" ",OR(AB51&lt;&gt;"",AD51&lt;&gt;"",AE51&lt;&gt;"",AF51&lt;&gt;"")),"×","○")</f>
        <v>○</v>
      </c>
      <c r="BI51" s="653" t="str">
        <f t="shared" ref="BI51" si="344">IF(AND($AG$7=" ",OR(AG51&lt;&gt;"",AI51&lt;&gt;"",AJ51&lt;&gt;"")),"×","○")</f>
        <v>○</v>
      </c>
      <c r="BJ51" s="2225" t="e">
        <f t="shared" ref="BJ51" si="345">SUMPRODUCT(1/COUNTIF(I51:AH51,"宿泊"))</f>
        <v>#DIV/0!</v>
      </c>
      <c r="BK51" s="2226" t="e">
        <f t="shared" ref="BK51" si="346">SUMPRODUCT(1/COUNTIF(I51:AH51,"日帰り"))</f>
        <v>#DIV/0!</v>
      </c>
      <c r="BL51" s="1381">
        <f t="shared" ref="BL51" si="347">COUNT(BJ51)-COUNT(BK51)</f>
        <v>0</v>
      </c>
      <c r="BM51" s="684"/>
      <c r="CB51" s="669"/>
      <c r="CC51" s="669"/>
      <c r="CD51" s="669"/>
      <c r="CE51" s="669"/>
      <c r="CF51" s="670"/>
      <c r="CG51" s="669"/>
      <c r="CH51" s="669"/>
      <c r="CI51" s="669"/>
      <c r="CJ51" s="669"/>
      <c r="CK51" s="669"/>
      <c r="CL51" s="669"/>
      <c r="CM51" s="669"/>
      <c r="CN51" s="669"/>
      <c r="CO51" s="669"/>
      <c r="CP51" s="669"/>
    </row>
    <row r="52" spans="1:94" ht="14.1" customHeight="1" x14ac:dyDescent="0.15">
      <c r="A52" s="652"/>
      <c r="B52" s="2174"/>
      <c r="C52" s="2144"/>
      <c r="D52" s="2007"/>
      <c r="E52" s="2005"/>
      <c r="F52" s="2042"/>
      <c r="G52" s="2119"/>
      <c r="H52" s="2107"/>
      <c r="I52" s="2112"/>
      <c r="J52" s="2113"/>
      <c r="K52" s="2105"/>
      <c r="L52" s="2127"/>
      <c r="M52" s="2112"/>
      <c r="N52" s="2113"/>
      <c r="O52" s="2105"/>
      <c r="P52" s="2105"/>
      <c r="Q52" s="2107"/>
      <c r="R52" s="2112"/>
      <c r="S52" s="2113"/>
      <c r="T52" s="2105"/>
      <c r="U52" s="2105"/>
      <c r="V52" s="2107"/>
      <c r="W52" s="2112"/>
      <c r="X52" s="2113"/>
      <c r="Y52" s="2105"/>
      <c r="Z52" s="2105"/>
      <c r="AA52" s="2107"/>
      <c r="AB52" s="2112"/>
      <c r="AC52" s="2113"/>
      <c r="AD52" s="2105"/>
      <c r="AE52" s="2105"/>
      <c r="AF52" s="2107"/>
      <c r="AG52" s="2112"/>
      <c r="AH52" s="2113"/>
      <c r="AI52" s="2105"/>
      <c r="AJ52" s="2105"/>
      <c r="AK52" s="2011"/>
      <c r="AL52" s="2012"/>
      <c r="AM52" s="2012"/>
      <c r="AN52" s="2013"/>
      <c r="AO52" s="2011"/>
      <c r="AP52" s="2012"/>
      <c r="AQ52" s="2012"/>
      <c r="AR52" s="2013"/>
      <c r="AS52" s="651"/>
      <c r="AT52" s="652"/>
      <c r="AU52" s="1983"/>
      <c r="AV52" s="1983"/>
      <c r="AW52" s="1983"/>
      <c r="AX52" s="1983"/>
      <c r="AY52" s="1983"/>
      <c r="AZ52" s="1983"/>
      <c r="BA52" s="1983"/>
      <c r="BB52" s="654"/>
      <c r="BC52" s="654"/>
      <c r="BD52" s="652"/>
      <c r="BE52" s="652"/>
      <c r="BF52" s="652"/>
      <c r="BG52" s="652"/>
      <c r="BH52" s="652"/>
      <c r="BI52" s="652"/>
      <c r="BJ52" s="2225"/>
      <c r="BK52" s="2226"/>
      <c r="BL52" s="1381"/>
      <c r="BM52" s="684"/>
      <c r="CB52" s="669"/>
      <c r="CC52" s="669"/>
      <c r="CD52" s="669"/>
      <c r="CE52" s="669"/>
      <c r="CF52" s="669"/>
      <c r="CG52" s="669"/>
      <c r="CH52" s="669"/>
      <c r="CI52" s="669"/>
      <c r="CJ52" s="669"/>
      <c r="CK52" s="669"/>
      <c r="CL52" s="669"/>
      <c r="CM52" s="669"/>
      <c r="CN52" s="669"/>
      <c r="CO52" s="669"/>
      <c r="CP52" s="669"/>
    </row>
    <row r="53" spans="1:94" ht="14.1" customHeight="1" x14ac:dyDescent="0.15">
      <c r="A53" s="652" t="str">
        <f t="shared" ref="A53" si="348">IF(AND(D53="",D55&lt;&gt;""),"×","○")</f>
        <v>○</v>
      </c>
      <c r="B53" s="2174" t="str">
        <f t="shared" ref="B53" si="349">IF(AND(AT53="○",BB53="○",BC53="○",A53="○"),"○","×")</f>
        <v>○</v>
      </c>
      <c r="C53" s="2143">
        <v>20</v>
      </c>
      <c r="D53" s="2006"/>
      <c r="E53" s="2004"/>
      <c r="F53" s="2041"/>
      <c r="G53" s="2118"/>
      <c r="H53" s="2106"/>
      <c r="I53" s="2141"/>
      <c r="J53" s="2142"/>
      <c r="K53" s="2104"/>
      <c r="L53" s="2140"/>
      <c r="M53" s="2110"/>
      <c r="N53" s="2111"/>
      <c r="O53" s="2104"/>
      <c r="P53" s="2104"/>
      <c r="Q53" s="2106"/>
      <c r="R53" s="2110"/>
      <c r="S53" s="2111"/>
      <c r="T53" s="2104"/>
      <c r="U53" s="2104"/>
      <c r="V53" s="2106"/>
      <c r="W53" s="2110"/>
      <c r="X53" s="2111"/>
      <c r="Y53" s="2104"/>
      <c r="Z53" s="2104"/>
      <c r="AA53" s="2106"/>
      <c r="AB53" s="2110"/>
      <c r="AC53" s="2111"/>
      <c r="AD53" s="2104"/>
      <c r="AE53" s="2104"/>
      <c r="AF53" s="2106"/>
      <c r="AG53" s="2110"/>
      <c r="AH53" s="2111"/>
      <c r="AI53" s="2104"/>
      <c r="AJ53" s="2104"/>
      <c r="AK53" s="2038"/>
      <c r="AL53" s="2039"/>
      <c r="AM53" s="2039"/>
      <c r="AN53" s="2040"/>
      <c r="AO53" s="2008"/>
      <c r="AP53" s="2009"/>
      <c r="AQ53" s="2009"/>
      <c r="AR53" s="2010"/>
      <c r="AS53" s="651"/>
      <c r="AT53" s="652" t="str">
        <f t="shared" ref="AT53" si="350">IF(OR(AND(D53&lt;&gt;"",OR(AND(E53&lt;&gt;"",F53&lt;&gt;"",OR(G53&lt;&gt;"",H53&lt;&gt;"")),AND(E53="",F53="バス・カメラマン等"))),AND(D53="",E53="",F53="",OR(G53="",H53=""))),"○","×")</f>
        <v>○</v>
      </c>
      <c r="AU53" s="1983" t="str">
        <f t="shared" ref="AU53" si="351">IF(AND(E53&lt;&gt;"",E53&lt;=2),"2歳児以下","")</f>
        <v/>
      </c>
      <c r="AV53" s="1983" t="str">
        <f t="shared" ref="AV53" si="352">IF(OR(AND(3&lt;=E53,E53&lt;=6),COUNTIF(E53, "幼*"),COUNTIF(E53, "年少"),COUNTIF(E53, "年中"),COUNTIF(E53, "年長")),"3歳-学齢前","")</f>
        <v/>
      </c>
      <c r="AW53" s="1983" t="str">
        <f t="shared" ref="AW53" si="353">IF(OR(AND(6&lt;=E53,E53&lt;=12),COUNTIF(E53, "小*")),"小学生","")</f>
        <v/>
      </c>
      <c r="AX53" s="1983" t="str">
        <f t="shared" ref="AX53" si="354">IF(OR(AND(12&lt;=E53,E53&lt;=15),COUNTIF(E53, "中*")),"中学生","")</f>
        <v/>
      </c>
      <c r="AY53" s="1983" t="str">
        <f t="shared" ref="AY53" si="355">IF(OR(AND(15&lt;=E53,E53&lt;=18),COUNTIF(E53, "高*")),"高校生(～18歳)","")</f>
        <v/>
      </c>
      <c r="AZ53" s="1983" t="str">
        <f t="shared" ref="AZ53" si="356">IF(OR(19&lt;=E53,COUNTIF(E53, "大*"),COUNTIF(E53, "*院*"),COUNTIF(E53, "*専*")),"一般(19歳～)","")</f>
        <v/>
      </c>
      <c r="BA53" s="1983" t="s">
        <v>475</v>
      </c>
      <c r="BB53" s="652" t="str">
        <f t="shared" ref="BB53" si="357">IF(OR(AND(D53="",I53="",M53="",R53="",W53="",AB53="",AG53=""),AND(D53&lt;&gt;"",OR(I53&lt;&gt;"",M53&lt;&gt;"",R53&lt;&gt;"",W53&lt;&gt;"",AB53&lt;&gt;"",AG53&lt;&gt;""))),"○","×")</f>
        <v>○</v>
      </c>
      <c r="BC53" s="652" t="str">
        <f t="shared" ref="BC53" si="358">IF(AND(BD53="○",BE53="○",BF53="○",BG53="○",BH53="○",BI53="○"),"○","×")</f>
        <v>○</v>
      </c>
      <c r="BD53" s="653" t="str">
        <f t="shared" ref="BD53" si="359">IF(AND($I$7=" ",OR(I53&lt;&gt;"",K53&lt;&gt;"",L53&lt;&gt;"")),"×","○")</f>
        <v>○</v>
      </c>
      <c r="BE53" s="653" t="str">
        <f t="shared" ref="BE53" si="360">IF(AND($M$7=" ",OR(M53&lt;&gt;"",O53&lt;&gt;"",P53&lt;&gt;"",Q53&lt;&gt;"")),"×","○")</f>
        <v>○</v>
      </c>
      <c r="BF53" s="653" t="str">
        <f t="shared" ref="BF53" si="361">IF(AND($R$7=" ",OR(R53&lt;&gt;"",T53&lt;&gt;"",U53&lt;&gt;"",V53&lt;&gt;"")),"×","○")</f>
        <v>○</v>
      </c>
      <c r="BG53" s="653" t="str">
        <f t="shared" ref="BG53" si="362">IF(AND($W$7=" ",OR(W53&lt;&gt;"",Y53&lt;&gt;"",Z53&lt;&gt;"",AA53&lt;&gt;"")),"×","○")</f>
        <v>○</v>
      </c>
      <c r="BH53" s="653" t="str">
        <f t="shared" ref="BH53" si="363">IF(AND($AB$7=" ",OR(AB53&lt;&gt;"",AD53&lt;&gt;"",AE53&lt;&gt;"",AF53&lt;&gt;"")),"×","○")</f>
        <v>○</v>
      </c>
      <c r="BI53" s="653" t="str">
        <f t="shared" ref="BI53" si="364">IF(AND($AG$7=" ",OR(AG53&lt;&gt;"",AI53&lt;&gt;"",AJ53&lt;&gt;"")),"×","○")</f>
        <v>○</v>
      </c>
      <c r="BJ53" s="2225" t="e">
        <f t="shared" ref="BJ53" si="365">SUMPRODUCT(1/COUNTIF(I53:AH53,"宿泊"))</f>
        <v>#DIV/0!</v>
      </c>
      <c r="BK53" s="2226" t="e">
        <f t="shared" ref="BK53" si="366">SUMPRODUCT(1/COUNTIF(I53:AH53,"日帰り"))</f>
        <v>#DIV/0!</v>
      </c>
      <c r="BL53" s="1381">
        <f t="shared" ref="BL53" si="367">COUNT(BJ53)-COUNT(BK53)</f>
        <v>0</v>
      </c>
      <c r="BM53" s="684"/>
      <c r="CB53" s="669"/>
      <c r="CC53" s="669"/>
      <c r="CD53" s="669"/>
      <c r="CE53" s="669"/>
      <c r="CF53" s="669"/>
      <c r="CG53" s="669"/>
      <c r="CH53" s="669"/>
      <c r="CI53" s="668"/>
      <c r="CJ53" s="669"/>
      <c r="CK53" s="669"/>
      <c r="CL53" s="669"/>
      <c r="CM53" s="669"/>
      <c r="CN53" s="669"/>
      <c r="CO53" s="669"/>
      <c r="CP53" s="669"/>
    </row>
    <row r="54" spans="1:94" ht="14.1" customHeight="1" x14ac:dyDescent="0.15">
      <c r="A54" s="652"/>
      <c r="B54" s="2174"/>
      <c r="C54" s="2144"/>
      <c r="D54" s="2007"/>
      <c r="E54" s="2005"/>
      <c r="F54" s="2042"/>
      <c r="G54" s="2119"/>
      <c r="H54" s="2107"/>
      <c r="I54" s="2112"/>
      <c r="J54" s="2113"/>
      <c r="K54" s="2105"/>
      <c r="L54" s="2127"/>
      <c r="M54" s="2112"/>
      <c r="N54" s="2113"/>
      <c r="O54" s="2105"/>
      <c r="P54" s="2105"/>
      <c r="Q54" s="2107"/>
      <c r="R54" s="2112"/>
      <c r="S54" s="2113"/>
      <c r="T54" s="2105"/>
      <c r="U54" s="2105"/>
      <c r="V54" s="2107"/>
      <c r="W54" s="2112"/>
      <c r="X54" s="2113"/>
      <c r="Y54" s="2105"/>
      <c r="Z54" s="2105"/>
      <c r="AA54" s="2107"/>
      <c r="AB54" s="2112"/>
      <c r="AC54" s="2113"/>
      <c r="AD54" s="2105"/>
      <c r="AE54" s="2105"/>
      <c r="AF54" s="2107"/>
      <c r="AG54" s="2112"/>
      <c r="AH54" s="2113"/>
      <c r="AI54" s="2105"/>
      <c r="AJ54" s="2105"/>
      <c r="AK54" s="2011"/>
      <c r="AL54" s="2012"/>
      <c r="AM54" s="2012"/>
      <c r="AN54" s="2013"/>
      <c r="AO54" s="2011"/>
      <c r="AP54" s="2012"/>
      <c r="AQ54" s="2012"/>
      <c r="AR54" s="2013"/>
      <c r="AS54" s="651"/>
      <c r="AT54" s="652"/>
      <c r="AU54" s="1983"/>
      <c r="AV54" s="1983"/>
      <c r="AW54" s="1983"/>
      <c r="AX54" s="1983"/>
      <c r="AY54" s="1983"/>
      <c r="AZ54" s="1983"/>
      <c r="BA54" s="1983"/>
      <c r="BB54" s="654"/>
      <c r="BC54" s="654"/>
      <c r="BD54" s="652"/>
      <c r="BE54" s="652"/>
      <c r="BF54" s="652"/>
      <c r="BG54" s="652"/>
      <c r="BH54" s="652"/>
      <c r="BI54" s="652"/>
      <c r="BJ54" s="2225"/>
      <c r="BK54" s="2226"/>
      <c r="BL54" s="1381"/>
      <c r="BM54" s="684"/>
    </row>
    <row r="55" spans="1:94" ht="14.1" customHeight="1" x14ac:dyDescent="0.15">
      <c r="A55" s="652" t="str">
        <f t="shared" ref="A55" si="368">IF(AND(D55="",D57&lt;&gt;""),"×","○")</f>
        <v>○</v>
      </c>
      <c r="B55" s="2174" t="str">
        <f t="shared" ref="B55" si="369">IF(AND(AT55="○",BB55="○",BC55="○",A55="○"),"○","×")</f>
        <v>○</v>
      </c>
      <c r="C55" s="2143">
        <v>21</v>
      </c>
      <c r="D55" s="2006"/>
      <c r="E55" s="2004"/>
      <c r="F55" s="2041"/>
      <c r="G55" s="2118"/>
      <c r="H55" s="2106"/>
      <c r="I55" s="2141"/>
      <c r="J55" s="2142"/>
      <c r="K55" s="2104"/>
      <c r="L55" s="2140"/>
      <c r="M55" s="2110"/>
      <c r="N55" s="2111"/>
      <c r="O55" s="2104"/>
      <c r="P55" s="2104"/>
      <c r="Q55" s="2106"/>
      <c r="R55" s="2110"/>
      <c r="S55" s="2111"/>
      <c r="T55" s="2104"/>
      <c r="U55" s="2104"/>
      <c r="V55" s="2106"/>
      <c r="W55" s="2110"/>
      <c r="X55" s="2111"/>
      <c r="Y55" s="2104"/>
      <c r="Z55" s="2104"/>
      <c r="AA55" s="2106"/>
      <c r="AB55" s="2110"/>
      <c r="AC55" s="2111"/>
      <c r="AD55" s="2104"/>
      <c r="AE55" s="2104"/>
      <c r="AF55" s="2106"/>
      <c r="AG55" s="2110"/>
      <c r="AH55" s="2111"/>
      <c r="AI55" s="2104"/>
      <c r="AJ55" s="2104"/>
      <c r="AK55" s="2038"/>
      <c r="AL55" s="2039"/>
      <c r="AM55" s="2039"/>
      <c r="AN55" s="2040"/>
      <c r="AO55" s="2008"/>
      <c r="AP55" s="2009"/>
      <c r="AQ55" s="2009"/>
      <c r="AR55" s="2010"/>
      <c r="AS55" s="651"/>
      <c r="AT55" s="652" t="str">
        <f t="shared" ref="AT55" si="370">IF(OR(AND(D55&lt;&gt;"",OR(AND(E55&lt;&gt;"",F55&lt;&gt;"",OR(G55&lt;&gt;"",H55&lt;&gt;"")),AND(E55="",F55="バス・カメラマン等"))),AND(D55="",E55="",F55="",OR(G55="",H55=""))),"○","×")</f>
        <v>○</v>
      </c>
      <c r="AU55" s="1983" t="str">
        <f t="shared" ref="AU55" si="371">IF(AND(E55&lt;&gt;"",E55&lt;=2),"2歳児以下","")</f>
        <v/>
      </c>
      <c r="AV55" s="1983" t="str">
        <f t="shared" ref="AV55" si="372">IF(OR(AND(3&lt;=E55,E55&lt;=6),COUNTIF(E55, "幼*"),COUNTIF(E55, "年少"),COUNTIF(E55, "年中"),COUNTIF(E55, "年長")),"3歳-学齢前","")</f>
        <v/>
      </c>
      <c r="AW55" s="1983" t="str">
        <f t="shared" ref="AW55" si="373">IF(OR(AND(6&lt;=E55,E55&lt;=12),COUNTIF(E55, "小*")),"小学生","")</f>
        <v/>
      </c>
      <c r="AX55" s="1983" t="str">
        <f t="shared" ref="AX55" si="374">IF(OR(AND(12&lt;=E55,E55&lt;=15),COUNTIF(E55, "中*")),"中学生","")</f>
        <v/>
      </c>
      <c r="AY55" s="1983" t="str">
        <f t="shared" ref="AY55" si="375">IF(OR(AND(15&lt;=E55,E55&lt;=18),COUNTIF(E55, "高*")),"高校生(～18歳)","")</f>
        <v/>
      </c>
      <c r="AZ55" s="1983" t="str">
        <f t="shared" ref="AZ55" si="376">IF(OR(19&lt;=E55,COUNTIF(E55, "大*"),COUNTIF(E55, "*院*"),COUNTIF(E55, "*専*")),"一般(19歳～)","")</f>
        <v/>
      </c>
      <c r="BA55" s="1983" t="s">
        <v>475</v>
      </c>
      <c r="BB55" s="652" t="str">
        <f t="shared" ref="BB55" si="377">IF(OR(AND(D55="",I55="",M55="",R55="",W55="",AB55="",AG55=""),AND(D55&lt;&gt;"",OR(I55&lt;&gt;"",M55&lt;&gt;"",R55&lt;&gt;"",W55&lt;&gt;"",AB55&lt;&gt;"",AG55&lt;&gt;""))),"○","×")</f>
        <v>○</v>
      </c>
      <c r="BC55" s="652" t="str">
        <f t="shared" ref="BC55" si="378">IF(AND(BD55="○",BE55="○",BF55="○",BG55="○",BH55="○",BI55="○"),"○","×")</f>
        <v>○</v>
      </c>
      <c r="BD55" s="653" t="str">
        <f t="shared" ref="BD55" si="379">IF(AND($I$7=" ",OR(I55&lt;&gt;"",K55&lt;&gt;"",L55&lt;&gt;"")),"×","○")</f>
        <v>○</v>
      </c>
      <c r="BE55" s="653" t="str">
        <f t="shared" ref="BE55" si="380">IF(AND($M$7=" ",OR(M55&lt;&gt;"",O55&lt;&gt;"",P55&lt;&gt;"",Q55&lt;&gt;"")),"×","○")</f>
        <v>○</v>
      </c>
      <c r="BF55" s="653" t="str">
        <f t="shared" ref="BF55" si="381">IF(AND($R$7=" ",OR(R55&lt;&gt;"",T55&lt;&gt;"",U55&lt;&gt;"",V55&lt;&gt;"")),"×","○")</f>
        <v>○</v>
      </c>
      <c r="BG55" s="653" t="str">
        <f t="shared" ref="BG55" si="382">IF(AND($W$7=" ",OR(W55&lt;&gt;"",Y55&lt;&gt;"",Z55&lt;&gt;"",AA55&lt;&gt;"")),"×","○")</f>
        <v>○</v>
      </c>
      <c r="BH55" s="653" t="str">
        <f t="shared" ref="BH55" si="383">IF(AND($AB$7=" ",OR(AB55&lt;&gt;"",AD55&lt;&gt;"",AE55&lt;&gt;"",AF55&lt;&gt;"")),"×","○")</f>
        <v>○</v>
      </c>
      <c r="BI55" s="653" t="str">
        <f t="shared" ref="BI55" si="384">IF(AND($AG$7=" ",OR(AG55&lt;&gt;"",AI55&lt;&gt;"",AJ55&lt;&gt;"")),"×","○")</f>
        <v>○</v>
      </c>
      <c r="BJ55" s="2225" t="e">
        <f t="shared" ref="BJ55" si="385">SUMPRODUCT(1/COUNTIF(I55:AH55,"宿泊"))</f>
        <v>#DIV/0!</v>
      </c>
      <c r="BK55" s="2226" t="e">
        <f t="shared" ref="BK55" si="386">SUMPRODUCT(1/COUNTIF(I55:AH55,"日帰り"))</f>
        <v>#DIV/0!</v>
      </c>
      <c r="BL55" s="1381">
        <f t="shared" ref="BL55" si="387">COUNT(BJ55)-COUNT(BK55)</f>
        <v>0</v>
      </c>
      <c r="BM55" s="684"/>
    </row>
    <row r="56" spans="1:94" ht="14.1" customHeight="1" x14ac:dyDescent="0.15">
      <c r="A56" s="652"/>
      <c r="B56" s="2174"/>
      <c r="C56" s="2144"/>
      <c r="D56" s="2007"/>
      <c r="E56" s="2005"/>
      <c r="F56" s="2042"/>
      <c r="G56" s="2119"/>
      <c r="H56" s="2107"/>
      <c r="I56" s="2112"/>
      <c r="J56" s="2113"/>
      <c r="K56" s="2105"/>
      <c r="L56" s="2127"/>
      <c r="M56" s="2112"/>
      <c r="N56" s="2113"/>
      <c r="O56" s="2105"/>
      <c r="P56" s="2105"/>
      <c r="Q56" s="2107"/>
      <c r="R56" s="2112"/>
      <c r="S56" s="2113"/>
      <c r="T56" s="2105"/>
      <c r="U56" s="2105"/>
      <c r="V56" s="2107"/>
      <c r="W56" s="2112"/>
      <c r="X56" s="2113"/>
      <c r="Y56" s="2105"/>
      <c r="Z56" s="2105"/>
      <c r="AA56" s="2107"/>
      <c r="AB56" s="2112"/>
      <c r="AC56" s="2113"/>
      <c r="AD56" s="2105"/>
      <c r="AE56" s="2105"/>
      <c r="AF56" s="2107"/>
      <c r="AG56" s="2112"/>
      <c r="AH56" s="2113"/>
      <c r="AI56" s="2105"/>
      <c r="AJ56" s="2105"/>
      <c r="AK56" s="2011"/>
      <c r="AL56" s="2012"/>
      <c r="AM56" s="2012"/>
      <c r="AN56" s="2013"/>
      <c r="AO56" s="2011"/>
      <c r="AP56" s="2012"/>
      <c r="AQ56" s="2012"/>
      <c r="AR56" s="2013"/>
      <c r="AS56" s="651"/>
      <c r="AT56" s="652"/>
      <c r="AU56" s="1983"/>
      <c r="AV56" s="1983"/>
      <c r="AW56" s="1983"/>
      <c r="AX56" s="1983"/>
      <c r="AY56" s="1983"/>
      <c r="AZ56" s="1983"/>
      <c r="BA56" s="1983"/>
      <c r="BB56" s="654"/>
      <c r="BC56" s="654"/>
      <c r="BD56" s="652"/>
      <c r="BE56" s="652"/>
      <c r="BF56" s="652"/>
      <c r="BG56" s="652"/>
      <c r="BH56" s="652"/>
      <c r="BI56" s="652"/>
      <c r="BJ56" s="2225"/>
      <c r="BK56" s="2226"/>
      <c r="BL56" s="1381"/>
      <c r="BM56" s="684"/>
    </row>
    <row r="57" spans="1:94" ht="14.1" customHeight="1" x14ac:dyDescent="0.15">
      <c r="A57" s="652" t="str">
        <f t="shared" ref="A57" si="388">IF(AND(D57="",D59&lt;&gt;""),"×","○")</f>
        <v>○</v>
      </c>
      <c r="B57" s="2174" t="str">
        <f t="shared" ref="B57" si="389">IF(AND(AT57="○",BB57="○",BC57="○",A57="○"),"○","×")</f>
        <v>○</v>
      </c>
      <c r="C57" s="2143">
        <v>22</v>
      </c>
      <c r="D57" s="2006"/>
      <c r="E57" s="2004"/>
      <c r="F57" s="2041"/>
      <c r="G57" s="2118"/>
      <c r="H57" s="2106"/>
      <c r="I57" s="2141"/>
      <c r="J57" s="2142"/>
      <c r="K57" s="2104"/>
      <c r="L57" s="2140"/>
      <c r="M57" s="2110"/>
      <c r="N57" s="2111"/>
      <c r="O57" s="2104"/>
      <c r="P57" s="2104"/>
      <c r="Q57" s="2106"/>
      <c r="R57" s="2110"/>
      <c r="S57" s="2111"/>
      <c r="T57" s="2104"/>
      <c r="U57" s="2104"/>
      <c r="V57" s="2106"/>
      <c r="W57" s="2110"/>
      <c r="X57" s="2111"/>
      <c r="Y57" s="2104"/>
      <c r="Z57" s="2104"/>
      <c r="AA57" s="2106"/>
      <c r="AB57" s="2110"/>
      <c r="AC57" s="2111"/>
      <c r="AD57" s="2104"/>
      <c r="AE57" s="2104"/>
      <c r="AF57" s="2106"/>
      <c r="AG57" s="2110"/>
      <c r="AH57" s="2111"/>
      <c r="AI57" s="2104"/>
      <c r="AJ57" s="2104"/>
      <c r="AK57" s="2038"/>
      <c r="AL57" s="2039"/>
      <c r="AM57" s="2039"/>
      <c r="AN57" s="2040"/>
      <c r="AO57" s="2008"/>
      <c r="AP57" s="2009"/>
      <c r="AQ57" s="2009"/>
      <c r="AR57" s="2010"/>
      <c r="AS57" s="651"/>
      <c r="AT57" s="652" t="str">
        <f t="shared" ref="AT57" si="390">IF(OR(AND(D57&lt;&gt;"",OR(AND(E57&lt;&gt;"",F57&lt;&gt;"",OR(G57&lt;&gt;"",H57&lt;&gt;"")),AND(E57="",F57="バス・カメラマン等"))),AND(D57="",E57="",F57="",OR(G57="",H57=""))),"○","×")</f>
        <v>○</v>
      </c>
      <c r="AU57" s="1983" t="str">
        <f t="shared" ref="AU57" si="391">IF(AND(E57&lt;&gt;"",E57&lt;=2),"2歳児以下","")</f>
        <v/>
      </c>
      <c r="AV57" s="1983" t="str">
        <f t="shared" ref="AV57" si="392">IF(OR(AND(3&lt;=E57,E57&lt;=6),COUNTIF(E57, "幼*"),COUNTIF(E57, "年少"),COUNTIF(E57, "年中"),COUNTIF(E57, "年長")),"3歳-学齢前","")</f>
        <v/>
      </c>
      <c r="AW57" s="1983" t="str">
        <f t="shared" ref="AW57" si="393">IF(OR(AND(6&lt;=E57,E57&lt;=12),COUNTIF(E57, "小*")),"小学生","")</f>
        <v/>
      </c>
      <c r="AX57" s="1983" t="str">
        <f t="shared" ref="AX57" si="394">IF(OR(AND(12&lt;=E57,E57&lt;=15),COUNTIF(E57, "中*")),"中学生","")</f>
        <v/>
      </c>
      <c r="AY57" s="1983" t="str">
        <f t="shared" ref="AY57" si="395">IF(OR(AND(15&lt;=E57,E57&lt;=18),COUNTIF(E57, "高*")),"高校生(～18歳)","")</f>
        <v/>
      </c>
      <c r="AZ57" s="1983" t="str">
        <f t="shared" ref="AZ57" si="396">IF(OR(19&lt;=E57,COUNTIF(E57, "大*"),COUNTIF(E57, "*院*"),COUNTIF(E57, "*専*")),"一般(19歳～)","")</f>
        <v/>
      </c>
      <c r="BA57" s="1983" t="s">
        <v>475</v>
      </c>
      <c r="BB57" s="652" t="str">
        <f t="shared" ref="BB57" si="397">IF(OR(AND(D57="",I57="",M57="",R57="",W57="",AB57="",AG57=""),AND(D57&lt;&gt;"",OR(I57&lt;&gt;"",M57&lt;&gt;"",R57&lt;&gt;"",W57&lt;&gt;"",AB57&lt;&gt;"",AG57&lt;&gt;""))),"○","×")</f>
        <v>○</v>
      </c>
      <c r="BC57" s="652" t="str">
        <f t="shared" ref="BC57" si="398">IF(AND(BD57="○",BE57="○",BF57="○",BG57="○",BH57="○",BI57="○"),"○","×")</f>
        <v>○</v>
      </c>
      <c r="BD57" s="653" t="str">
        <f t="shared" ref="BD57" si="399">IF(AND($I$7=" ",OR(I57&lt;&gt;"",K57&lt;&gt;"",L57&lt;&gt;"")),"×","○")</f>
        <v>○</v>
      </c>
      <c r="BE57" s="653" t="str">
        <f t="shared" ref="BE57" si="400">IF(AND($M$7=" ",OR(M57&lt;&gt;"",O57&lt;&gt;"",P57&lt;&gt;"",Q57&lt;&gt;"")),"×","○")</f>
        <v>○</v>
      </c>
      <c r="BF57" s="653" t="str">
        <f t="shared" ref="BF57" si="401">IF(AND($R$7=" ",OR(R57&lt;&gt;"",T57&lt;&gt;"",U57&lt;&gt;"",V57&lt;&gt;"")),"×","○")</f>
        <v>○</v>
      </c>
      <c r="BG57" s="653" t="str">
        <f t="shared" ref="BG57" si="402">IF(AND($W$7=" ",OR(W57&lt;&gt;"",Y57&lt;&gt;"",Z57&lt;&gt;"",AA57&lt;&gt;"")),"×","○")</f>
        <v>○</v>
      </c>
      <c r="BH57" s="653" t="str">
        <f t="shared" ref="BH57" si="403">IF(AND($AB$7=" ",OR(AB57&lt;&gt;"",AD57&lt;&gt;"",AE57&lt;&gt;"",AF57&lt;&gt;"")),"×","○")</f>
        <v>○</v>
      </c>
      <c r="BI57" s="653" t="str">
        <f t="shared" ref="BI57" si="404">IF(AND($AG$7=" ",OR(AG57&lt;&gt;"",AI57&lt;&gt;"",AJ57&lt;&gt;"")),"×","○")</f>
        <v>○</v>
      </c>
      <c r="BJ57" s="2225" t="e">
        <f t="shared" ref="BJ57" si="405">SUMPRODUCT(1/COUNTIF(I57:AH57,"宿泊"))</f>
        <v>#DIV/0!</v>
      </c>
      <c r="BK57" s="2226" t="e">
        <f t="shared" ref="BK57" si="406">SUMPRODUCT(1/COUNTIF(I57:AH57,"日帰り"))</f>
        <v>#DIV/0!</v>
      </c>
      <c r="BL57" s="1381">
        <f t="shared" ref="BL57" si="407">COUNT(BJ57)-COUNT(BK57)</f>
        <v>0</v>
      </c>
      <c r="BM57" s="684"/>
    </row>
    <row r="58" spans="1:94" ht="14.1" customHeight="1" x14ac:dyDescent="0.15">
      <c r="A58" s="652"/>
      <c r="B58" s="2174"/>
      <c r="C58" s="2144"/>
      <c r="D58" s="2007"/>
      <c r="E58" s="2005"/>
      <c r="F58" s="2042"/>
      <c r="G58" s="2119"/>
      <c r="H58" s="2107"/>
      <c r="I58" s="2112"/>
      <c r="J58" s="2113"/>
      <c r="K58" s="2105"/>
      <c r="L58" s="2127"/>
      <c r="M58" s="2112"/>
      <c r="N58" s="2113"/>
      <c r="O58" s="2105"/>
      <c r="P58" s="2105"/>
      <c r="Q58" s="2107"/>
      <c r="R58" s="2112"/>
      <c r="S58" s="2113"/>
      <c r="T58" s="2105"/>
      <c r="U58" s="2105"/>
      <c r="V58" s="2107"/>
      <c r="W58" s="2112"/>
      <c r="X58" s="2113"/>
      <c r="Y58" s="2105"/>
      <c r="Z58" s="2105"/>
      <c r="AA58" s="2107"/>
      <c r="AB58" s="2112"/>
      <c r="AC58" s="2113"/>
      <c r="AD58" s="2105"/>
      <c r="AE58" s="2105"/>
      <c r="AF58" s="2107"/>
      <c r="AG58" s="2112"/>
      <c r="AH58" s="2113"/>
      <c r="AI58" s="2105"/>
      <c r="AJ58" s="2105"/>
      <c r="AK58" s="2011"/>
      <c r="AL58" s="2012"/>
      <c r="AM58" s="2012"/>
      <c r="AN58" s="2013"/>
      <c r="AO58" s="2011"/>
      <c r="AP58" s="2012"/>
      <c r="AQ58" s="2012"/>
      <c r="AR58" s="2013"/>
      <c r="AS58" s="651"/>
      <c r="AT58" s="652"/>
      <c r="AU58" s="1983"/>
      <c r="AV58" s="1983"/>
      <c r="AW58" s="1983"/>
      <c r="AX58" s="1983"/>
      <c r="AY58" s="1983"/>
      <c r="AZ58" s="1983"/>
      <c r="BA58" s="1983"/>
      <c r="BB58" s="654"/>
      <c r="BC58" s="654"/>
      <c r="BD58" s="652"/>
      <c r="BE58" s="652"/>
      <c r="BF58" s="652"/>
      <c r="BG58" s="652"/>
      <c r="BH58" s="652"/>
      <c r="BI58" s="652"/>
      <c r="BJ58" s="2225"/>
      <c r="BK58" s="2226"/>
      <c r="BL58" s="1381"/>
      <c r="BM58" s="684"/>
    </row>
    <row r="59" spans="1:94" ht="14.1" customHeight="1" x14ac:dyDescent="0.15">
      <c r="A59" s="652" t="str">
        <f t="shared" ref="A59" si="408">IF(AND(D59="",D61&lt;&gt;""),"×","○")</f>
        <v>○</v>
      </c>
      <c r="B59" s="2174" t="str">
        <f t="shared" ref="B59" si="409">IF(AND(AT59="○",BB59="○",BC59="○",A59="○"),"○","×")</f>
        <v>○</v>
      </c>
      <c r="C59" s="2143">
        <v>23</v>
      </c>
      <c r="D59" s="2006"/>
      <c r="E59" s="2004"/>
      <c r="F59" s="2041"/>
      <c r="G59" s="2118"/>
      <c r="H59" s="2106"/>
      <c r="I59" s="2141"/>
      <c r="J59" s="2142"/>
      <c r="K59" s="2104"/>
      <c r="L59" s="2140"/>
      <c r="M59" s="2110"/>
      <c r="N59" s="2111"/>
      <c r="O59" s="2104"/>
      <c r="P59" s="2104"/>
      <c r="Q59" s="2106"/>
      <c r="R59" s="2110"/>
      <c r="S59" s="2111"/>
      <c r="T59" s="2104"/>
      <c r="U59" s="2104"/>
      <c r="V59" s="2106"/>
      <c r="W59" s="2110"/>
      <c r="X59" s="2111"/>
      <c r="Y59" s="2104"/>
      <c r="Z59" s="2104"/>
      <c r="AA59" s="2106"/>
      <c r="AB59" s="2110"/>
      <c r="AC59" s="2111"/>
      <c r="AD59" s="2104"/>
      <c r="AE59" s="2104"/>
      <c r="AF59" s="2106"/>
      <c r="AG59" s="2110"/>
      <c r="AH59" s="2111"/>
      <c r="AI59" s="2104"/>
      <c r="AJ59" s="2104"/>
      <c r="AK59" s="2038"/>
      <c r="AL59" s="2039"/>
      <c r="AM59" s="2039"/>
      <c r="AN59" s="2040"/>
      <c r="AO59" s="2008"/>
      <c r="AP59" s="2009"/>
      <c r="AQ59" s="2009"/>
      <c r="AR59" s="2010"/>
      <c r="AS59" s="651"/>
      <c r="AT59" s="652" t="str">
        <f t="shared" ref="AT59" si="410">IF(OR(AND(D59&lt;&gt;"",OR(AND(E59&lt;&gt;"",F59&lt;&gt;"",OR(G59&lt;&gt;"",H59&lt;&gt;"")),AND(E59="",F59="バス・カメラマン等"))),AND(D59="",E59="",F59="",OR(G59="",H59=""))),"○","×")</f>
        <v>○</v>
      </c>
      <c r="AU59" s="1983" t="str">
        <f t="shared" ref="AU59" si="411">IF(AND(E59&lt;&gt;"",E59&lt;=2),"2歳児以下","")</f>
        <v/>
      </c>
      <c r="AV59" s="1983" t="str">
        <f t="shared" ref="AV59" si="412">IF(OR(AND(3&lt;=E59,E59&lt;=6),COUNTIF(E59, "幼*"),COUNTIF(E59, "年少"),COUNTIF(E59, "年中"),COUNTIF(E59, "年長")),"3歳-学齢前","")</f>
        <v/>
      </c>
      <c r="AW59" s="1983" t="str">
        <f t="shared" ref="AW59" si="413">IF(OR(AND(6&lt;=E59,E59&lt;=12),COUNTIF(E59, "小*")),"小学生","")</f>
        <v/>
      </c>
      <c r="AX59" s="1983" t="str">
        <f t="shared" ref="AX59" si="414">IF(OR(AND(12&lt;=E59,E59&lt;=15),COUNTIF(E59, "中*")),"中学生","")</f>
        <v/>
      </c>
      <c r="AY59" s="1983" t="str">
        <f t="shared" ref="AY59" si="415">IF(OR(AND(15&lt;=E59,E59&lt;=18),COUNTIF(E59, "高*")),"高校生(～18歳)","")</f>
        <v/>
      </c>
      <c r="AZ59" s="1983" t="str">
        <f t="shared" ref="AZ59" si="416">IF(OR(19&lt;=E59,COUNTIF(E59, "大*"),COUNTIF(E59, "*院*"),COUNTIF(E59, "*専*")),"一般(19歳～)","")</f>
        <v/>
      </c>
      <c r="BA59" s="1983" t="s">
        <v>475</v>
      </c>
      <c r="BB59" s="652" t="str">
        <f t="shared" ref="BB59" si="417">IF(OR(AND(D59="",I59="",M59="",R59="",W59="",AB59="",AG59=""),AND(D59&lt;&gt;"",OR(I59&lt;&gt;"",M59&lt;&gt;"",R59&lt;&gt;"",W59&lt;&gt;"",AB59&lt;&gt;"",AG59&lt;&gt;""))),"○","×")</f>
        <v>○</v>
      </c>
      <c r="BC59" s="652" t="str">
        <f t="shared" ref="BC59" si="418">IF(AND(BD59="○",BE59="○",BF59="○",BG59="○",BH59="○",BI59="○"),"○","×")</f>
        <v>○</v>
      </c>
      <c r="BD59" s="653" t="str">
        <f t="shared" ref="BD59" si="419">IF(AND($I$7=" ",OR(I59&lt;&gt;"",K59&lt;&gt;"",L59&lt;&gt;"")),"×","○")</f>
        <v>○</v>
      </c>
      <c r="BE59" s="653" t="str">
        <f t="shared" ref="BE59" si="420">IF(AND($M$7=" ",OR(M59&lt;&gt;"",O59&lt;&gt;"",P59&lt;&gt;"",Q59&lt;&gt;"")),"×","○")</f>
        <v>○</v>
      </c>
      <c r="BF59" s="653" t="str">
        <f t="shared" ref="BF59" si="421">IF(AND($R$7=" ",OR(R59&lt;&gt;"",T59&lt;&gt;"",U59&lt;&gt;"",V59&lt;&gt;"")),"×","○")</f>
        <v>○</v>
      </c>
      <c r="BG59" s="653" t="str">
        <f t="shared" ref="BG59" si="422">IF(AND($W$7=" ",OR(W59&lt;&gt;"",Y59&lt;&gt;"",Z59&lt;&gt;"",AA59&lt;&gt;"")),"×","○")</f>
        <v>○</v>
      </c>
      <c r="BH59" s="653" t="str">
        <f t="shared" ref="BH59" si="423">IF(AND($AB$7=" ",OR(AB59&lt;&gt;"",AD59&lt;&gt;"",AE59&lt;&gt;"",AF59&lt;&gt;"")),"×","○")</f>
        <v>○</v>
      </c>
      <c r="BI59" s="653" t="str">
        <f t="shared" ref="BI59" si="424">IF(AND($AG$7=" ",OR(AG59&lt;&gt;"",AI59&lt;&gt;"",AJ59&lt;&gt;"")),"×","○")</f>
        <v>○</v>
      </c>
      <c r="BJ59" s="2225" t="e">
        <f t="shared" ref="BJ59" si="425">SUMPRODUCT(1/COUNTIF(I59:AH59,"宿泊"))</f>
        <v>#DIV/0!</v>
      </c>
      <c r="BK59" s="2226" t="e">
        <f t="shared" ref="BK59" si="426">SUMPRODUCT(1/COUNTIF(I59:AH59,"日帰り"))</f>
        <v>#DIV/0!</v>
      </c>
      <c r="BL59" s="1381">
        <f t="shared" ref="BL59" si="427">COUNT(BJ59)-COUNT(BK59)</f>
        <v>0</v>
      </c>
      <c r="BM59" s="684"/>
    </row>
    <row r="60" spans="1:94" ht="14.1" customHeight="1" x14ac:dyDescent="0.15">
      <c r="A60" s="652"/>
      <c r="B60" s="2174"/>
      <c r="C60" s="2144"/>
      <c r="D60" s="2007"/>
      <c r="E60" s="2005"/>
      <c r="F60" s="2042"/>
      <c r="G60" s="2119"/>
      <c r="H60" s="2107"/>
      <c r="I60" s="2112"/>
      <c r="J60" s="2113"/>
      <c r="K60" s="2105"/>
      <c r="L60" s="2127"/>
      <c r="M60" s="2112"/>
      <c r="N60" s="2113"/>
      <c r="O60" s="2105"/>
      <c r="P60" s="2105"/>
      <c r="Q60" s="2107"/>
      <c r="R60" s="2112"/>
      <c r="S60" s="2113"/>
      <c r="T60" s="2105"/>
      <c r="U60" s="2105"/>
      <c r="V60" s="2107"/>
      <c r="W60" s="2112"/>
      <c r="X60" s="2113"/>
      <c r="Y60" s="2105"/>
      <c r="Z60" s="2105"/>
      <c r="AA60" s="2107"/>
      <c r="AB60" s="2112"/>
      <c r="AC60" s="2113"/>
      <c r="AD60" s="2105"/>
      <c r="AE60" s="2105"/>
      <c r="AF60" s="2107"/>
      <c r="AG60" s="2112"/>
      <c r="AH60" s="2113"/>
      <c r="AI60" s="2105"/>
      <c r="AJ60" s="2105"/>
      <c r="AK60" s="2011"/>
      <c r="AL60" s="2012"/>
      <c r="AM60" s="2012"/>
      <c r="AN60" s="2013"/>
      <c r="AO60" s="2011"/>
      <c r="AP60" s="2012"/>
      <c r="AQ60" s="2012"/>
      <c r="AR60" s="2013"/>
      <c r="AS60" s="651"/>
      <c r="AT60" s="652"/>
      <c r="AU60" s="1983"/>
      <c r="AV60" s="1983"/>
      <c r="AW60" s="1983"/>
      <c r="AX60" s="1983"/>
      <c r="AY60" s="1983"/>
      <c r="AZ60" s="1983"/>
      <c r="BA60" s="1983"/>
      <c r="BB60" s="654"/>
      <c r="BC60" s="654"/>
      <c r="BD60" s="652"/>
      <c r="BE60" s="652"/>
      <c r="BF60" s="652"/>
      <c r="BG60" s="652"/>
      <c r="BH60" s="652"/>
      <c r="BI60" s="652"/>
      <c r="BJ60" s="2225"/>
      <c r="BK60" s="2226"/>
      <c r="BL60" s="1381"/>
      <c r="BM60" s="684"/>
    </row>
    <row r="61" spans="1:94" ht="14.1" customHeight="1" x14ac:dyDescent="0.15">
      <c r="A61" s="652" t="str">
        <f t="shared" ref="A61" si="428">IF(AND(D61="",D63&lt;&gt;""),"×","○")</f>
        <v>○</v>
      </c>
      <c r="B61" s="2174" t="str">
        <f t="shared" ref="B61" si="429">IF(AND(AT61="○",BB61="○",BC61="○",A61="○"),"○","×")</f>
        <v>○</v>
      </c>
      <c r="C61" s="2143">
        <v>24</v>
      </c>
      <c r="D61" s="2006"/>
      <c r="E61" s="2004"/>
      <c r="F61" s="2041"/>
      <c r="G61" s="2118"/>
      <c r="H61" s="2106"/>
      <c r="I61" s="2141"/>
      <c r="J61" s="2142"/>
      <c r="K61" s="2104"/>
      <c r="L61" s="2140"/>
      <c r="M61" s="2110"/>
      <c r="N61" s="2111"/>
      <c r="O61" s="2104"/>
      <c r="P61" s="2104"/>
      <c r="Q61" s="2106"/>
      <c r="R61" s="2110"/>
      <c r="S61" s="2111"/>
      <c r="T61" s="2104"/>
      <c r="U61" s="2104"/>
      <c r="V61" s="2106"/>
      <c r="W61" s="2110"/>
      <c r="X61" s="2111"/>
      <c r="Y61" s="2104"/>
      <c r="Z61" s="2104"/>
      <c r="AA61" s="2106"/>
      <c r="AB61" s="2110"/>
      <c r="AC61" s="2111"/>
      <c r="AD61" s="2104"/>
      <c r="AE61" s="2104"/>
      <c r="AF61" s="2106"/>
      <c r="AG61" s="2110"/>
      <c r="AH61" s="2111"/>
      <c r="AI61" s="2104"/>
      <c r="AJ61" s="2104"/>
      <c r="AK61" s="2038"/>
      <c r="AL61" s="2039"/>
      <c r="AM61" s="2039"/>
      <c r="AN61" s="2040"/>
      <c r="AO61" s="2008"/>
      <c r="AP61" s="2009"/>
      <c r="AQ61" s="2009"/>
      <c r="AR61" s="2010"/>
      <c r="AS61" s="651"/>
      <c r="AT61" s="652" t="str">
        <f t="shared" ref="AT61" si="430">IF(OR(AND(D61&lt;&gt;"",OR(AND(E61&lt;&gt;"",F61&lt;&gt;"",OR(G61&lt;&gt;"",H61&lt;&gt;"")),AND(E61="",F61="バス・カメラマン等"))),AND(D61="",E61="",F61="",OR(G61="",H61=""))),"○","×")</f>
        <v>○</v>
      </c>
      <c r="AU61" s="1983" t="str">
        <f t="shared" ref="AU61" si="431">IF(AND(E61&lt;&gt;"",E61&lt;=2),"2歳児以下","")</f>
        <v/>
      </c>
      <c r="AV61" s="1983" t="str">
        <f t="shared" ref="AV61" si="432">IF(OR(AND(3&lt;=E61,E61&lt;=6),COUNTIF(E61, "幼*"),COUNTIF(E61, "年少"),COUNTIF(E61, "年中"),COUNTIF(E61, "年長")),"3歳-学齢前","")</f>
        <v/>
      </c>
      <c r="AW61" s="1983" t="str">
        <f t="shared" ref="AW61" si="433">IF(OR(AND(6&lt;=E61,E61&lt;=12),COUNTIF(E61, "小*")),"小学生","")</f>
        <v/>
      </c>
      <c r="AX61" s="1983" t="str">
        <f t="shared" ref="AX61" si="434">IF(OR(AND(12&lt;=E61,E61&lt;=15),COUNTIF(E61, "中*")),"中学生","")</f>
        <v/>
      </c>
      <c r="AY61" s="1983" t="str">
        <f t="shared" ref="AY61" si="435">IF(OR(AND(15&lt;=E61,E61&lt;=18),COUNTIF(E61, "高*")),"高校生(～18歳)","")</f>
        <v/>
      </c>
      <c r="AZ61" s="1983" t="str">
        <f t="shared" ref="AZ61" si="436">IF(OR(19&lt;=E61,COUNTIF(E61, "大*"),COUNTIF(E61, "*院*"),COUNTIF(E61, "*専*")),"一般(19歳～)","")</f>
        <v/>
      </c>
      <c r="BA61" s="1983" t="s">
        <v>475</v>
      </c>
      <c r="BB61" s="652" t="str">
        <f t="shared" ref="BB61" si="437">IF(OR(AND(D61="",I61="",M61="",R61="",W61="",AB61="",AG61=""),AND(D61&lt;&gt;"",OR(I61&lt;&gt;"",M61&lt;&gt;"",R61&lt;&gt;"",W61&lt;&gt;"",AB61&lt;&gt;"",AG61&lt;&gt;""))),"○","×")</f>
        <v>○</v>
      </c>
      <c r="BC61" s="652" t="str">
        <f t="shared" ref="BC61" si="438">IF(AND(BD61="○",BE61="○",BF61="○",BG61="○",BH61="○",BI61="○"),"○","×")</f>
        <v>○</v>
      </c>
      <c r="BD61" s="653" t="str">
        <f t="shared" ref="BD61" si="439">IF(AND($I$7=" ",OR(I61&lt;&gt;"",K61&lt;&gt;"",L61&lt;&gt;"")),"×","○")</f>
        <v>○</v>
      </c>
      <c r="BE61" s="653" t="str">
        <f t="shared" ref="BE61" si="440">IF(AND($M$7=" ",OR(M61&lt;&gt;"",O61&lt;&gt;"",P61&lt;&gt;"",Q61&lt;&gt;"")),"×","○")</f>
        <v>○</v>
      </c>
      <c r="BF61" s="653" t="str">
        <f t="shared" ref="BF61" si="441">IF(AND($R$7=" ",OR(R61&lt;&gt;"",T61&lt;&gt;"",U61&lt;&gt;"",V61&lt;&gt;"")),"×","○")</f>
        <v>○</v>
      </c>
      <c r="BG61" s="653" t="str">
        <f t="shared" ref="BG61" si="442">IF(AND($W$7=" ",OR(W61&lt;&gt;"",Y61&lt;&gt;"",Z61&lt;&gt;"",AA61&lt;&gt;"")),"×","○")</f>
        <v>○</v>
      </c>
      <c r="BH61" s="653" t="str">
        <f t="shared" ref="BH61" si="443">IF(AND($AB$7=" ",OR(AB61&lt;&gt;"",AD61&lt;&gt;"",AE61&lt;&gt;"",AF61&lt;&gt;"")),"×","○")</f>
        <v>○</v>
      </c>
      <c r="BI61" s="653" t="str">
        <f t="shared" ref="BI61" si="444">IF(AND($AG$7=" ",OR(AG61&lt;&gt;"",AI61&lt;&gt;"",AJ61&lt;&gt;"")),"×","○")</f>
        <v>○</v>
      </c>
      <c r="BJ61" s="2225" t="e">
        <f t="shared" ref="BJ61" si="445">SUMPRODUCT(1/COUNTIF(I61:AH61,"宿泊"))</f>
        <v>#DIV/0!</v>
      </c>
      <c r="BK61" s="2226" t="e">
        <f t="shared" ref="BK61" si="446">SUMPRODUCT(1/COUNTIF(I61:AH61,"日帰り"))</f>
        <v>#DIV/0!</v>
      </c>
      <c r="BL61" s="1381">
        <f t="shared" ref="BL61" si="447">COUNT(BJ61)-COUNT(BK61)</f>
        <v>0</v>
      </c>
      <c r="BM61" s="684"/>
    </row>
    <row r="62" spans="1:94" ht="14.1" customHeight="1" x14ac:dyDescent="0.15">
      <c r="A62" s="652"/>
      <c r="B62" s="2174"/>
      <c r="C62" s="2144"/>
      <c r="D62" s="2007"/>
      <c r="E62" s="2005"/>
      <c r="F62" s="2042"/>
      <c r="G62" s="2119"/>
      <c r="H62" s="2107"/>
      <c r="I62" s="2112"/>
      <c r="J62" s="2113"/>
      <c r="K62" s="2105"/>
      <c r="L62" s="2127"/>
      <c r="M62" s="2112"/>
      <c r="N62" s="2113"/>
      <c r="O62" s="2105"/>
      <c r="P62" s="2105"/>
      <c r="Q62" s="2107"/>
      <c r="R62" s="2112"/>
      <c r="S62" s="2113"/>
      <c r="T62" s="2105"/>
      <c r="U62" s="2105"/>
      <c r="V62" s="2107"/>
      <c r="W62" s="2112"/>
      <c r="X62" s="2113"/>
      <c r="Y62" s="2105"/>
      <c r="Z62" s="2105"/>
      <c r="AA62" s="2107"/>
      <c r="AB62" s="2112"/>
      <c r="AC62" s="2113"/>
      <c r="AD62" s="2105"/>
      <c r="AE62" s="2105"/>
      <c r="AF62" s="2107"/>
      <c r="AG62" s="2112"/>
      <c r="AH62" s="2113"/>
      <c r="AI62" s="2105"/>
      <c r="AJ62" s="2105"/>
      <c r="AK62" s="2011"/>
      <c r="AL62" s="2012"/>
      <c r="AM62" s="2012"/>
      <c r="AN62" s="2013"/>
      <c r="AO62" s="2011"/>
      <c r="AP62" s="2012"/>
      <c r="AQ62" s="2012"/>
      <c r="AR62" s="2013"/>
      <c r="AS62" s="651"/>
      <c r="AT62" s="652"/>
      <c r="AU62" s="1983"/>
      <c r="AV62" s="1983"/>
      <c r="AW62" s="1983"/>
      <c r="AX62" s="1983"/>
      <c r="AY62" s="1983"/>
      <c r="AZ62" s="1983"/>
      <c r="BA62" s="1983"/>
      <c r="BB62" s="654"/>
      <c r="BC62" s="654"/>
      <c r="BD62" s="652"/>
      <c r="BE62" s="652"/>
      <c r="BF62" s="652"/>
      <c r="BG62" s="652"/>
      <c r="BH62" s="652"/>
      <c r="BI62" s="652"/>
      <c r="BJ62" s="2225"/>
      <c r="BK62" s="2226"/>
      <c r="BL62" s="1381"/>
      <c r="BM62" s="684"/>
    </row>
    <row r="63" spans="1:94" ht="14.1" customHeight="1" x14ac:dyDescent="0.15">
      <c r="A63" s="652" t="str">
        <f t="shared" ref="A63" si="448">IF(AND(D63="",D65&lt;&gt;""),"×","○")</f>
        <v>○</v>
      </c>
      <c r="B63" s="2174" t="str">
        <f t="shared" ref="B63" si="449">IF(AND(AT63="○",BB63="○",BC63="○",A63="○"),"○","×")</f>
        <v>○</v>
      </c>
      <c r="C63" s="2143">
        <v>25</v>
      </c>
      <c r="D63" s="2006"/>
      <c r="E63" s="2004"/>
      <c r="F63" s="2041"/>
      <c r="G63" s="2118"/>
      <c r="H63" s="2106"/>
      <c r="I63" s="2141"/>
      <c r="J63" s="2142"/>
      <c r="K63" s="2104"/>
      <c r="L63" s="2140"/>
      <c r="M63" s="2110"/>
      <c r="N63" s="2111"/>
      <c r="O63" s="2104"/>
      <c r="P63" s="2104"/>
      <c r="Q63" s="2106"/>
      <c r="R63" s="2110"/>
      <c r="S63" s="2111"/>
      <c r="T63" s="2104"/>
      <c r="U63" s="2104"/>
      <c r="V63" s="2106"/>
      <c r="W63" s="2110"/>
      <c r="X63" s="2111"/>
      <c r="Y63" s="2104"/>
      <c r="Z63" s="2104"/>
      <c r="AA63" s="2106"/>
      <c r="AB63" s="2110"/>
      <c r="AC63" s="2111"/>
      <c r="AD63" s="2104"/>
      <c r="AE63" s="2104"/>
      <c r="AF63" s="2106"/>
      <c r="AG63" s="2110"/>
      <c r="AH63" s="2111"/>
      <c r="AI63" s="2104"/>
      <c r="AJ63" s="2104"/>
      <c r="AK63" s="2038"/>
      <c r="AL63" s="2039"/>
      <c r="AM63" s="2039"/>
      <c r="AN63" s="2040"/>
      <c r="AO63" s="2008"/>
      <c r="AP63" s="2009"/>
      <c r="AQ63" s="2009"/>
      <c r="AR63" s="2010"/>
      <c r="AS63" s="651"/>
      <c r="AT63" s="652" t="str">
        <f t="shared" ref="AT63" si="450">IF(OR(AND(D63&lt;&gt;"",OR(AND(E63&lt;&gt;"",F63&lt;&gt;"",OR(G63&lt;&gt;"",H63&lt;&gt;"")),AND(E63="",F63="バス・カメラマン等"))),AND(D63="",E63="",F63="",OR(G63="",H63=""))),"○","×")</f>
        <v>○</v>
      </c>
      <c r="AU63" s="1983" t="str">
        <f t="shared" ref="AU63" si="451">IF(AND(E63&lt;&gt;"",E63&lt;=2),"2歳児以下","")</f>
        <v/>
      </c>
      <c r="AV63" s="1983" t="str">
        <f t="shared" ref="AV63" si="452">IF(OR(AND(3&lt;=E63,E63&lt;=6),COUNTIF(E63, "幼*"),COUNTIF(E63, "年少"),COUNTIF(E63, "年中"),COUNTIF(E63, "年長")),"3歳-学齢前","")</f>
        <v/>
      </c>
      <c r="AW63" s="1983" t="str">
        <f t="shared" ref="AW63" si="453">IF(OR(AND(6&lt;=E63,E63&lt;=12),COUNTIF(E63, "小*")),"小学生","")</f>
        <v/>
      </c>
      <c r="AX63" s="1983" t="str">
        <f t="shared" ref="AX63" si="454">IF(OR(AND(12&lt;=E63,E63&lt;=15),COUNTIF(E63, "中*")),"中学生","")</f>
        <v/>
      </c>
      <c r="AY63" s="1983" t="str">
        <f t="shared" ref="AY63" si="455">IF(OR(AND(15&lt;=E63,E63&lt;=18),COUNTIF(E63, "高*")),"高校生(～18歳)","")</f>
        <v/>
      </c>
      <c r="AZ63" s="1983" t="str">
        <f t="shared" ref="AZ63" si="456">IF(OR(19&lt;=E63,COUNTIF(E63, "大*"),COUNTIF(E63, "*院*"),COUNTIF(E63, "*専*")),"一般(19歳～)","")</f>
        <v/>
      </c>
      <c r="BA63" s="1983" t="s">
        <v>475</v>
      </c>
      <c r="BB63" s="652" t="str">
        <f t="shared" ref="BB63" si="457">IF(OR(AND(D63="",I63="",M63="",R63="",W63="",AB63="",AG63=""),AND(D63&lt;&gt;"",OR(I63&lt;&gt;"",M63&lt;&gt;"",R63&lt;&gt;"",W63&lt;&gt;"",AB63&lt;&gt;"",AG63&lt;&gt;""))),"○","×")</f>
        <v>○</v>
      </c>
      <c r="BC63" s="652" t="str">
        <f t="shared" ref="BC63" si="458">IF(AND(BD63="○",BE63="○",BF63="○",BG63="○",BH63="○",BI63="○"),"○","×")</f>
        <v>○</v>
      </c>
      <c r="BD63" s="653" t="str">
        <f t="shared" ref="BD63" si="459">IF(AND($I$7=" ",OR(I63&lt;&gt;"",K63&lt;&gt;"",L63&lt;&gt;"")),"×","○")</f>
        <v>○</v>
      </c>
      <c r="BE63" s="653" t="str">
        <f t="shared" ref="BE63" si="460">IF(AND($M$7=" ",OR(M63&lt;&gt;"",O63&lt;&gt;"",P63&lt;&gt;"",Q63&lt;&gt;"")),"×","○")</f>
        <v>○</v>
      </c>
      <c r="BF63" s="653" t="str">
        <f t="shared" ref="BF63" si="461">IF(AND($R$7=" ",OR(R63&lt;&gt;"",T63&lt;&gt;"",U63&lt;&gt;"",V63&lt;&gt;"")),"×","○")</f>
        <v>○</v>
      </c>
      <c r="BG63" s="653" t="str">
        <f t="shared" ref="BG63" si="462">IF(AND($W$7=" ",OR(W63&lt;&gt;"",Y63&lt;&gt;"",Z63&lt;&gt;"",AA63&lt;&gt;"")),"×","○")</f>
        <v>○</v>
      </c>
      <c r="BH63" s="653" t="str">
        <f t="shared" ref="BH63" si="463">IF(AND($AB$7=" ",OR(AB63&lt;&gt;"",AD63&lt;&gt;"",AE63&lt;&gt;"",AF63&lt;&gt;"")),"×","○")</f>
        <v>○</v>
      </c>
      <c r="BI63" s="653" t="str">
        <f t="shared" ref="BI63" si="464">IF(AND($AG$7=" ",OR(AG63&lt;&gt;"",AI63&lt;&gt;"",AJ63&lt;&gt;"")),"×","○")</f>
        <v>○</v>
      </c>
      <c r="BJ63" s="2225" t="e">
        <f t="shared" ref="BJ63" si="465">SUMPRODUCT(1/COUNTIF(I63:AH63,"宿泊"))</f>
        <v>#DIV/0!</v>
      </c>
      <c r="BK63" s="2226" t="e">
        <f t="shared" ref="BK63" si="466">SUMPRODUCT(1/COUNTIF(I63:AH63,"日帰り"))</f>
        <v>#DIV/0!</v>
      </c>
      <c r="BL63" s="1381">
        <f t="shared" ref="BL63" si="467">COUNT(BJ63)-COUNT(BK63)</f>
        <v>0</v>
      </c>
      <c r="BM63" s="684"/>
    </row>
    <row r="64" spans="1:94" ht="14.1" customHeight="1" x14ac:dyDescent="0.15">
      <c r="A64" s="652"/>
      <c r="B64" s="2174"/>
      <c r="C64" s="2144"/>
      <c r="D64" s="2007"/>
      <c r="E64" s="2005"/>
      <c r="F64" s="2042"/>
      <c r="G64" s="2119"/>
      <c r="H64" s="2107"/>
      <c r="I64" s="2112"/>
      <c r="J64" s="2113"/>
      <c r="K64" s="2105"/>
      <c r="L64" s="2127"/>
      <c r="M64" s="2112"/>
      <c r="N64" s="2113"/>
      <c r="O64" s="2105"/>
      <c r="P64" s="2105"/>
      <c r="Q64" s="2107"/>
      <c r="R64" s="2112"/>
      <c r="S64" s="2113"/>
      <c r="T64" s="2105"/>
      <c r="U64" s="2105"/>
      <c r="V64" s="2107"/>
      <c r="W64" s="2112"/>
      <c r="X64" s="2113"/>
      <c r="Y64" s="2105"/>
      <c r="Z64" s="2105"/>
      <c r="AA64" s="2107"/>
      <c r="AB64" s="2112"/>
      <c r="AC64" s="2113"/>
      <c r="AD64" s="2105"/>
      <c r="AE64" s="2105"/>
      <c r="AF64" s="2107"/>
      <c r="AG64" s="2112"/>
      <c r="AH64" s="2113"/>
      <c r="AI64" s="2105"/>
      <c r="AJ64" s="2105"/>
      <c r="AK64" s="2011"/>
      <c r="AL64" s="2012"/>
      <c r="AM64" s="2012"/>
      <c r="AN64" s="2013"/>
      <c r="AO64" s="2011"/>
      <c r="AP64" s="2012"/>
      <c r="AQ64" s="2012"/>
      <c r="AR64" s="2013"/>
      <c r="AS64" s="651"/>
      <c r="AT64" s="652"/>
      <c r="AU64" s="1983"/>
      <c r="AV64" s="1983"/>
      <c r="AW64" s="1983"/>
      <c r="AX64" s="1983"/>
      <c r="AY64" s="1983"/>
      <c r="AZ64" s="1983"/>
      <c r="BA64" s="1983"/>
      <c r="BB64" s="654"/>
      <c r="BC64" s="654"/>
      <c r="BD64" s="652"/>
      <c r="BE64" s="652"/>
      <c r="BF64" s="652"/>
      <c r="BG64" s="652"/>
      <c r="BH64" s="652"/>
      <c r="BI64" s="652"/>
      <c r="BJ64" s="2225"/>
      <c r="BK64" s="2226"/>
      <c r="BL64" s="1381"/>
      <c r="BM64" s="684"/>
    </row>
    <row r="65" spans="1:65" ht="14.1" customHeight="1" x14ac:dyDescent="0.15">
      <c r="A65" s="652" t="str">
        <f t="shared" ref="A65" si="468">IF(AND(D65="",D67&lt;&gt;""),"×","○")</f>
        <v>○</v>
      </c>
      <c r="B65" s="2174" t="str">
        <f t="shared" ref="B65" si="469">IF(AND(AT65="○",BB65="○",BC65="○",A65="○"),"○","×")</f>
        <v>○</v>
      </c>
      <c r="C65" s="2145">
        <v>26</v>
      </c>
      <c r="D65" s="2006"/>
      <c r="E65" s="2004"/>
      <c r="F65" s="2041"/>
      <c r="G65" s="2123"/>
      <c r="H65" s="2109"/>
      <c r="I65" s="2141"/>
      <c r="J65" s="2142"/>
      <c r="K65" s="2104"/>
      <c r="L65" s="2140"/>
      <c r="M65" s="2110"/>
      <c r="N65" s="2111"/>
      <c r="O65" s="2108"/>
      <c r="P65" s="2108"/>
      <c r="Q65" s="2109"/>
      <c r="R65" s="2110"/>
      <c r="S65" s="2111"/>
      <c r="T65" s="2108"/>
      <c r="U65" s="2108"/>
      <c r="V65" s="2109"/>
      <c r="W65" s="2110"/>
      <c r="X65" s="2111"/>
      <c r="Y65" s="2108"/>
      <c r="Z65" s="2108"/>
      <c r="AA65" s="2109"/>
      <c r="AB65" s="2110"/>
      <c r="AC65" s="2111"/>
      <c r="AD65" s="2108"/>
      <c r="AE65" s="2108"/>
      <c r="AF65" s="2109"/>
      <c r="AG65" s="2110"/>
      <c r="AH65" s="2111"/>
      <c r="AI65" s="2108"/>
      <c r="AJ65" s="2108"/>
      <c r="AK65" s="2038"/>
      <c r="AL65" s="2039"/>
      <c r="AM65" s="2039"/>
      <c r="AN65" s="2040"/>
      <c r="AO65" s="2008"/>
      <c r="AP65" s="2009"/>
      <c r="AQ65" s="2009"/>
      <c r="AR65" s="2010"/>
      <c r="AS65" s="651"/>
      <c r="AT65" s="652" t="str">
        <f t="shared" ref="AT65" si="470">IF(OR(AND(D65&lt;&gt;"",OR(AND(E65&lt;&gt;"",F65&lt;&gt;"",OR(G65&lt;&gt;"",H65&lt;&gt;"")),AND(E65="",F65="バス・カメラマン等"))),AND(D65="",E65="",F65="",OR(G65="",H65=""))),"○","×")</f>
        <v>○</v>
      </c>
      <c r="AU65" s="1983" t="str">
        <f t="shared" ref="AU65" si="471">IF(AND(E65&lt;&gt;"",E65&lt;=2),"2歳児以下","")</f>
        <v/>
      </c>
      <c r="AV65" s="1983" t="str">
        <f t="shared" ref="AV65" si="472">IF(OR(AND(3&lt;=E65,E65&lt;=6),COUNTIF(E65, "幼*"),COUNTIF(E65, "年少"),COUNTIF(E65, "年中"),COUNTIF(E65, "年長")),"3歳-学齢前","")</f>
        <v/>
      </c>
      <c r="AW65" s="1983" t="str">
        <f t="shared" ref="AW65" si="473">IF(OR(AND(6&lt;=E65,E65&lt;=12),COUNTIF(E65, "小*")),"小学生","")</f>
        <v/>
      </c>
      <c r="AX65" s="1983" t="str">
        <f t="shared" ref="AX65" si="474">IF(OR(AND(12&lt;=E65,E65&lt;=15),COUNTIF(E65, "中*")),"中学生","")</f>
        <v/>
      </c>
      <c r="AY65" s="1983" t="str">
        <f t="shared" ref="AY65" si="475">IF(OR(AND(15&lt;=E65,E65&lt;=18),COUNTIF(E65, "高*")),"高校生(～18歳)","")</f>
        <v/>
      </c>
      <c r="AZ65" s="1983" t="str">
        <f t="shared" ref="AZ65" si="476">IF(OR(19&lt;=E65,COUNTIF(E65, "大*"),COUNTIF(E65, "*院*"),COUNTIF(E65, "*専*")),"一般(19歳～)","")</f>
        <v/>
      </c>
      <c r="BA65" s="1983" t="s">
        <v>475</v>
      </c>
      <c r="BB65" s="652" t="str">
        <f t="shared" ref="BB65" si="477">IF(OR(AND(D65="",I65="",M65="",R65="",W65="",AB65="",AG65=""),AND(D65&lt;&gt;"",OR(I65&lt;&gt;"",M65&lt;&gt;"",R65&lt;&gt;"",W65&lt;&gt;"",AB65&lt;&gt;"",AG65&lt;&gt;""))),"○","×")</f>
        <v>○</v>
      </c>
      <c r="BC65" s="652" t="str">
        <f t="shared" ref="BC65" si="478">IF(AND(BD65="○",BE65="○",BF65="○",BG65="○",BH65="○",BI65="○"),"○","×")</f>
        <v>○</v>
      </c>
      <c r="BD65" s="653" t="str">
        <f t="shared" ref="BD65" si="479">IF(AND($I$7=" ",OR(I65&lt;&gt;"",K65&lt;&gt;"",L65&lt;&gt;"")),"×","○")</f>
        <v>○</v>
      </c>
      <c r="BE65" s="653" t="str">
        <f t="shared" ref="BE65" si="480">IF(AND($M$7=" ",OR(M65&lt;&gt;"",O65&lt;&gt;"",P65&lt;&gt;"",Q65&lt;&gt;"")),"×","○")</f>
        <v>○</v>
      </c>
      <c r="BF65" s="653" t="str">
        <f t="shared" ref="BF65" si="481">IF(AND($R$7=" ",OR(R65&lt;&gt;"",T65&lt;&gt;"",U65&lt;&gt;"",V65&lt;&gt;"")),"×","○")</f>
        <v>○</v>
      </c>
      <c r="BG65" s="653" t="str">
        <f t="shared" ref="BG65" si="482">IF(AND($W$7=" ",OR(W65&lt;&gt;"",Y65&lt;&gt;"",Z65&lt;&gt;"",AA65&lt;&gt;"")),"×","○")</f>
        <v>○</v>
      </c>
      <c r="BH65" s="653" t="str">
        <f t="shared" ref="BH65" si="483">IF(AND($AB$7=" ",OR(AB65&lt;&gt;"",AD65&lt;&gt;"",AE65&lt;&gt;"",AF65&lt;&gt;"")),"×","○")</f>
        <v>○</v>
      </c>
      <c r="BI65" s="653" t="str">
        <f t="shared" ref="BI65" si="484">IF(AND($AG$7=" ",OR(AG65&lt;&gt;"",AI65&lt;&gt;"",AJ65&lt;&gt;"")),"×","○")</f>
        <v>○</v>
      </c>
      <c r="BJ65" s="2225" t="e">
        <f t="shared" ref="BJ65" si="485">SUMPRODUCT(1/COUNTIF(I65:AH65,"宿泊"))</f>
        <v>#DIV/0!</v>
      </c>
      <c r="BK65" s="2226" t="e">
        <f t="shared" ref="BK65" si="486">SUMPRODUCT(1/COUNTIF(I65:AH65,"日帰り"))</f>
        <v>#DIV/0!</v>
      </c>
      <c r="BL65" s="1381">
        <f t="shared" ref="BL65" si="487">COUNT(BJ65)-COUNT(BK65)</f>
        <v>0</v>
      </c>
      <c r="BM65" s="684"/>
    </row>
    <row r="66" spans="1:65" ht="14.1" customHeight="1" x14ac:dyDescent="0.15">
      <c r="A66" s="652"/>
      <c r="B66" s="2174"/>
      <c r="C66" s="2144"/>
      <c r="D66" s="2007"/>
      <c r="E66" s="2005"/>
      <c r="F66" s="2042"/>
      <c r="G66" s="2119"/>
      <c r="H66" s="2107"/>
      <c r="I66" s="2112"/>
      <c r="J66" s="2113"/>
      <c r="K66" s="2105"/>
      <c r="L66" s="2127"/>
      <c r="M66" s="2112"/>
      <c r="N66" s="2113"/>
      <c r="O66" s="2105"/>
      <c r="P66" s="2105"/>
      <c r="Q66" s="2107"/>
      <c r="R66" s="2112"/>
      <c r="S66" s="2113"/>
      <c r="T66" s="2105"/>
      <c r="U66" s="2105"/>
      <c r="V66" s="2107"/>
      <c r="W66" s="2112"/>
      <c r="X66" s="2113"/>
      <c r="Y66" s="2105"/>
      <c r="Z66" s="2105"/>
      <c r="AA66" s="2107"/>
      <c r="AB66" s="2112"/>
      <c r="AC66" s="2113"/>
      <c r="AD66" s="2105"/>
      <c r="AE66" s="2105"/>
      <c r="AF66" s="2107"/>
      <c r="AG66" s="2112"/>
      <c r="AH66" s="2113"/>
      <c r="AI66" s="2105"/>
      <c r="AJ66" s="2105"/>
      <c r="AK66" s="2011"/>
      <c r="AL66" s="2012"/>
      <c r="AM66" s="2012"/>
      <c r="AN66" s="2013"/>
      <c r="AO66" s="2011"/>
      <c r="AP66" s="2012"/>
      <c r="AQ66" s="2012"/>
      <c r="AR66" s="2013"/>
      <c r="AS66" s="651"/>
      <c r="AT66" s="652"/>
      <c r="AU66" s="1983"/>
      <c r="AV66" s="1983"/>
      <c r="AW66" s="1983"/>
      <c r="AX66" s="1983"/>
      <c r="AY66" s="1983"/>
      <c r="AZ66" s="1983"/>
      <c r="BA66" s="1983"/>
      <c r="BB66" s="654"/>
      <c r="BC66" s="654"/>
      <c r="BD66" s="652"/>
      <c r="BE66" s="652"/>
      <c r="BF66" s="652"/>
      <c r="BG66" s="652"/>
      <c r="BH66" s="652"/>
      <c r="BI66" s="652"/>
      <c r="BJ66" s="2225"/>
      <c r="BK66" s="2226"/>
      <c r="BL66" s="1381"/>
      <c r="BM66" s="684"/>
    </row>
    <row r="67" spans="1:65" ht="14.1" customHeight="1" x14ac:dyDescent="0.15">
      <c r="A67" s="652" t="str">
        <f t="shared" ref="A67" si="488">IF(AND(D67="",D69&lt;&gt;""),"×","○")</f>
        <v>○</v>
      </c>
      <c r="B67" s="2174" t="str">
        <f t="shared" ref="B67" si="489">IF(AND(AT67="○",BB67="○",BC67="○",A67="○"),"○","×")</f>
        <v>○</v>
      </c>
      <c r="C67" s="2143">
        <v>27</v>
      </c>
      <c r="D67" s="2006"/>
      <c r="E67" s="2004"/>
      <c r="F67" s="2041"/>
      <c r="G67" s="2118"/>
      <c r="H67" s="2106"/>
      <c r="I67" s="2141"/>
      <c r="J67" s="2142"/>
      <c r="K67" s="2104"/>
      <c r="L67" s="2140"/>
      <c r="M67" s="2110"/>
      <c r="N67" s="2111"/>
      <c r="O67" s="2104"/>
      <c r="P67" s="2104"/>
      <c r="Q67" s="2106"/>
      <c r="R67" s="2110"/>
      <c r="S67" s="2111"/>
      <c r="T67" s="2104"/>
      <c r="U67" s="2104"/>
      <c r="V67" s="2106"/>
      <c r="W67" s="2110"/>
      <c r="X67" s="2111"/>
      <c r="Y67" s="2104"/>
      <c r="Z67" s="2104"/>
      <c r="AA67" s="2106"/>
      <c r="AB67" s="2110"/>
      <c r="AC67" s="2111"/>
      <c r="AD67" s="2104"/>
      <c r="AE67" s="2104"/>
      <c r="AF67" s="2106"/>
      <c r="AG67" s="2110"/>
      <c r="AH67" s="2111"/>
      <c r="AI67" s="2104"/>
      <c r="AJ67" s="2104"/>
      <c r="AK67" s="2038"/>
      <c r="AL67" s="2039"/>
      <c r="AM67" s="2039"/>
      <c r="AN67" s="2040"/>
      <c r="AO67" s="2008"/>
      <c r="AP67" s="2009"/>
      <c r="AQ67" s="2009"/>
      <c r="AR67" s="2010"/>
      <c r="AS67" s="651"/>
      <c r="AT67" s="652" t="str">
        <f t="shared" ref="AT67" si="490">IF(OR(AND(D67&lt;&gt;"",OR(AND(E67&lt;&gt;"",F67&lt;&gt;"",OR(G67&lt;&gt;"",H67&lt;&gt;"")),AND(E67="",F67="バス・カメラマン等"))),AND(D67="",E67="",F67="",OR(G67="",H67=""))),"○","×")</f>
        <v>○</v>
      </c>
      <c r="AU67" s="1983" t="str">
        <f t="shared" ref="AU67" si="491">IF(AND(E67&lt;&gt;"",E67&lt;=2),"2歳児以下","")</f>
        <v/>
      </c>
      <c r="AV67" s="1983" t="str">
        <f t="shared" ref="AV67" si="492">IF(OR(AND(3&lt;=E67,E67&lt;=6),COUNTIF(E67, "幼*"),COUNTIF(E67, "年少"),COUNTIF(E67, "年中"),COUNTIF(E67, "年長")),"3歳-学齢前","")</f>
        <v/>
      </c>
      <c r="AW67" s="1983" t="str">
        <f t="shared" ref="AW67" si="493">IF(OR(AND(6&lt;=E67,E67&lt;=12),COUNTIF(E67, "小*")),"小学生","")</f>
        <v/>
      </c>
      <c r="AX67" s="1983" t="str">
        <f t="shared" ref="AX67" si="494">IF(OR(AND(12&lt;=E67,E67&lt;=15),COUNTIF(E67, "中*")),"中学生","")</f>
        <v/>
      </c>
      <c r="AY67" s="1983" t="str">
        <f t="shared" ref="AY67" si="495">IF(OR(AND(15&lt;=E67,E67&lt;=18),COUNTIF(E67, "高*")),"高校生(～18歳)","")</f>
        <v/>
      </c>
      <c r="AZ67" s="1983" t="str">
        <f t="shared" ref="AZ67" si="496">IF(OR(19&lt;=E67,COUNTIF(E67, "大*"),COUNTIF(E67, "*院*"),COUNTIF(E67, "*専*")),"一般(19歳～)","")</f>
        <v/>
      </c>
      <c r="BA67" s="1983" t="s">
        <v>475</v>
      </c>
      <c r="BB67" s="652" t="str">
        <f t="shared" ref="BB67" si="497">IF(OR(AND(D67="",I67="",M67="",R67="",W67="",AB67="",AG67=""),AND(D67&lt;&gt;"",OR(I67&lt;&gt;"",M67&lt;&gt;"",R67&lt;&gt;"",W67&lt;&gt;"",AB67&lt;&gt;"",AG67&lt;&gt;""))),"○","×")</f>
        <v>○</v>
      </c>
      <c r="BC67" s="652" t="str">
        <f t="shared" ref="BC67" si="498">IF(AND(BD67="○",BE67="○",BF67="○",BG67="○",BH67="○",BI67="○"),"○","×")</f>
        <v>○</v>
      </c>
      <c r="BD67" s="653" t="str">
        <f t="shared" ref="BD67" si="499">IF(AND($I$7=" ",OR(I67&lt;&gt;"",K67&lt;&gt;"",L67&lt;&gt;"")),"×","○")</f>
        <v>○</v>
      </c>
      <c r="BE67" s="653" t="str">
        <f t="shared" ref="BE67" si="500">IF(AND($M$7=" ",OR(M67&lt;&gt;"",O67&lt;&gt;"",P67&lt;&gt;"",Q67&lt;&gt;"")),"×","○")</f>
        <v>○</v>
      </c>
      <c r="BF67" s="653" t="str">
        <f t="shared" ref="BF67" si="501">IF(AND($R$7=" ",OR(R67&lt;&gt;"",T67&lt;&gt;"",U67&lt;&gt;"",V67&lt;&gt;"")),"×","○")</f>
        <v>○</v>
      </c>
      <c r="BG67" s="653" t="str">
        <f t="shared" ref="BG67" si="502">IF(AND($W$7=" ",OR(W67&lt;&gt;"",Y67&lt;&gt;"",Z67&lt;&gt;"",AA67&lt;&gt;"")),"×","○")</f>
        <v>○</v>
      </c>
      <c r="BH67" s="653" t="str">
        <f t="shared" ref="BH67" si="503">IF(AND($AB$7=" ",OR(AB67&lt;&gt;"",AD67&lt;&gt;"",AE67&lt;&gt;"",AF67&lt;&gt;"")),"×","○")</f>
        <v>○</v>
      </c>
      <c r="BI67" s="653" t="str">
        <f t="shared" ref="BI67" si="504">IF(AND($AG$7=" ",OR(AG67&lt;&gt;"",AI67&lt;&gt;"",AJ67&lt;&gt;"")),"×","○")</f>
        <v>○</v>
      </c>
      <c r="BJ67" s="2225" t="e">
        <f t="shared" ref="BJ67" si="505">SUMPRODUCT(1/COUNTIF(I67:AH67,"宿泊"))</f>
        <v>#DIV/0!</v>
      </c>
      <c r="BK67" s="2226" t="e">
        <f t="shared" ref="BK67" si="506">SUMPRODUCT(1/COUNTIF(I67:AH67,"日帰り"))</f>
        <v>#DIV/0!</v>
      </c>
      <c r="BL67" s="1381">
        <f t="shared" ref="BL67" si="507">COUNT(BJ67)-COUNT(BK67)</f>
        <v>0</v>
      </c>
      <c r="BM67" s="684"/>
    </row>
    <row r="68" spans="1:65" ht="14.1" customHeight="1" x14ac:dyDescent="0.15">
      <c r="A68" s="652"/>
      <c r="B68" s="2174"/>
      <c r="C68" s="2144"/>
      <c r="D68" s="2007"/>
      <c r="E68" s="2005"/>
      <c r="F68" s="2042"/>
      <c r="G68" s="2119"/>
      <c r="H68" s="2107"/>
      <c r="I68" s="2112"/>
      <c r="J68" s="2113"/>
      <c r="K68" s="2105"/>
      <c r="L68" s="2127"/>
      <c r="M68" s="2112"/>
      <c r="N68" s="2113"/>
      <c r="O68" s="2105"/>
      <c r="P68" s="2105"/>
      <c r="Q68" s="2107"/>
      <c r="R68" s="2112"/>
      <c r="S68" s="2113"/>
      <c r="T68" s="2105"/>
      <c r="U68" s="2105"/>
      <c r="V68" s="2107"/>
      <c r="W68" s="2112"/>
      <c r="X68" s="2113"/>
      <c r="Y68" s="2105"/>
      <c r="Z68" s="2105"/>
      <c r="AA68" s="2107"/>
      <c r="AB68" s="2112"/>
      <c r="AC68" s="2113"/>
      <c r="AD68" s="2105"/>
      <c r="AE68" s="2105"/>
      <c r="AF68" s="2107"/>
      <c r="AG68" s="2112"/>
      <c r="AH68" s="2113"/>
      <c r="AI68" s="2105"/>
      <c r="AJ68" s="2105"/>
      <c r="AK68" s="2011"/>
      <c r="AL68" s="2012"/>
      <c r="AM68" s="2012"/>
      <c r="AN68" s="2013"/>
      <c r="AO68" s="2011"/>
      <c r="AP68" s="2012"/>
      <c r="AQ68" s="2012"/>
      <c r="AR68" s="2013"/>
      <c r="AS68" s="651"/>
      <c r="AT68" s="652"/>
      <c r="AU68" s="1983"/>
      <c r="AV68" s="1983"/>
      <c r="AW68" s="1983"/>
      <c r="AX68" s="1983"/>
      <c r="AY68" s="1983"/>
      <c r="AZ68" s="1983"/>
      <c r="BA68" s="1983"/>
      <c r="BB68" s="654"/>
      <c r="BC68" s="654"/>
      <c r="BD68" s="652"/>
      <c r="BE68" s="652"/>
      <c r="BF68" s="652"/>
      <c r="BG68" s="652"/>
      <c r="BH68" s="652"/>
      <c r="BI68" s="652"/>
      <c r="BJ68" s="2225"/>
      <c r="BK68" s="2226"/>
      <c r="BL68" s="1381"/>
      <c r="BM68" s="684"/>
    </row>
    <row r="69" spans="1:65" ht="14.1" customHeight="1" x14ac:dyDescent="0.15">
      <c r="A69" s="652" t="str">
        <f t="shared" ref="A69" si="508">IF(AND(D69="",D71&lt;&gt;""),"×","○")</f>
        <v>○</v>
      </c>
      <c r="B69" s="2174" t="str">
        <f t="shared" ref="B69" si="509">IF(AND(AT69="○",BB69="○",BC69="○",A69="○"),"○","×")</f>
        <v>○</v>
      </c>
      <c r="C69" s="2143">
        <v>28</v>
      </c>
      <c r="D69" s="2006"/>
      <c r="E69" s="2004"/>
      <c r="F69" s="2041"/>
      <c r="G69" s="2118"/>
      <c r="H69" s="2106"/>
      <c r="I69" s="2141"/>
      <c r="J69" s="2142"/>
      <c r="K69" s="2104"/>
      <c r="L69" s="2140"/>
      <c r="M69" s="2110"/>
      <c r="N69" s="2111"/>
      <c r="O69" s="2104"/>
      <c r="P69" s="2104"/>
      <c r="Q69" s="2106"/>
      <c r="R69" s="2110"/>
      <c r="S69" s="2111"/>
      <c r="T69" s="2104"/>
      <c r="U69" s="2104"/>
      <c r="V69" s="2106"/>
      <c r="W69" s="2110"/>
      <c r="X69" s="2111"/>
      <c r="Y69" s="2104"/>
      <c r="Z69" s="2104"/>
      <c r="AA69" s="2106"/>
      <c r="AB69" s="2110"/>
      <c r="AC69" s="2111"/>
      <c r="AD69" s="2104"/>
      <c r="AE69" s="2104"/>
      <c r="AF69" s="2106"/>
      <c r="AG69" s="2110"/>
      <c r="AH69" s="2111"/>
      <c r="AI69" s="2104"/>
      <c r="AJ69" s="2104"/>
      <c r="AK69" s="2038"/>
      <c r="AL69" s="2039"/>
      <c r="AM69" s="2039"/>
      <c r="AN69" s="2040"/>
      <c r="AO69" s="2008"/>
      <c r="AP69" s="2009"/>
      <c r="AQ69" s="2009"/>
      <c r="AR69" s="2010"/>
      <c r="AS69" s="651"/>
      <c r="AT69" s="652" t="str">
        <f t="shared" ref="AT69" si="510">IF(OR(AND(D69&lt;&gt;"",OR(AND(E69&lt;&gt;"",F69&lt;&gt;"",OR(G69&lt;&gt;"",H69&lt;&gt;"")),AND(E69="",F69="バス・カメラマン等"))),AND(D69="",E69="",F69="",OR(G69="",H69=""))),"○","×")</f>
        <v>○</v>
      </c>
      <c r="AU69" s="1983" t="str">
        <f t="shared" ref="AU69" si="511">IF(AND(E69&lt;&gt;"",E69&lt;=2),"2歳児以下","")</f>
        <v/>
      </c>
      <c r="AV69" s="1983" t="str">
        <f t="shared" ref="AV69" si="512">IF(OR(AND(3&lt;=E69,E69&lt;=6),COUNTIF(E69, "幼*"),COUNTIF(E69, "年少"),COUNTIF(E69, "年中"),COUNTIF(E69, "年長")),"3歳-学齢前","")</f>
        <v/>
      </c>
      <c r="AW69" s="1983" t="str">
        <f t="shared" ref="AW69" si="513">IF(OR(AND(6&lt;=E69,E69&lt;=12),COUNTIF(E69, "小*")),"小学生","")</f>
        <v/>
      </c>
      <c r="AX69" s="1983" t="str">
        <f t="shared" ref="AX69" si="514">IF(OR(AND(12&lt;=E69,E69&lt;=15),COUNTIF(E69, "中*")),"中学生","")</f>
        <v/>
      </c>
      <c r="AY69" s="1983" t="str">
        <f t="shared" ref="AY69" si="515">IF(OR(AND(15&lt;=E69,E69&lt;=18),COUNTIF(E69, "高*")),"高校生(～18歳)","")</f>
        <v/>
      </c>
      <c r="AZ69" s="1983" t="str">
        <f t="shared" ref="AZ69" si="516">IF(OR(19&lt;=E69,COUNTIF(E69, "大*"),COUNTIF(E69, "*院*"),COUNTIF(E69, "*専*")),"一般(19歳～)","")</f>
        <v/>
      </c>
      <c r="BA69" s="1983" t="s">
        <v>475</v>
      </c>
      <c r="BB69" s="652" t="str">
        <f t="shared" ref="BB69" si="517">IF(OR(AND(D69="",I69="",M69="",R69="",W69="",AB69="",AG69=""),AND(D69&lt;&gt;"",OR(I69&lt;&gt;"",M69&lt;&gt;"",R69&lt;&gt;"",W69&lt;&gt;"",AB69&lt;&gt;"",AG69&lt;&gt;""))),"○","×")</f>
        <v>○</v>
      </c>
      <c r="BC69" s="652" t="str">
        <f t="shared" ref="BC69" si="518">IF(AND(BD69="○",BE69="○",BF69="○",BG69="○",BH69="○",BI69="○"),"○","×")</f>
        <v>○</v>
      </c>
      <c r="BD69" s="653" t="str">
        <f t="shared" ref="BD69" si="519">IF(AND($I$7=" ",OR(I69&lt;&gt;"",K69&lt;&gt;"",L69&lt;&gt;"")),"×","○")</f>
        <v>○</v>
      </c>
      <c r="BE69" s="653" t="str">
        <f t="shared" ref="BE69" si="520">IF(AND($M$7=" ",OR(M69&lt;&gt;"",O69&lt;&gt;"",P69&lt;&gt;"",Q69&lt;&gt;"")),"×","○")</f>
        <v>○</v>
      </c>
      <c r="BF69" s="653" t="str">
        <f t="shared" ref="BF69" si="521">IF(AND($R$7=" ",OR(R69&lt;&gt;"",T69&lt;&gt;"",U69&lt;&gt;"",V69&lt;&gt;"")),"×","○")</f>
        <v>○</v>
      </c>
      <c r="BG69" s="653" t="str">
        <f t="shared" ref="BG69" si="522">IF(AND($W$7=" ",OR(W69&lt;&gt;"",Y69&lt;&gt;"",Z69&lt;&gt;"",AA69&lt;&gt;"")),"×","○")</f>
        <v>○</v>
      </c>
      <c r="BH69" s="653" t="str">
        <f t="shared" ref="BH69" si="523">IF(AND($AB$7=" ",OR(AB69&lt;&gt;"",AD69&lt;&gt;"",AE69&lt;&gt;"",AF69&lt;&gt;"")),"×","○")</f>
        <v>○</v>
      </c>
      <c r="BI69" s="653" t="str">
        <f t="shared" ref="BI69" si="524">IF(AND($AG$7=" ",OR(AG69&lt;&gt;"",AI69&lt;&gt;"",AJ69&lt;&gt;"")),"×","○")</f>
        <v>○</v>
      </c>
      <c r="BJ69" s="2225" t="e">
        <f t="shared" ref="BJ69" si="525">SUMPRODUCT(1/COUNTIF(I69:AH69,"宿泊"))</f>
        <v>#DIV/0!</v>
      </c>
      <c r="BK69" s="2226" t="e">
        <f t="shared" ref="BK69" si="526">SUMPRODUCT(1/COUNTIF(I69:AH69,"日帰り"))</f>
        <v>#DIV/0!</v>
      </c>
      <c r="BL69" s="1381">
        <f t="shared" ref="BL69" si="527">COUNT(BJ69)-COUNT(BK69)</f>
        <v>0</v>
      </c>
      <c r="BM69" s="684"/>
    </row>
    <row r="70" spans="1:65" ht="14.1" customHeight="1" x14ac:dyDescent="0.15">
      <c r="A70" s="652"/>
      <c r="B70" s="2174"/>
      <c r="C70" s="2144"/>
      <c r="D70" s="2007"/>
      <c r="E70" s="2005"/>
      <c r="F70" s="2042"/>
      <c r="G70" s="2119"/>
      <c r="H70" s="2107"/>
      <c r="I70" s="2112"/>
      <c r="J70" s="2113"/>
      <c r="K70" s="2105"/>
      <c r="L70" s="2127"/>
      <c r="M70" s="2112"/>
      <c r="N70" s="2113"/>
      <c r="O70" s="2105"/>
      <c r="P70" s="2105"/>
      <c r="Q70" s="2107"/>
      <c r="R70" s="2112"/>
      <c r="S70" s="2113"/>
      <c r="T70" s="2105"/>
      <c r="U70" s="2105"/>
      <c r="V70" s="2107"/>
      <c r="W70" s="2112"/>
      <c r="X70" s="2113"/>
      <c r="Y70" s="2105"/>
      <c r="Z70" s="2105"/>
      <c r="AA70" s="2107"/>
      <c r="AB70" s="2112"/>
      <c r="AC70" s="2113"/>
      <c r="AD70" s="2105"/>
      <c r="AE70" s="2105"/>
      <c r="AF70" s="2107"/>
      <c r="AG70" s="2112"/>
      <c r="AH70" s="2113"/>
      <c r="AI70" s="2105"/>
      <c r="AJ70" s="2105"/>
      <c r="AK70" s="2011"/>
      <c r="AL70" s="2012"/>
      <c r="AM70" s="2012"/>
      <c r="AN70" s="2013"/>
      <c r="AO70" s="2011"/>
      <c r="AP70" s="2012"/>
      <c r="AQ70" s="2012"/>
      <c r="AR70" s="2013"/>
      <c r="AS70" s="651"/>
      <c r="AT70" s="652"/>
      <c r="AU70" s="1983"/>
      <c r="AV70" s="1983"/>
      <c r="AW70" s="1983"/>
      <c r="AX70" s="1983"/>
      <c r="AY70" s="1983"/>
      <c r="AZ70" s="1983"/>
      <c r="BA70" s="1983"/>
      <c r="BB70" s="654"/>
      <c r="BC70" s="654"/>
      <c r="BD70" s="652"/>
      <c r="BE70" s="652"/>
      <c r="BF70" s="652"/>
      <c r="BG70" s="652"/>
      <c r="BH70" s="652"/>
      <c r="BI70" s="652"/>
      <c r="BJ70" s="2225"/>
      <c r="BK70" s="2226"/>
      <c r="BL70" s="1381"/>
      <c r="BM70" s="684"/>
    </row>
    <row r="71" spans="1:65" ht="14.1" customHeight="1" x14ac:dyDescent="0.15">
      <c r="A71" s="652" t="str">
        <f t="shared" ref="A71" si="528">IF(AND(D71="",D73&lt;&gt;""),"×","○")</f>
        <v>○</v>
      </c>
      <c r="B71" s="2174" t="str">
        <f t="shared" ref="B71" si="529">IF(AND(AT71="○",BB71="○",BC71="○",A71="○"),"○","×")</f>
        <v>○</v>
      </c>
      <c r="C71" s="2143">
        <v>29</v>
      </c>
      <c r="D71" s="2006"/>
      <c r="E71" s="2004"/>
      <c r="F71" s="2041"/>
      <c r="G71" s="2118"/>
      <c r="H71" s="2106"/>
      <c r="I71" s="2141"/>
      <c r="J71" s="2142"/>
      <c r="K71" s="2104"/>
      <c r="L71" s="2140"/>
      <c r="M71" s="2110"/>
      <c r="N71" s="2111"/>
      <c r="O71" s="2104"/>
      <c r="P71" s="2104"/>
      <c r="Q71" s="2106"/>
      <c r="R71" s="2110"/>
      <c r="S71" s="2111"/>
      <c r="T71" s="2104"/>
      <c r="U71" s="2104"/>
      <c r="V71" s="2106"/>
      <c r="W71" s="2110"/>
      <c r="X71" s="2111"/>
      <c r="Y71" s="2104"/>
      <c r="Z71" s="2104"/>
      <c r="AA71" s="2106"/>
      <c r="AB71" s="2110"/>
      <c r="AC71" s="2111"/>
      <c r="AD71" s="2104"/>
      <c r="AE71" s="2104"/>
      <c r="AF71" s="2106"/>
      <c r="AG71" s="2110"/>
      <c r="AH71" s="2111"/>
      <c r="AI71" s="2104"/>
      <c r="AJ71" s="2104"/>
      <c r="AK71" s="2038"/>
      <c r="AL71" s="2039"/>
      <c r="AM71" s="2039"/>
      <c r="AN71" s="2040"/>
      <c r="AO71" s="2008"/>
      <c r="AP71" s="2009"/>
      <c r="AQ71" s="2009"/>
      <c r="AR71" s="2010"/>
      <c r="AS71" s="651"/>
      <c r="AT71" s="652" t="str">
        <f t="shared" ref="AT71" si="530">IF(OR(AND(D71&lt;&gt;"",OR(AND(E71&lt;&gt;"",F71&lt;&gt;"",OR(G71&lt;&gt;"",H71&lt;&gt;"")),AND(E71="",F71="バス・カメラマン等"))),AND(D71="",E71="",F71="",OR(G71="",H71=""))),"○","×")</f>
        <v>○</v>
      </c>
      <c r="AU71" s="1983" t="str">
        <f t="shared" ref="AU71" si="531">IF(AND(E71&lt;&gt;"",E71&lt;=2),"2歳児以下","")</f>
        <v/>
      </c>
      <c r="AV71" s="1983" t="str">
        <f t="shared" ref="AV71" si="532">IF(OR(AND(3&lt;=E71,E71&lt;=6),COUNTIF(E71, "幼*"),COUNTIF(E71, "年少"),COUNTIF(E71, "年中"),COUNTIF(E71, "年長")),"3歳-学齢前","")</f>
        <v/>
      </c>
      <c r="AW71" s="1983" t="str">
        <f t="shared" ref="AW71" si="533">IF(OR(AND(6&lt;=E71,E71&lt;=12),COUNTIF(E71, "小*")),"小学生","")</f>
        <v/>
      </c>
      <c r="AX71" s="1983" t="str">
        <f t="shared" ref="AX71" si="534">IF(OR(AND(12&lt;=E71,E71&lt;=15),COUNTIF(E71, "中*")),"中学生","")</f>
        <v/>
      </c>
      <c r="AY71" s="1983" t="str">
        <f t="shared" ref="AY71" si="535">IF(OR(AND(15&lt;=E71,E71&lt;=18),COUNTIF(E71, "高*")),"高校生(～18歳)","")</f>
        <v/>
      </c>
      <c r="AZ71" s="1983" t="str">
        <f t="shared" ref="AZ71" si="536">IF(OR(19&lt;=E71,COUNTIF(E71, "大*"),COUNTIF(E71, "*院*"),COUNTIF(E71, "*専*")),"一般(19歳～)","")</f>
        <v/>
      </c>
      <c r="BA71" s="1983" t="s">
        <v>475</v>
      </c>
      <c r="BB71" s="652" t="str">
        <f t="shared" ref="BB71" si="537">IF(OR(AND(D71="",I71="",M71="",R71="",W71="",AB71="",AG71=""),AND(D71&lt;&gt;"",OR(I71&lt;&gt;"",M71&lt;&gt;"",R71&lt;&gt;"",W71&lt;&gt;"",AB71&lt;&gt;"",AG71&lt;&gt;""))),"○","×")</f>
        <v>○</v>
      </c>
      <c r="BC71" s="652" t="str">
        <f t="shared" ref="BC71" si="538">IF(AND(BD71="○",BE71="○",BF71="○",BG71="○",BH71="○",BI71="○"),"○","×")</f>
        <v>○</v>
      </c>
      <c r="BD71" s="653" t="str">
        <f t="shared" ref="BD71" si="539">IF(AND($I$7=" ",OR(I71&lt;&gt;"",K71&lt;&gt;"",L71&lt;&gt;"")),"×","○")</f>
        <v>○</v>
      </c>
      <c r="BE71" s="653" t="str">
        <f t="shared" ref="BE71" si="540">IF(AND($M$7=" ",OR(M71&lt;&gt;"",O71&lt;&gt;"",P71&lt;&gt;"",Q71&lt;&gt;"")),"×","○")</f>
        <v>○</v>
      </c>
      <c r="BF71" s="653" t="str">
        <f t="shared" ref="BF71" si="541">IF(AND($R$7=" ",OR(R71&lt;&gt;"",T71&lt;&gt;"",U71&lt;&gt;"",V71&lt;&gt;"")),"×","○")</f>
        <v>○</v>
      </c>
      <c r="BG71" s="653" t="str">
        <f t="shared" ref="BG71" si="542">IF(AND($W$7=" ",OR(W71&lt;&gt;"",Y71&lt;&gt;"",Z71&lt;&gt;"",AA71&lt;&gt;"")),"×","○")</f>
        <v>○</v>
      </c>
      <c r="BH71" s="653" t="str">
        <f t="shared" ref="BH71" si="543">IF(AND($AB$7=" ",OR(AB71&lt;&gt;"",AD71&lt;&gt;"",AE71&lt;&gt;"",AF71&lt;&gt;"")),"×","○")</f>
        <v>○</v>
      </c>
      <c r="BI71" s="653" t="str">
        <f t="shared" ref="BI71" si="544">IF(AND($AG$7=" ",OR(AG71&lt;&gt;"",AI71&lt;&gt;"",AJ71&lt;&gt;"")),"×","○")</f>
        <v>○</v>
      </c>
      <c r="BJ71" s="2225" t="e">
        <f t="shared" ref="BJ71" si="545">SUMPRODUCT(1/COUNTIF(I71:AH71,"宿泊"))</f>
        <v>#DIV/0!</v>
      </c>
      <c r="BK71" s="2226" t="e">
        <f t="shared" ref="BK71" si="546">SUMPRODUCT(1/COUNTIF(I71:AH71,"日帰り"))</f>
        <v>#DIV/0!</v>
      </c>
      <c r="BL71" s="1381">
        <f t="shared" ref="BL71" si="547">COUNT(BJ71)-COUNT(BK71)</f>
        <v>0</v>
      </c>
      <c r="BM71" s="684"/>
    </row>
    <row r="72" spans="1:65" ht="14.1" customHeight="1" x14ac:dyDescent="0.15">
      <c r="A72" s="652"/>
      <c r="B72" s="2174"/>
      <c r="C72" s="2144"/>
      <c r="D72" s="2007"/>
      <c r="E72" s="2005"/>
      <c r="F72" s="2042"/>
      <c r="G72" s="2119"/>
      <c r="H72" s="2107"/>
      <c r="I72" s="2112"/>
      <c r="J72" s="2113"/>
      <c r="K72" s="2105"/>
      <c r="L72" s="2127"/>
      <c r="M72" s="2112"/>
      <c r="N72" s="2113"/>
      <c r="O72" s="2105"/>
      <c r="P72" s="2105"/>
      <c r="Q72" s="2107"/>
      <c r="R72" s="2112"/>
      <c r="S72" s="2113"/>
      <c r="T72" s="2105"/>
      <c r="U72" s="2105"/>
      <c r="V72" s="2107"/>
      <c r="W72" s="2112"/>
      <c r="X72" s="2113"/>
      <c r="Y72" s="2105"/>
      <c r="Z72" s="2105"/>
      <c r="AA72" s="2107"/>
      <c r="AB72" s="2112"/>
      <c r="AC72" s="2113"/>
      <c r="AD72" s="2105"/>
      <c r="AE72" s="2105"/>
      <c r="AF72" s="2107"/>
      <c r="AG72" s="2112"/>
      <c r="AH72" s="2113"/>
      <c r="AI72" s="2105"/>
      <c r="AJ72" s="2105"/>
      <c r="AK72" s="2011"/>
      <c r="AL72" s="2012"/>
      <c r="AM72" s="2012"/>
      <c r="AN72" s="2013"/>
      <c r="AO72" s="2011"/>
      <c r="AP72" s="2012"/>
      <c r="AQ72" s="2012"/>
      <c r="AR72" s="2013"/>
      <c r="AS72" s="651"/>
      <c r="AT72" s="652"/>
      <c r="AU72" s="1983"/>
      <c r="AV72" s="1983"/>
      <c r="AW72" s="1983"/>
      <c r="AX72" s="1983"/>
      <c r="AY72" s="1983"/>
      <c r="AZ72" s="1983"/>
      <c r="BA72" s="1983"/>
      <c r="BB72" s="654"/>
      <c r="BC72" s="654"/>
      <c r="BD72" s="652"/>
      <c r="BE72" s="652"/>
      <c r="BF72" s="652"/>
      <c r="BG72" s="652"/>
      <c r="BH72" s="652"/>
      <c r="BI72" s="652"/>
      <c r="BJ72" s="2225"/>
      <c r="BK72" s="2226"/>
      <c r="BL72" s="1381"/>
      <c r="BM72" s="684"/>
    </row>
    <row r="73" spans="1:65" ht="14.1" customHeight="1" x14ac:dyDescent="0.15">
      <c r="A73" s="652" t="str">
        <f t="shared" ref="A73" si="548">IF(AND(D73="",D75&lt;&gt;""),"×","○")</f>
        <v>○</v>
      </c>
      <c r="B73" s="2174" t="str">
        <f t="shared" ref="B73" si="549">IF(AND(AT73="○",BB73="○",BC73="○",A73="○"),"○","×")</f>
        <v>○</v>
      </c>
      <c r="C73" s="2143">
        <v>30</v>
      </c>
      <c r="D73" s="2006"/>
      <c r="E73" s="2004"/>
      <c r="F73" s="2041"/>
      <c r="G73" s="2118"/>
      <c r="H73" s="2106"/>
      <c r="I73" s="2141"/>
      <c r="J73" s="2142"/>
      <c r="K73" s="2104"/>
      <c r="L73" s="2140"/>
      <c r="M73" s="2110"/>
      <c r="N73" s="2111"/>
      <c r="O73" s="2104"/>
      <c r="P73" s="2104"/>
      <c r="Q73" s="2106"/>
      <c r="R73" s="2110"/>
      <c r="S73" s="2111"/>
      <c r="T73" s="2104"/>
      <c r="U73" s="2104"/>
      <c r="V73" s="2106"/>
      <c r="W73" s="2110"/>
      <c r="X73" s="2111"/>
      <c r="Y73" s="2104"/>
      <c r="Z73" s="2104"/>
      <c r="AA73" s="2106"/>
      <c r="AB73" s="2110"/>
      <c r="AC73" s="2111"/>
      <c r="AD73" s="2104"/>
      <c r="AE73" s="2104"/>
      <c r="AF73" s="2106"/>
      <c r="AG73" s="2110"/>
      <c r="AH73" s="2111"/>
      <c r="AI73" s="2104"/>
      <c r="AJ73" s="2104"/>
      <c r="AK73" s="2038"/>
      <c r="AL73" s="2039"/>
      <c r="AM73" s="2039"/>
      <c r="AN73" s="2040"/>
      <c r="AO73" s="2008"/>
      <c r="AP73" s="2009"/>
      <c r="AQ73" s="2009"/>
      <c r="AR73" s="2010"/>
      <c r="AS73" s="651"/>
      <c r="AT73" s="652" t="str">
        <f t="shared" ref="AT73" si="550">IF(OR(AND(D73&lt;&gt;"",OR(AND(E73&lt;&gt;"",F73&lt;&gt;"",OR(G73&lt;&gt;"",H73&lt;&gt;"")),AND(E73="",F73="バス・カメラマン等"))),AND(D73="",E73="",F73="",OR(G73="",H73=""))),"○","×")</f>
        <v>○</v>
      </c>
      <c r="AU73" s="1983" t="str">
        <f t="shared" ref="AU73" si="551">IF(AND(E73&lt;&gt;"",E73&lt;=2),"2歳児以下","")</f>
        <v/>
      </c>
      <c r="AV73" s="1983" t="str">
        <f t="shared" ref="AV73" si="552">IF(OR(AND(3&lt;=E73,E73&lt;=6),COUNTIF(E73, "幼*"),COUNTIF(E73, "年少"),COUNTIF(E73, "年中"),COUNTIF(E73, "年長")),"3歳-学齢前","")</f>
        <v/>
      </c>
      <c r="AW73" s="1983" t="str">
        <f t="shared" ref="AW73" si="553">IF(OR(AND(6&lt;=E73,E73&lt;=12),COUNTIF(E73, "小*")),"小学生","")</f>
        <v/>
      </c>
      <c r="AX73" s="1983" t="str">
        <f t="shared" ref="AX73" si="554">IF(OR(AND(12&lt;=E73,E73&lt;=15),COUNTIF(E73, "中*")),"中学生","")</f>
        <v/>
      </c>
      <c r="AY73" s="1983" t="str">
        <f t="shared" ref="AY73" si="555">IF(OR(AND(15&lt;=E73,E73&lt;=18),COUNTIF(E73, "高*")),"高校生(～18歳)","")</f>
        <v/>
      </c>
      <c r="AZ73" s="1983" t="str">
        <f t="shared" ref="AZ73" si="556">IF(OR(19&lt;=E73,COUNTIF(E73, "大*"),COUNTIF(E73, "*院*"),COUNTIF(E73, "*専*")),"一般(19歳～)","")</f>
        <v/>
      </c>
      <c r="BA73" s="1983" t="s">
        <v>475</v>
      </c>
      <c r="BB73" s="652" t="str">
        <f t="shared" ref="BB73" si="557">IF(OR(AND(D73="",I73="",M73="",R73="",W73="",AB73="",AG73=""),AND(D73&lt;&gt;"",OR(I73&lt;&gt;"",M73&lt;&gt;"",R73&lt;&gt;"",W73&lt;&gt;"",AB73&lt;&gt;"",AG73&lt;&gt;""))),"○","×")</f>
        <v>○</v>
      </c>
      <c r="BC73" s="652" t="str">
        <f t="shared" ref="BC73" si="558">IF(AND(BD73="○",BE73="○",BF73="○",BG73="○",BH73="○",BI73="○"),"○","×")</f>
        <v>○</v>
      </c>
      <c r="BD73" s="653" t="str">
        <f t="shared" ref="BD73" si="559">IF(AND($I$7=" ",OR(I73&lt;&gt;"",K73&lt;&gt;"",L73&lt;&gt;"")),"×","○")</f>
        <v>○</v>
      </c>
      <c r="BE73" s="653" t="str">
        <f t="shared" ref="BE73" si="560">IF(AND($M$7=" ",OR(M73&lt;&gt;"",O73&lt;&gt;"",P73&lt;&gt;"",Q73&lt;&gt;"")),"×","○")</f>
        <v>○</v>
      </c>
      <c r="BF73" s="653" t="str">
        <f t="shared" ref="BF73" si="561">IF(AND($R$7=" ",OR(R73&lt;&gt;"",T73&lt;&gt;"",U73&lt;&gt;"",V73&lt;&gt;"")),"×","○")</f>
        <v>○</v>
      </c>
      <c r="BG73" s="653" t="str">
        <f t="shared" ref="BG73" si="562">IF(AND($W$7=" ",OR(W73&lt;&gt;"",Y73&lt;&gt;"",Z73&lt;&gt;"",AA73&lt;&gt;"")),"×","○")</f>
        <v>○</v>
      </c>
      <c r="BH73" s="653" t="str">
        <f t="shared" ref="BH73" si="563">IF(AND($AB$7=" ",OR(AB73&lt;&gt;"",AD73&lt;&gt;"",AE73&lt;&gt;"",AF73&lt;&gt;"")),"×","○")</f>
        <v>○</v>
      </c>
      <c r="BI73" s="653" t="str">
        <f t="shared" ref="BI73" si="564">IF(AND($AG$7=" ",OR(AG73&lt;&gt;"",AI73&lt;&gt;"",AJ73&lt;&gt;"")),"×","○")</f>
        <v>○</v>
      </c>
      <c r="BJ73" s="2225" t="e">
        <f t="shared" ref="BJ73" si="565">SUMPRODUCT(1/COUNTIF(I73:AH73,"宿泊"))</f>
        <v>#DIV/0!</v>
      </c>
      <c r="BK73" s="2226" t="e">
        <f t="shared" ref="BK73" si="566">SUMPRODUCT(1/COUNTIF(I73:AH73,"日帰り"))</f>
        <v>#DIV/0!</v>
      </c>
      <c r="BL73" s="1381">
        <f t="shared" ref="BL73" si="567">COUNT(BJ73)-COUNT(BK73)</f>
        <v>0</v>
      </c>
      <c r="BM73" s="684"/>
    </row>
    <row r="74" spans="1:65" ht="14.1" customHeight="1" x14ac:dyDescent="0.15">
      <c r="A74" s="652"/>
      <c r="B74" s="2174"/>
      <c r="C74" s="2144"/>
      <c r="D74" s="2007"/>
      <c r="E74" s="2005"/>
      <c r="F74" s="2042"/>
      <c r="G74" s="2119"/>
      <c r="H74" s="2107"/>
      <c r="I74" s="2112"/>
      <c r="J74" s="2113"/>
      <c r="K74" s="2105"/>
      <c r="L74" s="2127"/>
      <c r="M74" s="2112"/>
      <c r="N74" s="2113"/>
      <c r="O74" s="2105"/>
      <c r="P74" s="2105"/>
      <c r="Q74" s="2107"/>
      <c r="R74" s="2112"/>
      <c r="S74" s="2113"/>
      <c r="T74" s="2105"/>
      <c r="U74" s="2105"/>
      <c r="V74" s="2107"/>
      <c r="W74" s="2112"/>
      <c r="X74" s="2113"/>
      <c r="Y74" s="2105"/>
      <c r="Z74" s="2105"/>
      <c r="AA74" s="2107"/>
      <c r="AB74" s="2112"/>
      <c r="AC74" s="2113"/>
      <c r="AD74" s="2105"/>
      <c r="AE74" s="2105"/>
      <c r="AF74" s="2107"/>
      <c r="AG74" s="2112"/>
      <c r="AH74" s="2113"/>
      <c r="AI74" s="2105"/>
      <c r="AJ74" s="2105"/>
      <c r="AK74" s="2011"/>
      <c r="AL74" s="2012"/>
      <c r="AM74" s="2012"/>
      <c r="AN74" s="2013"/>
      <c r="AO74" s="2011"/>
      <c r="AP74" s="2012"/>
      <c r="AQ74" s="2012"/>
      <c r="AR74" s="2013"/>
      <c r="AS74" s="651"/>
      <c r="AT74" s="652"/>
      <c r="AU74" s="1983"/>
      <c r="AV74" s="1983"/>
      <c r="AW74" s="1983"/>
      <c r="AX74" s="1983"/>
      <c r="AY74" s="1983"/>
      <c r="AZ74" s="1983"/>
      <c r="BA74" s="1983"/>
      <c r="BB74" s="654"/>
      <c r="BC74" s="654"/>
      <c r="BD74" s="652"/>
      <c r="BE74" s="652"/>
      <c r="BF74" s="652"/>
      <c r="BG74" s="652"/>
      <c r="BH74" s="652"/>
      <c r="BI74" s="652"/>
      <c r="BJ74" s="2225"/>
      <c r="BK74" s="2226"/>
      <c r="BL74" s="1381"/>
      <c r="BM74" s="684"/>
    </row>
    <row r="75" spans="1:65" ht="14.1" customHeight="1" x14ac:dyDescent="0.15">
      <c r="A75" s="652" t="str">
        <f t="shared" ref="A75" si="568">IF(AND(D75="",D77&lt;&gt;""),"×","○")</f>
        <v>○</v>
      </c>
      <c r="B75" s="2174" t="str">
        <f t="shared" ref="B75" si="569">IF(AND(AT75="○",BB75="○",BC75="○",A75="○"),"○","×")</f>
        <v>○</v>
      </c>
      <c r="C75" s="2116">
        <v>31</v>
      </c>
      <c r="D75" s="2006"/>
      <c r="E75" s="2004"/>
      <c r="F75" s="2041"/>
      <c r="G75" s="2123"/>
      <c r="H75" s="2109"/>
      <c r="I75" s="2141"/>
      <c r="J75" s="2142"/>
      <c r="K75" s="2104"/>
      <c r="L75" s="2140"/>
      <c r="M75" s="2110"/>
      <c r="N75" s="2111"/>
      <c r="O75" s="2108"/>
      <c r="P75" s="2108"/>
      <c r="Q75" s="2109"/>
      <c r="R75" s="2110"/>
      <c r="S75" s="2111"/>
      <c r="T75" s="2108"/>
      <c r="U75" s="2108"/>
      <c r="V75" s="2109"/>
      <c r="W75" s="2110"/>
      <c r="X75" s="2111"/>
      <c r="Y75" s="2108"/>
      <c r="Z75" s="2108"/>
      <c r="AA75" s="2109"/>
      <c r="AB75" s="2110"/>
      <c r="AC75" s="2111"/>
      <c r="AD75" s="2108"/>
      <c r="AE75" s="2108"/>
      <c r="AF75" s="2109"/>
      <c r="AG75" s="2110"/>
      <c r="AH75" s="2111"/>
      <c r="AI75" s="2108"/>
      <c r="AJ75" s="2108"/>
      <c r="AK75" s="2038"/>
      <c r="AL75" s="2039"/>
      <c r="AM75" s="2039"/>
      <c r="AN75" s="2040"/>
      <c r="AO75" s="2008"/>
      <c r="AP75" s="2009"/>
      <c r="AQ75" s="2009"/>
      <c r="AR75" s="2010"/>
      <c r="AS75" s="651"/>
      <c r="AT75" s="652" t="str">
        <f t="shared" ref="AT75" si="570">IF(OR(AND(D75&lt;&gt;"",OR(AND(E75&lt;&gt;"",F75&lt;&gt;"",OR(G75&lt;&gt;"",H75&lt;&gt;"")),AND(E75="",F75="バス・カメラマン等"))),AND(D75="",E75="",F75="",OR(G75="",H75=""))),"○","×")</f>
        <v>○</v>
      </c>
      <c r="AU75" s="1983" t="str">
        <f t="shared" ref="AU75" si="571">IF(AND(E75&lt;&gt;"",E75&lt;=2),"2歳児以下","")</f>
        <v/>
      </c>
      <c r="AV75" s="1983" t="str">
        <f t="shared" ref="AV75" si="572">IF(OR(AND(3&lt;=E75,E75&lt;=6),COUNTIF(E75, "幼*"),COUNTIF(E75, "年少"),COUNTIF(E75, "年中"),COUNTIF(E75, "年長")),"3歳-学齢前","")</f>
        <v/>
      </c>
      <c r="AW75" s="1983" t="str">
        <f t="shared" ref="AW75" si="573">IF(OR(AND(6&lt;=E75,E75&lt;=12),COUNTIF(E75, "小*")),"小学生","")</f>
        <v/>
      </c>
      <c r="AX75" s="1983" t="str">
        <f t="shared" ref="AX75" si="574">IF(OR(AND(12&lt;=E75,E75&lt;=15),COUNTIF(E75, "中*")),"中学生","")</f>
        <v/>
      </c>
      <c r="AY75" s="1983" t="str">
        <f t="shared" ref="AY75" si="575">IF(OR(AND(15&lt;=E75,E75&lt;=18),COUNTIF(E75, "高*")),"高校生(～18歳)","")</f>
        <v/>
      </c>
      <c r="AZ75" s="1983" t="str">
        <f t="shared" ref="AZ75" si="576">IF(OR(19&lt;=E75,COUNTIF(E75, "大*"),COUNTIF(E75, "*院*"),COUNTIF(E75, "*専*")),"一般(19歳～)","")</f>
        <v/>
      </c>
      <c r="BA75" s="1983" t="s">
        <v>475</v>
      </c>
      <c r="BB75" s="652" t="str">
        <f t="shared" ref="BB75" si="577">IF(OR(AND(D75="",I75="",M75="",R75="",W75="",AB75="",AG75=""),AND(D75&lt;&gt;"",OR(I75&lt;&gt;"",M75&lt;&gt;"",R75&lt;&gt;"",W75&lt;&gt;"",AB75&lt;&gt;"",AG75&lt;&gt;""))),"○","×")</f>
        <v>○</v>
      </c>
      <c r="BC75" s="652" t="str">
        <f t="shared" ref="BC75" si="578">IF(AND(BD75="○",BE75="○",BF75="○",BG75="○",BH75="○",BI75="○"),"○","×")</f>
        <v>○</v>
      </c>
      <c r="BD75" s="653" t="str">
        <f t="shared" ref="BD75" si="579">IF(AND($I$7=" ",OR(I75&lt;&gt;"",K75&lt;&gt;"",L75&lt;&gt;"")),"×","○")</f>
        <v>○</v>
      </c>
      <c r="BE75" s="653" t="str">
        <f t="shared" ref="BE75" si="580">IF(AND($M$7=" ",OR(M75&lt;&gt;"",O75&lt;&gt;"",P75&lt;&gt;"",Q75&lt;&gt;"")),"×","○")</f>
        <v>○</v>
      </c>
      <c r="BF75" s="653" t="str">
        <f t="shared" ref="BF75" si="581">IF(AND($R$7=" ",OR(R75&lt;&gt;"",T75&lt;&gt;"",U75&lt;&gt;"",V75&lt;&gt;"")),"×","○")</f>
        <v>○</v>
      </c>
      <c r="BG75" s="653" t="str">
        <f t="shared" ref="BG75" si="582">IF(AND($W$7=" ",OR(W75&lt;&gt;"",Y75&lt;&gt;"",Z75&lt;&gt;"",AA75&lt;&gt;"")),"×","○")</f>
        <v>○</v>
      </c>
      <c r="BH75" s="653" t="str">
        <f t="shared" ref="BH75" si="583">IF(AND($AB$7=" ",OR(AB75&lt;&gt;"",AD75&lt;&gt;"",AE75&lt;&gt;"",AF75&lt;&gt;"")),"×","○")</f>
        <v>○</v>
      </c>
      <c r="BI75" s="653" t="str">
        <f t="shared" ref="BI75" si="584">IF(AND($AG$7=" ",OR(AG75&lt;&gt;"",AI75&lt;&gt;"",AJ75&lt;&gt;"")),"×","○")</f>
        <v>○</v>
      </c>
      <c r="BJ75" s="2225" t="e">
        <f t="shared" ref="BJ75" si="585">SUMPRODUCT(1/COUNTIF(I75:AH75,"宿泊"))</f>
        <v>#DIV/0!</v>
      </c>
      <c r="BK75" s="2226" t="e">
        <f t="shared" ref="BK75" si="586">SUMPRODUCT(1/COUNTIF(I75:AH75,"日帰り"))</f>
        <v>#DIV/0!</v>
      </c>
      <c r="BL75" s="1381">
        <f t="shared" ref="BL75" si="587">COUNT(BJ75)-COUNT(BK75)</f>
        <v>0</v>
      </c>
      <c r="BM75" s="684"/>
    </row>
    <row r="76" spans="1:65" ht="14.1" customHeight="1" x14ac:dyDescent="0.15">
      <c r="A76" s="652"/>
      <c r="B76" s="2174"/>
      <c r="C76" s="2117"/>
      <c r="D76" s="2007"/>
      <c r="E76" s="2005"/>
      <c r="F76" s="2042"/>
      <c r="G76" s="2119"/>
      <c r="H76" s="2107"/>
      <c r="I76" s="2112"/>
      <c r="J76" s="2113"/>
      <c r="K76" s="2105"/>
      <c r="L76" s="2127"/>
      <c r="M76" s="2112"/>
      <c r="N76" s="2113"/>
      <c r="O76" s="2105"/>
      <c r="P76" s="2105"/>
      <c r="Q76" s="2107"/>
      <c r="R76" s="2112"/>
      <c r="S76" s="2113"/>
      <c r="T76" s="2105"/>
      <c r="U76" s="2105"/>
      <c r="V76" s="2107"/>
      <c r="W76" s="2112"/>
      <c r="X76" s="2113"/>
      <c r="Y76" s="2105"/>
      <c r="Z76" s="2105"/>
      <c r="AA76" s="2107"/>
      <c r="AB76" s="2112"/>
      <c r="AC76" s="2113"/>
      <c r="AD76" s="2105"/>
      <c r="AE76" s="2105"/>
      <c r="AF76" s="2107"/>
      <c r="AG76" s="2112"/>
      <c r="AH76" s="2113"/>
      <c r="AI76" s="2105"/>
      <c r="AJ76" s="2105"/>
      <c r="AK76" s="2011"/>
      <c r="AL76" s="2012"/>
      <c r="AM76" s="2012"/>
      <c r="AN76" s="2013"/>
      <c r="AO76" s="2011"/>
      <c r="AP76" s="2012"/>
      <c r="AQ76" s="2012"/>
      <c r="AR76" s="2013"/>
      <c r="AS76" s="651"/>
      <c r="AT76" s="652"/>
      <c r="AU76" s="1983"/>
      <c r="AV76" s="1983"/>
      <c r="AW76" s="1983"/>
      <c r="AX76" s="1983"/>
      <c r="AY76" s="1983"/>
      <c r="AZ76" s="1983"/>
      <c r="BA76" s="1983"/>
      <c r="BB76" s="654"/>
      <c r="BC76" s="654"/>
      <c r="BD76" s="652"/>
      <c r="BE76" s="652"/>
      <c r="BF76" s="652"/>
      <c r="BG76" s="652"/>
      <c r="BH76" s="652"/>
      <c r="BI76" s="652"/>
      <c r="BJ76" s="2225"/>
      <c r="BK76" s="2226"/>
      <c r="BL76" s="1381"/>
      <c r="BM76" s="684"/>
    </row>
    <row r="77" spans="1:65" ht="14.1" customHeight="1" x14ac:dyDescent="0.15">
      <c r="A77" s="652" t="str">
        <f t="shared" ref="A77" si="588">IF(AND(D77="",D79&lt;&gt;""),"×","○")</f>
        <v>○</v>
      </c>
      <c r="B77" s="2174" t="str">
        <f t="shared" ref="B77" si="589">IF(AND(AT77="○",BB77="○",BC77="○",A77="○"),"○","×")</f>
        <v>○</v>
      </c>
      <c r="C77" s="2116">
        <v>32</v>
      </c>
      <c r="D77" s="2006"/>
      <c r="E77" s="2004"/>
      <c r="F77" s="2041"/>
      <c r="G77" s="2123"/>
      <c r="H77" s="2109"/>
      <c r="I77" s="2141"/>
      <c r="J77" s="2142"/>
      <c r="K77" s="2104"/>
      <c r="L77" s="2140"/>
      <c r="M77" s="2110"/>
      <c r="N77" s="2111"/>
      <c r="O77" s="2108"/>
      <c r="P77" s="2108"/>
      <c r="Q77" s="2109"/>
      <c r="R77" s="2110"/>
      <c r="S77" s="2111"/>
      <c r="T77" s="2108"/>
      <c r="U77" s="2108"/>
      <c r="V77" s="2109"/>
      <c r="W77" s="2110"/>
      <c r="X77" s="2111"/>
      <c r="Y77" s="2108"/>
      <c r="Z77" s="2108"/>
      <c r="AA77" s="2109"/>
      <c r="AB77" s="2110"/>
      <c r="AC77" s="2111"/>
      <c r="AD77" s="2108"/>
      <c r="AE77" s="2108"/>
      <c r="AF77" s="2109"/>
      <c r="AG77" s="2110"/>
      <c r="AH77" s="2111"/>
      <c r="AI77" s="2108"/>
      <c r="AJ77" s="2108"/>
      <c r="AK77" s="2038"/>
      <c r="AL77" s="2039"/>
      <c r="AM77" s="2039"/>
      <c r="AN77" s="2040"/>
      <c r="AO77" s="2008"/>
      <c r="AP77" s="2009"/>
      <c r="AQ77" s="2009"/>
      <c r="AR77" s="2010"/>
      <c r="AS77" s="651"/>
      <c r="AT77" s="652" t="str">
        <f t="shared" ref="AT77" si="590">IF(OR(AND(D77&lt;&gt;"",OR(AND(E77&lt;&gt;"",F77&lt;&gt;"",OR(G77&lt;&gt;"",H77&lt;&gt;"")),AND(E77="",F77="バス・カメラマン等"))),AND(D77="",E77="",F77="",OR(G77="",H77=""))),"○","×")</f>
        <v>○</v>
      </c>
      <c r="AU77" s="1983" t="str">
        <f t="shared" ref="AU77" si="591">IF(AND(E77&lt;&gt;"",E77&lt;=2),"2歳児以下","")</f>
        <v/>
      </c>
      <c r="AV77" s="1983" t="str">
        <f t="shared" ref="AV77" si="592">IF(OR(AND(3&lt;=E77,E77&lt;=6),COUNTIF(E77, "幼*"),COUNTIF(E77, "年少"),COUNTIF(E77, "年中"),COUNTIF(E77, "年長")),"3歳-学齢前","")</f>
        <v/>
      </c>
      <c r="AW77" s="1983" t="str">
        <f t="shared" ref="AW77" si="593">IF(OR(AND(6&lt;=E77,E77&lt;=12),COUNTIF(E77, "小*")),"小学生","")</f>
        <v/>
      </c>
      <c r="AX77" s="1983" t="str">
        <f t="shared" ref="AX77" si="594">IF(OR(AND(12&lt;=E77,E77&lt;=15),COUNTIF(E77, "中*")),"中学生","")</f>
        <v/>
      </c>
      <c r="AY77" s="1983" t="str">
        <f t="shared" ref="AY77" si="595">IF(OR(AND(15&lt;=E77,E77&lt;=18),COUNTIF(E77, "高*")),"高校生(～18歳)","")</f>
        <v/>
      </c>
      <c r="AZ77" s="1983" t="str">
        <f t="shared" ref="AZ77" si="596">IF(OR(19&lt;=E77,COUNTIF(E77, "大*"),COUNTIF(E77, "*院*"),COUNTIF(E77, "*専*")),"一般(19歳～)","")</f>
        <v/>
      </c>
      <c r="BA77" s="1983" t="s">
        <v>475</v>
      </c>
      <c r="BB77" s="652" t="str">
        <f t="shared" ref="BB77" si="597">IF(OR(AND(D77="",I77="",M77="",R77="",W77="",AB77="",AG77=""),AND(D77&lt;&gt;"",OR(I77&lt;&gt;"",M77&lt;&gt;"",R77&lt;&gt;"",W77&lt;&gt;"",AB77&lt;&gt;"",AG77&lt;&gt;""))),"○","×")</f>
        <v>○</v>
      </c>
      <c r="BC77" s="652" t="str">
        <f t="shared" ref="BC77" si="598">IF(AND(BD77="○",BE77="○",BF77="○",BG77="○",BH77="○",BI77="○"),"○","×")</f>
        <v>○</v>
      </c>
      <c r="BD77" s="653" t="str">
        <f t="shared" ref="BD77" si="599">IF(AND($I$7=" ",OR(I77&lt;&gt;"",K77&lt;&gt;"",L77&lt;&gt;"")),"×","○")</f>
        <v>○</v>
      </c>
      <c r="BE77" s="653" t="str">
        <f t="shared" ref="BE77" si="600">IF(AND($M$7=" ",OR(M77&lt;&gt;"",O77&lt;&gt;"",P77&lt;&gt;"",Q77&lt;&gt;"")),"×","○")</f>
        <v>○</v>
      </c>
      <c r="BF77" s="653" t="str">
        <f t="shared" ref="BF77" si="601">IF(AND($R$7=" ",OR(R77&lt;&gt;"",T77&lt;&gt;"",U77&lt;&gt;"",V77&lt;&gt;"")),"×","○")</f>
        <v>○</v>
      </c>
      <c r="BG77" s="653" t="str">
        <f t="shared" ref="BG77" si="602">IF(AND($W$7=" ",OR(W77&lt;&gt;"",Y77&lt;&gt;"",Z77&lt;&gt;"",AA77&lt;&gt;"")),"×","○")</f>
        <v>○</v>
      </c>
      <c r="BH77" s="653" t="str">
        <f t="shared" ref="BH77" si="603">IF(AND($AB$7=" ",OR(AB77&lt;&gt;"",AD77&lt;&gt;"",AE77&lt;&gt;"",AF77&lt;&gt;"")),"×","○")</f>
        <v>○</v>
      </c>
      <c r="BI77" s="653" t="str">
        <f t="shared" ref="BI77" si="604">IF(AND($AG$7=" ",OR(AG77&lt;&gt;"",AI77&lt;&gt;"",AJ77&lt;&gt;"")),"×","○")</f>
        <v>○</v>
      </c>
      <c r="BJ77" s="2225" t="e">
        <f t="shared" ref="BJ77" si="605">SUMPRODUCT(1/COUNTIF(I77:AH77,"宿泊"))</f>
        <v>#DIV/0!</v>
      </c>
      <c r="BK77" s="2226" t="e">
        <f t="shared" ref="BK77" si="606">SUMPRODUCT(1/COUNTIF(I77:AH77,"日帰り"))</f>
        <v>#DIV/0!</v>
      </c>
      <c r="BL77" s="1381">
        <f t="shared" ref="BL77" si="607">COUNT(BJ77)-COUNT(BK77)</f>
        <v>0</v>
      </c>
      <c r="BM77" s="684"/>
    </row>
    <row r="78" spans="1:65" ht="14.1" customHeight="1" x14ac:dyDescent="0.15">
      <c r="A78" s="652"/>
      <c r="B78" s="2174"/>
      <c r="C78" s="2117"/>
      <c r="D78" s="2007"/>
      <c r="E78" s="2005"/>
      <c r="F78" s="2042"/>
      <c r="G78" s="2119"/>
      <c r="H78" s="2107"/>
      <c r="I78" s="2112"/>
      <c r="J78" s="2113"/>
      <c r="K78" s="2105"/>
      <c r="L78" s="2127"/>
      <c r="M78" s="2112"/>
      <c r="N78" s="2113"/>
      <c r="O78" s="2105"/>
      <c r="P78" s="2105"/>
      <c r="Q78" s="2107"/>
      <c r="R78" s="2112"/>
      <c r="S78" s="2113"/>
      <c r="T78" s="2105"/>
      <c r="U78" s="2105"/>
      <c r="V78" s="2107"/>
      <c r="W78" s="2112"/>
      <c r="X78" s="2113"/>
      <c r="Y78" s="2105"/>
      <c r="Z78" s="2105"/>
      <c r="AA78" s="2107"/>
      <c r="AB78" s="2112"/>
      <c r="AC78" s="2113"/>
      <c r="AD78" s="2105"/>
      <c r="AE78" s="2105"/>
      <c r="AF78" s="2107"/>
      <c r="AG78" s="2112"/>
      <c r="AH78" s="2113"/>
      <c r="AI78" s="2105"/>
      <c r="AJ78" s="2105"/>
      <c r="AK78" s="2011"/>
      <c r="AL78" s="2012"/>
      <c r="AM78" s="2012"/>
      <c r="AN78" s="2013"/>
      <c r="AO78" s="2011"/>
      <c r="AP78" s="2012"/>
      <c r="AQ78" s="2012"/>
      <c r="AR78" s="2013"/>
      <c r="AS78" s="651"/>
      <c r="AT78" s="652"/>
      <c r="AU78" s="1983"/>
      <c r="AV78" s="1983"/>
      <c r="AW78" s="1983"/>
      <c r="AX78" s="1983"/>
      <c r="AY78" s="1983"/>
      <c r="AZ78" s="1983"/>
      <c r="BA78" s="1983"/>
      <c r="BB78" s="654"/>
      <c r="BC78" s="654"/>
      <c r="BD78" s="652"/>
      <c r="BE78" s="652"/>
      <c r="BF78" s="652"/>
      <c r="BG78" s="652"/>
      <c r="BH78" s="652"/>
      <c r="BI78" s="652"/>
      <c r="BJ78" s="2225"/>
      <c r="BK78" s="2226"/>
      <c r="BL78" s="1381"/>
      <c r="BM78" s="684"/>
    </row>
    <row r="79" spans="1:65" ht="14.1" customHeight="1" x14ac:dyDescent="0.15">
      <c r="A79" s="652" t="str">
        <f t="shared" ref="A79" si="608">IF(AND(D79="",D81&lt;&gt;""),"×","○")</f>
        <v>○</v>
      </c>
      <c r="B79" s="2174" t="str">
        <f t="shared" ref="B79" si="609">IF(AND(AT79="○",BB79="○",BC79="○",A79="○"),"○","×")</f>
        <v>○</v>
      </c>
      <c r="C79" s="2116">
        <v>33</v>
      </c>
      <c r="D79" s="2006"/>
      <c r="E79" s="2004"/>
      <c r="F79" s="2041"/>
      <c r="G79" s="2123"/>
      <c r="H79" s="2109"/>
      <c r="I79" s="2141"/>
      <c r="J79" s="2142"/>
      <c r="K79" s="2104"/>
      <c r="L79" s="2140"/>
      <c r="M79" s="2110"/>
      <c r="N79" s="2111"/>
      <c r="O79" s="2108"/>
      <c r="P79" s="2108"/>
      <c r="Q79" s="2109"/>
      <c r="R79" s="2110"/>
      <c r="S79" s="2111"/>
      <c r="T79" s="2108"/>
      <c r="U79" s="2108"/>
      <c r="V79" s="2109"/>
      <c r="W79" s="2110"/>
      <c r="X79" s="2111"/>
      <c r="Y79" s="2108"/>
      <c r="Z79" s="2108"/>
      <c r="AA79" s="2109"/>
      <c r="AB79" s="2110"/>
      <c r="AC79" s="2111"/>
      <c r="AD79" s="2108"/>
      <c r="AE79" s="2108"/>
      <c r="AF79" s="2109"/>
      <c r="AG79" s="2110"/>
      <c r="AH79" s="2111"/>
      <c r="AI79" s="2108"/>
      <c r="AJ79" s="2108"/>
      <c r="AK79" s="2038"/>
      <c r="AL79" s="2039"/>
      <c r="AM79" s="2039"/>
      <c r="AN79" s="2040"/>
      <c r="AO79" s="2008"/>
      <c r="AP79" s="2009"/>
      <c r="AQ79" s="2009"/>
      <c r="AR79" s="2010"/>
      <c r="AS79" s="651"/>
      <c r="AT79" s="652" t="str">
        <f t="shared" ref="AT79" si="610">IF(OR(AND(D79&lt;&gt;"",OR(AND(E79&lt;&gt;"",F79&lt;&gt;"",OR(G79&lt;&gt;"",H79&lt;&gt;"")),AND(E79="",F79="バス・カメラマン等"))),AND(D79="",E79="",F79="",OR(G79="",H79=""))),"○","×")</f>
        <v>○</v>
      </c>
      <c r="AU79" s="1983" t="str">
        <f t="shared" ref="AU79" si="611">IF(AND(E79&lt;&gt;"",E79&lt;=2),"2歳児以下","")</f>
        <v/>
      </c>
      <c r="AV79" s="1983" t="str">
        <f t="shared" ref="AV79" si="612">IF(OR(AND(3&lt;=E79,E79&lt;=6),COUNTIF(E79, "幼*"),COUNTIF(E79, "年少"),COUNTIF(E79, "年中"),COUNTIF(E79, "年長")),"3歳-学齢前","")</f>
        <v/>
      </c>
      <c r="AW79" s="1983" t="str">
        <f t="shared" ref="AW79" si="613">IF(OR(AND(6&lt;=E79,E79&lt;=12),COUNTIF(E79, "小*")),"小学生","")</f>
        <v/>
      </c>
      <c r="AX79" s="1983" t="str">
        <f t="shared" ref="AX79" si="614">IF(OR(AND(12&lt;=E79,E79&lt;=15),COUNTIF(E79, "中*")),"中学生","")</f>
        <v/>
      </c>
      <c r="AY79" s="1983" t="str">
        <f t="shared" ref="AY79" si="615">IF(OR(AND(15&lt;=E79,E79&lt;=18),COUNTIF(E79, "高*")),"高校生(～18歳)","")</f>
        <v/>
      </c>
      <c r="AZ79" s="1983" t="str">
        <f t="shared" ref="AZ79" si="616">IF(OR(19&lt;=E79,COUNTIF(E79, "大*"),COUNTIF(E79, "*院*"),COUNTIF(E79, "*専*")),"一般(19歳～)","")</f>
        <v/>
      </c>
      <c r="BA79" s="1983" t="s">
        <v>475</v>
      </c>
      <c r="BB79" s="652" t="str">
        <f t="shared" ref="BB79" si="617">IF(OR(AND(D79="",I79="",M79="",R79="",W79="",AB79="",AG79=""),AND(D79&lt;&gt;"",OR(I79&lt;&gt;"",M79&lt;&gt;"",R79&lt;&gt;"",W79&lt;&gt;"",AB79&lt;&gt;"",AG79&lt;&gt;""))),"○","×")</f>
        <v>○</v>
      </c>
      <c r="BC79" s="652" t="str">
        <f t="shared" ref="BC79" si="618">IF(AND(BD79="○",BE79="○",BF79="○",BG79="○",BH79="○",BI79="○"),"○","×")</f>
        <v>○</v>
      </c>
      <c r="BD79" s="653" t="str">
        <f t="shared" ref="BD79" si="619">IF(AND($I$7=" ",OR(I79&lt;&gt;"",K79&lt;&gt;"",L79&lt;&gt;"")),"×","○")</f>
        <v>○</v>
      </c>
      <c r="BE79" s="653" t="str">
        <f t="shared" ref="BE79" si="620">IF(AND($M$7=" ",OR(M79&lt;&gt;"",O79&lt;&gt;"",P79&lt;&gt;"",Q79&lt;&gt;"")),"×","○")</f>
        <v>○</v>
      </c>
      <c r="BF79" s="653" t="str">
        <f t="shared" ref="BF79" si="621">IF(AND($R$7=" ",OR(R79&lt;&gt;"",T79&lt;&gt;"",U79&lt;&gt;"",V79&lt;&gt;"")),"×","○")</f>
        <v>○</v>
      </c>
      <c r="BG79" s="653" t="str">
        <f t="shared" ref="BG79" si="622">IF(AND($W$7=" ",OR(W79&lt;&gt;"",Y79&lt;&gt;"",Z79&lt;&gt;"",AA79&lt;&gt;"")),"×","○")</f>
        <v>○</v>
      </c>
      <c r="BH79" s="653" t="str">
        <f t="shared" ref="BH79" si="623">IF(AND($AB$7=" ",OR(AB79&lt;&gt;"",AD79&lt;&gt;"",AE79&lt;&gt;"",AF79&lt;&gt;"")),"×","○")</f>
        <v>○</v>
      </c>
      <c r="BI79" s="653" t="str">
        <f t="shared" ref="BI79" si="624">IF(AND($AG$7=" ",OR(AG79&lt;&gt;"",AI79&lt;&gt;"",AJ79&lt;&gt;"")),"×","○")</f>
        <v>○</v>
      </c>
      <c r="BJ79" s="2225" t="e">
        <f t="shared" ref="BJ79" si="625">SUMPRODUCT(1/COUNTIF(I79:AH79,"宿泊"))</f>
        <v>#DIV/0!</v>
      </c>
      <c r="BK79" s="2226" t="e">
        <f t="shared" ref="BK79" si="626">SUMPRODUCT(1/COUNTIF(I79:AH79,"日帰り"))</f>
        <v>#DIV/0!</v>
      </c>
      <c r="BL79" s="1381">
        <f t="shared" ref="BL79" si="627">COUNT(BJ79)-COUNT(BK79)</f>
        <v>0</v>
      </c>
      <c r="BM79" s="684"/>
    </row>
    <row r="80" spans="1:65" ht="14.1" customHeight="1" x14ac:dyDescent="0.15">
      <c r="A80" s="652"/>
      <c r="B80" s="2174"/>
      <c r="C80" s="2117"/>
      <c r="D80" s="2007"/>
      <c r="E80" s="2005"/>
      <c r="F80" s="2042"/>
      <c r="G80" s="2119"/>
      <c r="H80" s="2107"/>
      <c r="I80" s="2112"/>
      <c r="J80" s="2113"/>
      <c r="K80" s="2105"/>
      <c r="L80" s="2127"/>
      <c r="M80" s="2112"/>
      <c r="N80" s="2113"/>
      <c r="O80" s="2105"/>
      <c r="P80" s="2105"/>
      <c r="Q80" s="2107"/>
      <c r="R80" s="2112"/>
      <c r="S80" s="2113"/>
      <c r="T80" s="2105"/>
      <c r="U80" s="2105"/>
      <c r="V80" s="2107"/>
      <c r="W80" s="2112"/>
      <c r="X80" s="2113"/>
      <c r="Y80" s="2105"/>
      <c r="Z80" s="2105"/>
      <c r="AA80" s="2107"/>
      <c r="AB80" s="2112"/>
      <c r="AC80" s="2113"/>
      <c r="AD80" s="2105"/>
      <c r="AE80" s="2105"/>
      <c r="AF80" s="2107"/>
      <c r="AG80" s="2112"/>
      <c r="AH80" s="2113"/>
      <c r="AI80" s="2105"/>
      <c r="AJ80" s="2105"/>
      <c r="AK80" s="2011"/>
      <c r="AL80" s="2012"/>
      <c r="AM80" s="2012"/>
      <c r="AN80" s="2013"/>
      <c r="AO80" s="2011"/>
      <c r="AP80" s="2012"/>
      <c r="AQ80" s="2012"/>
      <c r="AR80" s="2013"/>
      <c r="AS80" s="651"/>
      <c r="AT80" s="652"/>
      <c r="AU80" s="1983"/>
      <c r="AV80" s="1983"/>
      <c r="AW80" s="1983"/>
      <c r="AX80" s="1983"/>
      <c r="AY80" s="1983"/>
      <c r="AZ80" s="1983"/>
      <c r="BA80" s="1983"/>
      <c r="BB80" s="654"/>
      <c r="BC80" s="654"/>
      <c r="BD80" s="652"/>
      <c r="BE80" s="652"/>
      <c r="BF80" s="652"/>
      <c r="BG80" s="652"/>
      <c r="BH80" s="652"/>
      <c r="BI80" s="652"/>
      <c r="BJ80" s="2225"/>
      <c r="BK80" s="2226"/>
      <c r="BL80" s="1381"/>
      <c r="BM80" s="684"/>
    </row>
    <row r="81" spans="1:65" ht="14.1" customHeight="1" x14ac:dyDescent="0.15">
      <c r="A81" s="652" t="str">
        <f t="shared" ref="A81" si="628">IF(AND(D81="",D83&lt;&gt;""),"×","○")</f>
        <v>○</v>
      </c>
      <c r="B81" s="2174" t="str">
        <f t="shared" ref="B81" si="629">IF(AND(AT81="○",BB81="○",BC81="○",A81="○"),"○","×")</f>
        <v>○</v>
      </c>
      <c r="C81" s="2116">
        <v>34</v>
      </c>
      <c r="D81" s="2006"/>
      <c r="E81" s="2004"/>
      <c r="F81" s="2041"/>
      <c r="G81" s="2123"/>
      <c r="H81" s="2109"/>
      <c r="I81" s="2141"/>
      <c r="J81" s="2142"/>
      <c r="K81" s="2104"/>
      <c r="L81" s="2140"/>
      <c r="M81" s="2110"/>
      <c r="N81" s="2111"/>
      <c r="O81" s="2108"/>
      <c r="P81" s="2108"/>
      <c r="Q81" s="2109"/>
      <c r="R81" s="2110"/>
      <c r="S81" s="2111"/>
      <c r="T81" s="2108"/>
      <c r="U81" s="2108"/>
      <c r="V81" s="2109"/>
      <c r="W81" s="2110"/>
      <c r="X81" s="2111"/>
      <c r="Y81" s="2108"/>
      <c r="Z81" s="2108"/>
      <c r="AA81" s="2109"/>
      <c r="AB81" s="2110"/>
      <c r="AC81" s="2111"/>
      <c r="AD81" s="2108"/>
      <c r="AE81" s="2108"/>
      <c r="AF81" s="2109"/>
      <c r="AG81" s="2110"/>
      <c r="AH81" s="2111"/>
      <c r="AI81" s="2108"/>
      <c r="AJ81" s="2108"/>
      <c r="AK81" s="2038"/>
      <c r="AL81" s="2039"/>
      <c r="AM81" s="2039"/>
      <c r="AN81" s="2040"/>
      <c r="AO81" s="2008"/>
      <c r="AP81" s="2009"/>
      <c r="AQ81" s="2009"/>
      <c r="AR81" s="2010"/>
      <c r="AS81" s="651"/>
      <c r="AT81" s="652" t="str">
        <f t="shared" ref="AT81" si="630">IF(OR(AND(D81&lt;&gt;"",OR(AND(E81&lt;&gt;"",F81&lt;&gt;"",OR(G81&lt;&gt;"",H81&lt;&gt;"")),AND(E81="",F81="バス・カメラマン等"))),AND(D81="",E81="",F81="",OR(G81="",H81=""))),"○","×")</f>
        <v>○</v>
      </c>
      <c r="AU81" s="1983" t="str">
        <f t="shared" ref="AU81" si="631">IF(AND(E81&lt;&gt;"",E81&lt;=2),"2歳児以下","")</f>
        <v/>
      </c>
      <c r="AV81" s="1983" t="str">
        <f t="shared" ref="AV81" si="632">IF(OR(AND(3&lt;=E81,E81&lt;=6),COUNTIF(E81, "幼*"),COUNTIF(E81, "年少"),COUNTIF(E81, "年中"),COUNTIF(E81, "年長")),"3歳-学齢前","")</f>
        <v/>
      </c>
      <c r="AW81" s="1983" t="str">
        <f t="shared" ref="AW81" si="633">IF(OR(AND(6&lt;=E81,E81&lt;=12),COUNTIF(E81, "小*")),"小学生","")</f>
        <v/>
      </c>
      <c r="AX81" s="1983" t="str">
        <f t="shared" ref="AX81" si="634">IF(OR(AND(12&lt;=E81,E81&lt;=15),COUNTIF(E81, "中*")),"中学生","")</f>
        <v/>
      </c>
      <c r="AY81" s="1983" t="str">
        <f t="shared" ref="AY81" si="635">IF(OR(AND(15&lt;=E81,E81&lt;=18),COUNTIF(E81, "高*")),"高校生(～18歳)","")</f>
        <v/>
      </c>
      <c r="AZ81" s="1983" t="str">
        <f t="shared" ref="AZ81" si="636">IF(OR(19&lt;=E81,COUNTIF(E81, "大*"),COUNTIF(E81, "*院*"),COUNTIF(E81, "*専*")),"一般(19歳～)","")</f>
        <v/>
      </c>
      <c r="BA81" s="1983" t="s">
        <v>475</v>
      </c>
      <c r="BB81" s="652" t="str">
        <f t="shared" ref="BB81" si="637">IF(OR(AND(D81="",I81="",M81="",R81="",W81="",AB81="",AG81=""),AND(D81&lt;&gt;"",OR(I81&lt;&gt;"",M81&lt;&gt;"",R81&lt;&gt;"",W81&lt;&gt;"",AB81&lt;&gt;"",AG81&lt;&gt;""))),"○","×")</f>
        <v>○</v>
      </c>
      <c r="BC81" s="652" t="str">
        <f t="shared" ref="BC81" si="638">IF(AND(BD81="○",BE81="○",BF81="○",BG81="○",BH81="○",BI81="○"),"○","×")</f>
        <v>○</v>
      </c>
      <c r="BD81" s="653" t="str">
        <f t="shared" ref="BD81" si="639">IF(AND($I$7=" ",OR(I81&lt;&gt;"",K81&lt;&gt;"",L81&lt;&gt;"")),"×","○")</f>
        <v>○</v>
      </c>
      <c r="BE81" s="653" t="str">
        <f t="shared" ref="BE81" si="640">IF(AND($M$7=" ",OR(M81&lt;&gt;"",O81&lt;&gt;"",P81&lt;&gt;"",Q81&lt;&gt;"")),"×","○")</f>
        <v>○</v>
      </c>
      <c r="BF81" s="653" t="str">
        <f t="shared" ref="BF81" si="641">IF(AND($R$7=" ",OR(R81&lt;&gt;"",T81&lt;&gt;"",U81&lt;&gt;"",V81&lt;&gt;"")),"×","○")</f>
        <v>○</v>
      </c>
      <c r="BG81" s="653" t="str">
        <f t="shared" ref="BG81" si="642">IF(AND($W$7=" ",OR(W81&lt;&gt;"",Y81&lt;&gt;"",Z81&lt;&gt;"",AA81&lt;&gt;"")),"×","○")</f>
        <v>○</v>
      </c>
      <c r="BH81" s="653" t="str">
        <f t="shared" ref="BH81" si="643">IF(AND($AB$7=" ",OR(AB81&lt;&gt;"",AD81&lt;&gt;"",AE81&lt;&gt;"",AF81&lt;&gt;"")),"×","○")</f>
        <v>○</v>
      </c>
      <c r="BI81" s="653" t="str">
        <f t="shared" ref="BI81" si="644">IF(AND($AG$7=" ",OR(AG81&lt;&gt;"",AI81&lt;&gt;"",AJ81&lt;&gt;"")),"×","○")</f>
        <v>○</v>
      </c>
      <c r="BJ81" s="2225" t="e">
        <f t="shared" ref="BJ81" si="645">SUMPRODUCT(1/COUNTIF(I81:AH81,"宿泊"))</f>
        <v>#DIV/0!</v>
      </c>
      <c r="BK81" s="2226" t="e">
        <f t="shared" ref="BK81" si="646">SUMPRODUCT(1/COUNTIF(I81:AH81,"日帰り"))</f>
        <v>#DIV/0!</v>
      </c>
      <c r="BL81" s="1381">
        <f t="shared" ref="BL81" si="647">COUNT(BJ81)-COUNT(BK81)</f>
        <v>0</v>
      </c>
      <c r="BM81" s="684"/>
    </row>
    <row r="82" spans="1:65" ht="14.1" customHeight="1" x14ac:dyDescent="0.15">
      <c r="A82" s="652"/>
      <c r="B82" s="2174"/>
      <c r="C82" s="2117"/>
      <c r="D82" s="2007"/>
      <c r="E82" s="2005"/>
      <c r="F82" s="2042"/>
      <c r="G82" s="2119"/>
      <c r="H82" s="2107"/>
      <c r="I82" s="2112"/>
      <c r="J82" s="2113"/>
      <c r="K82" s="2105"/>
      <c r="L82" s="2127"/>
      <c r="M82" s="2112"/>
      <c r="N82" s="2113"/>
      <c r="O82" s="2105"/>
      <c r="P82" s="2105"/>
      <c r="Q82" s="2107"/>
      <c r="R82" s="2112"/>
      <c r="S82" s="2113"/>
      <c r="T82" s="2105"/>
      <c r="U82" s="2105"/>
      <c r="V82" s="2107"/>
      <c r="W82" s="2112"/>
      <c r="X82" s="2113"/>
      <c r="Y82" s="2105"/>
      <c r="Z82" s="2105"/>
      <c r="AA82" s="2107"/>
      <c r="AB82" s="2112"/>
      <c r="AC82" s="2113"/>
      <c r="AD82" s="2105"/>
      <c r="AE82" s="2105"/>
      <c r="AF82" s="2107"/>
      <c r="AG82" s="2112"/>
      <c r="AH82" s="2113"/>
      <c r="AI82" s="2105"/>
      <c r="AJ82" s="2105"/>
      <c r="AK82" s="2011"/>
      <c r="AL82" s="2012"/>
      <c r="AM82" s="2012"/>
      <c r="AN82" s="2013"/>
      <c r="AO82" s="2011"/>
      <c r="AP82" s="2012"/>
      <c r="AQ82" s="2012"/>
      <c r="AR82" s="2013"/>
      <c r="AS82" s="651"/>
      <c r="AT82" s="652"/>
      <c r="AU82" s="1983"/>
      <c r="AV82" s="1983"/>
      <c r="AW82" s="1983"/>
      <c r="AX82" s="1983"/>
      <c r="AY82" s="1983"/>
      <c r="AZ82" s="1983"/>
      <c r="BA82" s="1983"/>
      <c r="BB82" s="654"/>
      <c r="BC82" s="654"/>
      <c r="BD82" s="652"/>
      <c r="BE82" s="652"/>
      <c r="BF82" s="652"/>
      <c r="BG82" s="652"/>
      <c r="BH82" s="652"/>
      <c r="BI82" s="652"/>
      <c r="BJ82" s="2225"/>
      <c r="BK82" s="2226"/>
      <c r="BL82" s="1381"/>
      <c r="BM82" s="684"/>
    </row>
    <row r="83" spans="1:65" ht="14.1" customHeight="1" x14ac:dyDescent="0.15">
      <c r="A83" s="652" t="str">
        <f t="shared" ref="A83" si="648">IF(AND(D83="",D85&lt;&gt;""),"×","○")</f>
        <v>○</v>
      </c>
      <c r="B83" s="2174" t="str">
        <f t="shared" ref="B83" si="649">IF(AND(AT83="○",BB83="○",BC83="○",A83="○"),"○","×")</f>
        <v>○</v>
      </c>
      <c r="C83" s="2116">
        <v>35</v>
      </c>
      <c r="D83" s="2006"/>
      <c r="E83" s="2004"/>
      <c r="F83" s="2041"/>
      <c r="G83" s="2123"/>
      <c r="H83" s="2109"/>
      <c r="I83" s="2141"/>
      <c r="J83" s="2142"/>
      <c r="K83" s="2104"/>
      <c r="L83" s="2140"/>
      <c r="M83" s="2110"/>
      <c r="N83" s="2111"/>
      <c r="O83" s="2108"/>
      <c r="P83" s="2108"/>
      <c r="Q83" s="2109"/>
      <c r="R83" s="2110"/>
      <c r="S83" s="2111"/>
      <c r="T83" s="2108"/>
      <c r="U83" s="2108"/>
      <c r="V83" s="2109"/>
      <c r="W83" s="2110"/>
      <c r="X83" s="2111"/>
      <c r="Y83" s="2108"/>
      <c r="Z83" s="2108"/>
      <c r="AA83" s="2109"/>
      <c r="AB83" s="2110"/>
      <c r="AC83" s="2111"/>
      <c r="AD83" s="2108"/>
      <c r="AE83" s="2108"/>
      <c r="AF83" s="2109"/>
      <c r="AG83" s="2110"/>
      <c r="AH83" s="2111"/>
      <c r="AI83" s="2108"/>
      <c r="AJ83" s="2108"/>
      <c r="AK83" s="2038"/>
      <c r="AL83" s="2039"/>
      <c r="AM83" s="2039"/>
      <c r="AN83" s="2040"/>
      <c r="AO83" s="2008"/>
      <c r="AP83" s="2009"/>
      <c r="AQ83" s="2009"/>
      <c r="AR83" s="2010"/>
      <c r="AS83" s="651"/>
      <c r="AT83" s="652" t="str">
        <f t="shared" ref="AT83" si="650">IF(OR(AND(D83&lt;&gt;"",OR(AND(E83&lt;&gt;"",F83&lt;&gt;"",OR(G83&lt;&gt;"",H83&lt;&gt;"")),AND(E83="",F83="バス・カメラマン等"))),AND(D83="",E83="",F83="",OR(G83="",H83=""))),"○","×")</f>
        <v>○</v>
      </c>
      <c r="AU83" s="1983" t="str">
        <f t="shared" ref="AU83" si="651">IF(AND(E83&lt;&gt;"",E83&lt;=2),"2歳児以下","")</f>
        <v/>
      </c>
      <c r="AV83" s="1983" t="str">
        <f t="shared" ref="AV83" si="652">IF(OR(AND(3&lt;=E83,E83&lt;=6),COUNTIF(E83, "幼*"),COUNTIF(E83, "年少"),COUNTIF(E83, "年中"),COUNTIF(E83, "年長")),"3歳-学齢前","")</f>
        <v/>
      </c>
      <c r="AW83" s="1983" t="str">
        <f t="shared" ref="AW83" si="653">IF(OR(AND(6&lt;=E83,E83&lt;=12),COUNTIF(E83, "小*")),"小学生","")</f>
        <v/>
      </c>
      <c r="AX83" s="1983" t="str">
        <f t="shared" ref="AX83" si="654">IF(OR(AND(12&lt;=E83,E83&lt;=15),COUNTIF(E83, "中*")),"中学生","")</f>
        <v/>
      </c>
      <c r="AY83" s="1983" t="str">
        <f t="shared" ref="AY83" si="655">IF(OR(AND(15&lt;=E83,E83&lt;=18),COUNTIF(E83, "高*")),"高校生(～18歳)","")</f>
        <v/>
      </c>
      <c r="AZ83" s="1983" t="str">
        <f t="shared" ref="AZ83" si="656">IF(OR(19&lt;=E83,COUNTIF(E83, "大*"),COUNTIF(E83, "*院*"),COUNTIF(E83, "*専*")),"一般(19歳～)","")</f>
        <v/>
      </c>
      <c r="BA83" s="1983" t="s">
        <v>475</v>
      </c>
      <c r="BB83" s="652" t="str">
        <f t="shared" ref="BB83" si="657">IF(OR(AND(D83="",I83="",M83="",R83="",W83="",AB83="",AG83=""),AND(D83&lt;&gt;"",OR(I83&lt;&gt;"",M83&lt;&gt;"",R83&lt;&gt;"",W83&lt;&gt;"",AB83&lt;&gt;"",AG83&lt;&gt;""))),"○","×")</f>
        <v>○</v>
      </c>
      <c r="BC83" s="652" t="str">
        <f t="shared" ref="BC83" si="658">IF(AND(BD83="○",BE83="○",BF83="○",BG83="○",BH83="○",BI83="○"),"○","×")</f>
        <v>○</v>
      </c>
      <c r="BD83" s="653" t="str">
        <f t="shared" ref="BD83" si="659">IF(AND($I$7=" ",OR(I83&lt;&gt;"",K83&lt;&gt;"",L83&lt;&gt;"")),"×","○")</f>
        <v>○</v>
      </c>
      <c r="BE83" s="653" t="str">
        <f t="shared" ref="BE83" si="660">IF(AND($M$7=" ",OR(M83&lt;&gt;"",O83&lt;&gt;"",P83&lt;&gt;"",Q83&lt;&gt;"")),"×","○")</f>
        <v>○</v>
      </c>
      <c r="BF83" s="653" t="str">
        <f t="shared" ref="BF83" si="661">IF(AND($R$7=" ",OR(R83&lt;&gt;"",T83&lt;&gt;"",U83&lt;&gt;"",V83&lt;&gt;"")),"×","○")</f>
        <v>○</v>
      </c>
      <c r="BG83" s="653" t="str">
        <f t="shared" ref="BG83" si="662">IF(AND($W$7=" ",OR(W83&lt;&gt;"",Y83&lt;&gt;"",Z83&lt;&gt;"",AA83&lt;&gt;"")),"×","○")</f>
        <v>○</v>
      </c>
      <c r="BH83" s="653" t="str">
        <f t="shared" ref="BH83" si="663">IF(AND($AB$7=" ",OR(AB83&lt;&gt;"",AD83&lt;&gt;"",AE83&lt;&gt;"",AF83&lt;&gt;"")),"×","○")</f>
        <v>○</v>
      </c>
      <c r="BI83" s="653" t="str">
        <f t="shared" ref="BI83" si="664">IF(AND($AG$7=" ",OR(AG83&lt;&gt;"",AI83&lt;&gt;"",AJ83&lt;&gt;"")),"×","○")</f>
        <v>○</v>
      </c>
      <c r="BJ83" s="2225" t="e">
        <f t="shared" ref="BJ83" si="665">SUMPRODUCT(1/COUNTIF(I83:AH83,"宿泊"))</f>
        <v>#DIV/0!</v>
      </c>
      <c r="BK83" s="2226" t="e">
        <f t="shared" ref="BK83" si="666">SUMPRODUCT(1/COUNTIF(I83:AH83,"日帰り"))</f>
        <v>#DIV/0!</v>
      </c>
      <c r="BL83" s="1381">
        <f t="shared" ref="BL83" si="667">COUNT(BJ83)-COUNT(BK83)</f>
        <v>0</v>
      </c>
      <c r="BM83" s="684"/>
    </row>
    <row r="84" spans="1:65" ht="14.1" customHeight="1" x14ac:dyDescent="0.15">
      <c r="A84" s="652"/>
      <c r="B84" s="2174"/>
      <c r="C84" s="2117"/>
      <c r="D84" s="2007"/>
      <c r="E84" s="2005"/>
      <c r="F84" s="2042"/>
      <c r="G84" s="2119"/>
      <c r="H84" s="2107"/>
      <c r="I84" s="2112"/>
      <c r="J84" s="2113"/>
      <c r="K84" s="2105"/>
      <c r="L84" s="2127"/>
      <c r="M84" s="2112"/>
      <c r="N84" s="2113"/>
      <c r="O84" s="2105"/>
      <c r="P84" s="2105"/>
      <c r="Q84" s="2107"/>
      <c r="R84" s="2112"/>
      <c r="S84" s="2113"/>
      <c r="T84" s="2105"/>
      <c r="U84" s="2105"/>
      <c r="V84" s="2107"/>
      <c r="W84" s="2112"/>
      <c r="X84" s="2113"/>
      <c r="Y84" s="2105"/>
      <c r="Z84" s="2105"/>
      <c r="AA84" s="2107"/>
      <c r="AB84" s="2112"/>
      <c r="AC84" s="2113"/>
      <c r="AD84" s="2105"/>
      <c r="AE84" s="2105"/>
      <c r="AF84" s="2107"/>
      <c r="AG84" s="2112"/>
      <c r="AH84" s="2113"/>
      <c r="AI84" s="2105"/>
      <c r="AJ84" s="2105"/>
      <c r="AK84" s="2011"/>
      <c r="AL84" s="2012"/>
      <c r="AM84" s="2012"/>
      <c r="AN84" s="2013"/>
      <c r="AO84" s="2011"/>
      <c r="AP84" s="2012"/>
      <c r="AQ84" s="2012"/>
      <c r="AR84" s="2013"/>
      <c r="AS84" s="651"/>
      <c r="AT84" s="652"/>
      <c r="AU84" s="1983"/>
      <c r="AV84" s="1983"/>
      <c r="AW84" s="1983"/>
      <c r="AX84" s="1983"/>
      <c r="AY84" s="1983"/>
      <c r="AZ84" s="1983"/>
      <c r="BA84" s="1983"/>
      <c r="BB84" s="654"/>
      <c r="BC84" s="654"/>
      <c r="BD84" s="652"/>
      <c r="BE84" s="652"/>
      <c r="BF84" s="652"/>
      <c r="BG84" s="652"/>
      <c r="BH84" s="652"/>
      <c r="BI84" s="652"/>
      <c r="BJ84" s="2225"/>
      <c r="BK84" s="2226"/>
      <c r="BL84" s="1381"/>
      <c r="BM84" s="684"/>
    </row>
    <row r="85" spans="1:65" ht="14.1" customHeight="1" x14ac:dyDescent="0.15">
      <c r="A85" s="652" t="str">
        <f t="shared" ref="A85" si="668">IF(AND(D85="",D87&lt;&gt;""),"×","○")</f>
        <v>○</v>
      </c>
      <c r="B85" s="2174" t="str">
        <f t="shared" ref="B85" si="669">IF(AND(AT85="○",BB85="○",BC85="○",A85="○"),"○","×")</f>
        <v>○</v>
      </c>
      <c r="C85" s="2116">
        <v>36</v>
      </c>
      <c r="D85" s="2006"/>
      <c r="E85" s="2004"/>
      <c r="F85" s="2041"/>
      <c r="G85" s="2118"/>
      <c r="H85" s="2106"/>
      <c r="I85" s="2141"/>
      <c r="J85" s="2142"/>
      <c r="K85" s="2104"/>
      <c r="L85" s="2140"/>
      <c r="M85" s="2110"/>
      <c r="N85" s="2111"/>
      <c r="O85" s="2104"/>
      <c r="P85" s="2104"/>
      <c r="Q85" s="2106"/>
      <c r="R85" s="2110"/>
      <c r="S85" s="2111"/>
      <c r="T85" s="2104"/>
      <c r="U85" s="2104"/>
      <c r="V85" s="2106"/>
      <c r="W85" s="2110"/>
      <c r="X85" s="2111"/>
      <c r="Y85" s="2104"/>
      <c r="Z85" s="2104"/>
      <c r="AA85" s="2106"/>
      <c r="AB85" s="2110"/>
      <c r="AC85" s="2111"/>
      <c r="AD85" s="2104"/>
      <c r="AE85" s="2104"/>
      <c r="AF85" s="2106"/>
      <c r="AG85" s="2110"/>
      <c r="AH85" s="2111"/>
      <c r="AI85" s="2104"/>
      <c r="AJ85" s="2104"/>
      <c r="AK85" s="2038"/>
      <c r="AL85" s="2039"/>
      <c r="AM85" s="2039"/>
      <c r="AN85" s="2040"/>
      <c r="AO85" s="2008"/>
      <c r="AP85" s="2009"/>
      <c r="AQ85" s="2009"/>
      <c r="AR85" s="2010"/>
      <c r="AS85" s="651"/>
      <c r="AT85" s="652" t="str">
        <f t="shared" ref="AT85" si="670">IF(OR(AND(D85&lt;&gt;"",OR(AND(E85&lt;&gt;"",F85&lt;&gt;"",OR(G85&lt;&gt;"",H85&lt;&gt;"")),AND(E85="",F85="バス・カメラマン等"))),AND(D85="",E85="",F85="",OR(G85="",H85=""))),"○","×")</f>
        <v>○</v>
      </c>
      <c r="AU85" s="1983" t="str">
        <f t="shared" ref="AU85" si="671">IF(AND(E85&lt;&gt;"",E85&lt;=2),"2歳児以下","")</f>
        <v/>
      </c>
      <c r="AV85" s="1983" t="str">
        <f t="shared" ref="AV85" si="672">IF(OR(AND(3&lt;=E85,E85&lt;=6),COUNTIF(E85, "幼*"),COUNTIF(E85, "年少"),COUNTIF(E85, "年中"),COUNTIF(E85, "年長")),"3歳-学齢前","")</f>
        <v/>
      </c>
      <c r="AW85" s="1983" t="str">
        <f t="shared" ref="AW85" si="673">IF(OR(AND(6&lt;=E85,E85&lt;=12),COUNTIF(E85, "小*")),"小学生","")</f>
        <v/>
      </c>
      <c r="AX85" s="1983" t="str">
        <f t="shared" ref="AX85" si="674">IF(OR(AND(12&lt;=E85,E85&lt;=15),COUNTIF(E85, "中*")),"中学生","")</f>
        <v/>
      </c>
      <c r="AY85" s="1983" t="str">
        <f t="shared" ref="AY85" si="675">IF(OR(AND(15&lt;=E85,E85&lt;=18),COUNTIF(E85, "高*")),"高校生(～18歳)","")</f>
        <v/>
      </c>
      <c r="AZ85" s="1983" t="str">
        <f t="shared" ref="AZ85" si="676">IF(OR(19&lt;=E85,COUNTIF(E85, "大*"),COUNTIF(E85, "*院*"),COUNTIF(E85, "*専*")),"一般(19歳～)","")</f>
        <v/>
      </c>
      <c r="BA85" s="1983" t="s">
        <v>475</v>
      </c>
      <c r="BB85" s="652" t="str">
        <f t="shared" ref="BB85" si="677">IF(OR(AND(D85="",I85="",M85="",R85="",W85="",AB85="",AG85=""),AND(D85&lt;&gt;"",OR(I85&lt;&gt;"",M85&lt;&gt;"",R85&lt;&gt;"",W85&lt;&gt;"",AB85&lt;&gt;"",AG85&lt;&gt;""))),"○","×")</f>
        <v>○</v>
      </c>
      <c r="BC85" s="652" t="str">
        <f t="shared" ref="BC85" si="678">IF(AND(BD85="○",BE85="○",BF85="○",BG85="○",BH85="○",BI85="○"),"○","×")</f>
        <v>○</v>
      </c>
      <c r="BD85" s="653" t="str">
        <f t="shared" ref="BD85" si="679">IF(AND($I$7=" ",OR(I85&lt;&gt;"",K85&lt;&gt;"",L85&lt;&gt;"")),"×","○")</f>
        <v>○</v>
      </c>
      <c r="BE85" s="653" t="str">
        <f t="shared" ref="BE85" si="680">IF(AND($M$7=" ",OR(M85&lt;&gt;"",O85&lt;&gt;"",P85&lt;&gt;"",Q85&lt;&gt;"")),"×","○")</f>
        <v>○</v>
      </c>
      <c r="BF85" s="653" t="str">
        <f t="shared" ref="BF85" si="681">IF(AND($R$7=" ",OR(R85&lt;&gt;"",T85&lt;&gt;"",U85&lt;&gt;"",V85&lt;&gt;"")),"×","○")</f>
        <v>○</v>
      </c>
      <c r="BG85" s="653" t="str">
        <f t="shared" ref="BG85" si="682">IF(AND($W$7=" ",OR(W85&lt;&gt;"",Y85&lt;&gt;"",Z85&lt;&gt;"",AA85&lt;&gt;"")),"×","○")</f>
        <v>○</v>
      </c>
      <c r="BH85" s="653" t="str">
        <f t="shared" ref="BH85" si="683">IF(AND($AB$7=" ",OR(AB85&lt;&gt;"",AD85&lt;&gt;"",AE85&lt;&gt;"",AF85&lt;&gt;"")),"×","○")</f>
        <v>○</v>
      </c>
      <c r="BI85" s="653" t="str">
        <f t="shared" ref="BI85" si="684">IF(AND($AG$7=" ",OR(AG85&lt;&gt;"",AI85&lt;&gt;"",AJ85&lt;&gt;"")),"×","○")</f>
        <v>○</v>
      </c>
      <c r="BJ85" s="2225" t="e">
        <f t="shared" ref="BJ85" si="685">SUMPRODUCT(1/COUNTIF(I85:AH85,"宿泊"))</f>
        <v>#DIV/0!</v>
      </c>
      <c r="BK85" s="2226" t="e">
        <f t="shared" ref="BK85" si="686">SUMPRODUCT(1/COUNTIF(I85:AH85,"日帰り"))</f>
        <v>#DIV/0!</v>
      </c>
      <c r="BL85" s="1381">
        <f t="shared" ref="BL85" si="687">COUNT(BJ85)-COUNT(BK85)</f>
        <v>0</v>
      </c>
      <c r="BM85" s="684"/>
    </row>
    <row r="86" spans="1:65" ht="14.1" customHeight="1" x14ac:dyDescent="0.15">
      <c r="A86" s="652"/>
      <c r="B86" s="2174"/>
      <c r="C86" s="2117"/>
      <c r="D86" s="2007"/>
      <c r="E86" s="2005"/>
      <c r="F86" s="2042"/>
      <c r="G86" s="2119"/>
      <c r="H86" s="2107"/>
      <c r="I86" s="2112"/>
      <c r="J86" s="2113"/>
      <c r="K86" s="2105"/>
      <c r="L86" s="2127"/>
      <c r="M86" s="2112"/>
      <c r="N86" s="2113"/>
      <c r="O86" s="2105"/>
      <c r="P86" s="2105"/>
      <c r="Q86" s="2107"/>
      <c r="R86" s="2112"/>
      <c r="S86" s="2113"/>
      <c r="T86" s="2105"/>
      <c r="U86" s="2105"/>
      <c r="V86" s="2107"/>
      <c r="W86" s="2112"/>
      <c r="X86" s="2113"/>
      <c r="Y86" s="2105"/>
      <c r="Z86" s="2105"/>
      <c r="AA86" s="2107"/>
      <c r="AB86" s="2112"/>
      <c r="AC86" s="2113"/>
      <c r="AD86" s="2105"/>
      <c r="AE86" s="2105"/>
      <c r="AF86" s="2107"/>
      <c r="AG86" s="2112"/>
      <c r="AH86" s="2113"/>
      <c r="AI86" s="2105"/>
      <c r="AJ86" s="2105"/>
      <c r="AK86" s="2011"/>
      <c r="AL86" s="2012"/>
      <c r="AM86" s="2012"/>
      <c r="AN86" s="2013"/>
      <c r="AO86" s="2011"/>
      <c r="AP86" s="2012"/>
      <c r="AQ86" s="2012"/>
      <c r="AR86" s="2013"/>
      <c r="AS86" s="651"/>
      <c r="AT86" s="652"/>
      <c r="AU86" s="1983"/>
      <c r="AV86" s="1983"/>
      <c r="AW86" s="1983"/>
      <c r="AX86" s="1983"/>
      <c r="AY86" s="1983"/>
      <c r="AZ86" s="1983"/>
      <c r="BA86" s="1983"/>
      <c r="BB86" s="654"/>
      <c r="BC86" s="654"/>
      <c r="BD86" s="652"/>
      <c r="BE86" s="652"/>
      <c r="BF86" s="652"/>
      <c r="BG86" s="652"/>
      <c r="BH86" s="652"/>
      <c r="BI86" s="652"/>
      <c r="BJ86" s="2225"/>
      <c r="BK86" s="2226"/>
      <c r="BL86" s="1381"/>
      <c r="BM86" s="684"/>
    </row>
    <row r="87" spans="1:65" ht="14.1" customHeight="1" x14ac:dyDescent="0.15">
      <c r="A87" s="652" t="str">
        <f t="shared" ref="A87" si="688">IF(AND(D87="",D89&lt;&gt;""),"×","○")</f>
        <v>○</v>
      </c>
      <c r="B87" s="2174" t="str">
        <f t="shared" ref="B87" si="689">IF(AND(AT87="○",BB87="○",BC87="○",A87="○"),"○","×")</f>
        <v>○</v>
      </c>
      <c r="C87" s="2116">
        <v>37</v>
      </c>
      <c r="D87" s="2006"/>
      <c r="E87" s="2004"/>
      <c r="F87" s="2041"/>
      <c r="G87" s="2118"/>
      <c r="H87" s="2106"/>
      <c r="I87" s="2141"/>
      <c r="J87" s="2142"/>
      <c r="K87" s="2104"/>
      <c r="L87" s="2140"/>
      <c r="M87" s="2110"/>
      <c r="N87" s="2111"/>
      <c r="O87" s="2104"/>
      <c r="P87" s="2104"/>
      <c r="Q87" s="2106"/>
      <c r="R87" s="2110"/>
      <c r="S87" s="2111"/>
      <c r="T87" s="2104"/>
      <c r="U87" s="2104"/>
      <c r="V87" s="2106"/>
      <c r="W87" s="2110"/>
      <c r="X87" s="2111"/>
      <c r="Y87" s="2104"/>
      <c r="Z87" s="2104"/>
      <c r="AA87" s="2106"/>
      <c r="AB87" s="2110"/>
      <c r="AC87" s="2111"/>
      <c r="AD87" s="2104"/>
      <c r="AE87" s="2104"/>
      <c r="AF87" s="2106"/>
      <c r="AG87" s="2110"/>
      <c r="AH87" s="2111"/>
      <c r="AI87" s="2104"/>
      <c r="AJ87" s="2104"/>
      <c r="AK87" s="2038"/>
      <c r="AL87" s="2039"/>
      <c r="AM87" s="2039"/>
      <c r="AN87" s="2040"/>
      <c r="AO87" s="2008"/>
      <c r="AP87" s="2009"/>
      <c r="AQ87" s="2009"/>
      <c r="AR87" s="2010"/>
      <c r="AS87" s="651"/>
      <c r="AT87" s="652" t="str">
        <f t="shared" ref="AT87" si="690">IF(OR(AND(D87&lt;&gt;"",OR(AND(E87&lt;&gt;"",F87&lt;&gt;"",OR(G87&lt;&gt;"",H87&lt;&gt;"")),AND(E87="",F87="バス・カメラマン等"))),AND(D87="",E87="",F87="",OR(G87="",H87=""))),"○","×")</f>
        <v>○</v>
      </c>
      <c r="AU87" s="1983" t="str">
        <f t="shared" ref="AU87" si="691">IF(AND(E87&lt;&gt;"",E87&lt;=2),"2歳児以下","")</f>
        <v/>
      </c>
      <c r="AV87" s="1983" t="str">
        <f t="shared" ref="AV87" si="692">IF(OR(AND(3&lt;=E87,E87&lt;=6),COUNTIF(E87, "幼*"),COUNTIF(E87, "年少"),COUNTIF(E87, "年中"),COUNTIF(E87, "年長")),"3歳-学齢前","")</f>
        <v/>
      </c>
      <c r="AW87" s="1983" t="str">
        <f t="shared" ref="AW87" si="693">IF(OR(AND(6&lt;=E87,E87&lt;=12),COUNTIF(E87, "小*")),"小学生","")</f>
        <v/>
      </c>
      <c r="AX87" s="1983" t="str">
        <f t="shared" ref="AX87" si="694">IF(OR(AND(12&lt;=E87,E87&lt;=15),COUNTIF(E87, "中*")),"中学生","")</f>
        <v/>
      </c>
      <c r="AY87" s="1983" t="str">
        <f t="shared" ref="AY87" si="695">IF(OR(AND(15&lt;=E87,E87&lt;=18),COUNTIF(E87, "高*")),"高校生(～18歳)","")</f>
        <v/>
      </c>
      <c r="AZ87" s="1983" t="str">
        <f t="shared" ref="AZ87" si="696">IF(OR(19&lt;=E87,COUNTIF(E87, "大*"),COUNTIF(E87, "*院*"),COUNTIF(E87, "*専*")),"一般(19歳～)","")</f>
        <v/>
      </c>
      <c r="BA87" s="1983" t="s">
        <v>475</v>
      </c>
      <c r="BB87" s="652" t="str">
        <f t="shared" ref="BB87" si="697">IF(OR(AND(D87="",I87="",M87="",R87="",W87="",AB87="",AG87=""),AND(D87&lt;&gt;"",OR(I87&lt;&gt;"",M87&lt;&gt;"",R87&lt;&gt;"",W87&lt;&gt;"",AB87&lt;&gt;"",AG87&lt;&gt;""))),"○","×")</f>
        <v>○</v>
      </c>
      <c r="BC87" s="652" t="str">
        <f t="shared" ref="BC87" si="698">IF(AND(BD87="○",BE87="○",BF87="○",BG87="○",BH87="○",BI87="○"),"○","×")</f>
        <v>○</v>
      </c>
      <c r="BD87" s="653" t="str">
        <f t="shared" ref="BD87" si="699">IF(AND($I$7=" ",OR(I87&lt;&gt;"",K87&lt;&gt;"",L87&lt;&gt;"")),"×","○")</f>
        <v>○</v>
      </c>
      <c r="BE87" s="653" t="str">
        <f t="shared" ref="BE87" si="700">IF(AND($M$7=" ",OR(M87&lt;&gt;"",O87&lt;&gt;"",P87&lt;&gt;"",Q87&lt;&gt;"")),"×","○")</f>
        <v>○</v>
      </c>
      <c r="BF87" s="653" t="str">
        <f t="shared" ref="BF87" si="701">IF(AND($R$7=" ",OR(R87&lt;&gt;"",T87&lt;&gt;"",U87&lt;&gt;"",V87&lt;&gt;"")),"×","○")</f>
        <v>○</v>
      </c>
      <c r="BG87" s="653" t="str">
        <f t="shared" ref="BG87" si="702">IF(AND($W$7=" ",OR(W87&lt;&gt;"",Y87&lt;&gt;"",Z87&lt;&gt;"",AA87&lt;&gt;"")),"×","○")</f>
        <v>○</v>
      </c>
      <c r="BH87" s="653" t="str">
        <f t="shared" ref="BH87" si="703">IF(AND($AB$7=" ",OR(AB87&lt;&gt;"",AD87&lt;&gt;"",AE87&lt;&gt;"",AF87&lt;&gt;"")),"×","○")</f>
        <v>○</v>
      </c>
      <c r="BI87" s="653" t="str">
        <f t="shared" ref="BI87" si="704">IF(AND($AG$7=" ",OR(AG87&lt;&gt;"",AI87&lt;&gt;"",AJ87&lt;&gt;"")),"×","○")</f>
        <v>○</v>
      </c>
      <c r="BJ87" s="2225" t="e">
        <f t="shared" ref="BJ87" si="705">SUMPRODUCT(1/COUNTIF(I87:AH87,"宿泊"))</f>
        <v>#DIV/0!</v>
      </c>
      <c r="BK87" s="2226" t="e">
        <f t="shared" ref="BK87" si="706">SUMPRODUCT(1/COUNTIF(I87:AH87,"日帰り"))</f>
        <v>#DIV/0!</v>
      </c>
      <c r="BL87" s="1381">
        <f t="shared" ref="BL87" si="707">COUNT(BJ87)-COUNT(BK87)</f>
        <v>0</v>
      </c>
      <c r="BM87" s="684"/>
    </row>
    <row r="88" spans="1:65" ht="14.1" customHeight="1" x14ac:dyDescent="0.15">
      <c r="A88" s="652"/>
      <c r="B88" s="2174"/>
      <c r="C88" s="2117"/>
      <c r="D88" s="2007"/>
      <c r="E88" s="2005"/>
      <c r="F88" s="2042"/>
      <c r="G88" s="2119"/>
      <c r="H88" s="2107"/>
      <c r="I88" s="2112"/>
      <c r="J88" s="2113"/>
      <c r="K88" s="2105"/>
      <c r="L88" s="2127"/>
      <c r="M88" s="2112"/>
      <c r="N88" s="2113"/>
      <c r="O88" s="2105"/>
      <c r="P88" s="2105"/>
      <c r="Q88" s="2107"/>
      <c r="R88" s="2112"/>
      <c r="S88" s="2113"/>
      <c r="T88" s="2105"/>
      <c r="U88" s="2105"/>
      <c r="V88" s="2107"/>
      <c r="W88" s="2112"/>
      <c r="X88" s="2113"/>
      <c r="Y88" s="2105"/>
      <c r="Z88" s="2105"/>
      <c r="AA88" s="2107"/>
      <c r="AB88" s="2112"/>
      <c r="AC88" s="2113"/>
      <c r="AD88" s="2105"/>
      <c r="AE88" s="2105"/>
      <c r="AF88" s="2107"/>
      <c r="AG88" s="2112"/>
      <c r="AH88" s="2113"/>
      <c r="AI88" s="2105"/>
      <c r="AJ88" s="2105"/>
      <c r="AK88" s="2011"/>
      <c r="AL88" s="2012"/>
      <c r="AM88" s="2012"/>
      <c r="AN88" s="2013"/>
      <c r="AO88" s="2011"/>
      <c r="AP88" s="2012"/>
      <c r="AQ88" s="2012"/>
      <c r="AR88" s="2013"/>
      <c r="AS88" s="651"/>
      <c r="AT88" s="652"/>
      <c r="AU88" s="1983"/>
      <c r="AV88" s="1983"/>
      <c r="AW88" s="1983"/>
      <c r="AX88" s="1983"/>
      <c r="AY88" s="1983"/>
      <c r="AZ88" s="1983"/>
      <c r="BA88" s="1983"/>
      <c r="BB88" s="654"/>
      <c r="BC88" s="654"/>
      <c r="BD88" s="652"/>
      <c r="BE88" s="652"/>
      <c r="BF88" s="652"/>
      <c r="BG88" s="652"/>
      <c r="BH88" s="652"/>
      <c r="BI88" s="652"/>
      <c r="BJ88" s="2225"/>
      <c r="BK88" s="2226"/>
      <c r="BL88" s="1381"/>
      <c r="BM88" s="684"/>
    </row>
    <row r="89" spans="1:65" ht="14.1" customHeight="1" x14ac:dyDescent="0.15">
      <c r="A89" s="652" t="str">
        <f t="shared" ref="A89" si="708">IF(AND(D89="",D91&lt;&gt;""),"×","○")</f>
        <v>○</v>
      </c>
      <c r="B89" s="2174" t="str">
        <f t="shared" ref="B89" si="709">IF(AND(AT89="○",BB89="○",BC89="○",A89="○"),"○","×")</f>
        <v>○</v>
      </c>
      <c r="C89" s="2116">
        <v>38</v>
      </c>
      <c r="D89" s="2006"/>
      <c r="E89" s="2004"/>
      <c r="F89" s="2041"/>
      <c r="G89" s="2118"/>
      <c r="H89" s="2106"/>
      <c r="I89" s="2141"/>
      <c r="J89" s="2142"/>
      <c r="K89" s="2104"/>
      <c r="L89" s="2140"/>
      <c r="M89" s="2110"/>
      <c r="N89" s="2111"/>
      <c r="O89" s="2104"/>
      <c r="P89" s="2104"/>
      <c r="Q89" s="2106"/>
      <c r="R89" s="2110"/>
      <c r="S89" s="2111"/>
      <c r="T89" s="2104"/>
      <c r="U89" s="2104"/>
      <c r="V89" s="2106"/>
      <c r="W89" s="2110"/>
      <c r="X89" s="2111"/>
      <c r="Y89" s="2104"/>
      <c r="Z89" s="2104"/>
      <c r="AA89" s="2106"/>
      <c r="AB89" s="2110"/>
      <c r="AC89" s="2111"/>
      <c r="AD89" s="2104"/>
      <c r="AE89" s="2104"/>
      <c r="AF89" s="2106"/>
      <c r="AG89" s="2110"/>
      <c r="AH89" s="2111"/>
      <c r="AI89" s="2104"/>
      <c r="AJ89" s="2104"/>
      <c r="AK89" s="2038"/>
      <c r="AL89" s="2039"/>
      <c r="AM89" s="2039"/>
      <c r="AN89" s="2040"/>
      <c r="AO89" s="2008"/>
      <c r="AP89" s="2009"/>
      <c r="AQ89" s="2009"/>
      <c r="AR89" s="2010"/>
      <c r="AS89" s="651"/>
      <c r="AT89" s="652" t="str">
        <f t="shared" ref="AT89" si="710">IF(OR(AND(D89&lt;&gt;"",OR(AND(E89&lt;&gt;"",F89&lt;&gt;"",OR(G89&lt;&gt;"",H89&lt;&gt;"")),AND(E89="",F89="バス・カメラマン等"))),AND(D89="",E89="",F89="",OR(G89="",H89=""))),"○","×")</f>
        <v>○</v>
      </c>
      <c r="AU89" s="1983" t="str">
        <f t="shared" ref="AU89" si="711">IF(AND(E89&lt;&gt;"",E89&lt;=2),"2歳児以下","")</f>
        <v/>
      </c>
      <c r="AV89" s="1983" t="str">
        <f t="shared" ref="AV89" si="712">IF(OR(AND(3&lt;=E89,E89&lt;=6),COUNTIF(E89, "幼*"),COUNTIF(E89, "年少"),COUNTIF(E89, "年中"),COUNTIF(E89, "年長")),"3歳-学齢前","")</f>
        <v/>
      </c>
      <c r="AW89" s="1983" t="str">
        <f t="shared" ref="AW89" si="713">IF(OR(AND(6&lt;=E89,E89&lt;=12),COUNTIF(E89, "小*")),"小学生","")</f>
        <v/>
      </c>
      <c r="AX89" s="1983" t="str">
        <f t="shared" ref="AX89" si="714">IF(OR(AND(12&lt;=E89,E89&lt;=15),COUNTIF(E89, "中*")),"中学生","")</f>
        <v/>
      </c>
      <c r="AY89" s="1983" t="str">
        <f t="shared" ref="AY89" si="715">IF(OR(AND(15&lt;=E89,E89&lt;=18),COUNTIF(E89, "高*")),"高校生(～18歳)","")</f>
        <v/>
      </c>
      <c r="AZ89" s="1983" t="str">
        <f t="shared" ref="AZ89" si="716">IF(OR(19&lt;=E89,COUNTIF(E89, "大*"),COUNTIF(E89, "*院*"),COUNTIF(E89, "*専*")),"一般(19歳～)","")</f>
        <v/>
      </c>
      <c r="BA89" s="1983" t="s">
        <v>475</v>
      </c>
      <c r="BB89" s="652" t="str">
        <f t="shared" ref="BB89" si="717">IF(OR(AND(D89="",I89="",M89="",R89="",W89="",AB89="",AG89=""),AND(D89&lt;&gt;"",OR(I89&lt;&gt;"",M89&lt;&gt;"",R89&lt;&gt;"",W89&lt;&gt;"",AB89&lt;&gt;"",AG89&lt;&gt;""))),"○","×")</f>
        <v>○</v>
      </c>
      <c r="BC89" s="652" t="str">
        <f t="shared" ref="BC89" si="718">IF(AND(BD89="○",BE89="○",BF89="○",BG89="○",BH89="○",BI89="○"),"○","×")</f>
        <v>○</v>
      </c>
      <c r="BD89" s="653" t="str">
        <f t="shared" ref="BD89" si="719">IF(AND($I$7=" ",OR(I89&lt;&gt;"",K89&lt;&gt;"",L89&lt;&gt;"")),"×","○")</f>
        <v>○</v>
      </c>
      <c r="BE89" s="653" t="str">
        <f t="shared" ref="BE89" si="720">IF(AND($M$7=" ",OR(M89&lt;&gt;"",O89&lt;&gt;"",P89&lt;&gt;"",Q89&lt;&gt;"")),"×","○")</f>
        <v>○</v>
      </c>
      <c r="BF89" s="653" t="str">
        <f t="shared" ref="BF89" si="721">IF(AND($R$7=" ",OR(R89&lt;&gt;"",T89&lt;&gt;"",U89&lt;&gt;"",V89&lt;&gt;"")),"×","○")</f>
        <v>○</v>
      </c>
      <c r="BG89" s="653" t="str">
        <f t="shared" ref="BG89" si="722">IF(AND($W$7=" ",OR(W89&lt;&gt;"",Y89&lt;&gt;"",Z89&lt;&gt;"",AA89&lt;&gt;"")),"×","○")</f>
        <v>○</v>
      </c>
      <c r="BH89" s="653" t="str">
        <f t="shared" ref="BH89" si="723">IF(AND($AB$7=" ",OR(AB89&lt;&gt;"",AD89&lt;&gt;"",AE89&lt;&gt;"",AF89&lt;&gt;"")),"×","○")</f>
        <v>○</v>
      </c>
      <c r="BI89" s="653" t="str">
        <f t="shared" ref="BI89" si="724">IF(AND($AG$7=" ",OR(AG89&lt;&gt;"",AI89&lt;&gt;"",AJ89&lt;&gt;"")),"×","○")</f>
        <v>○</v>
      </c>
      <c r="BJ89" s="2225" t="e">
        <f t="shared" ref="BJ89" si="725">SUMPRODUCT(1/COUNTIF(I89:AH89,"宿泊"))</f>
        <v>#DIV/0!</v>
      </c>
      <c r="BK89" s="2226" t="e">
        <f t="shared" ref="BK89" si="726">SUMPRODUCT(1/COUNTIF(I89:AH89,"日帰り"))</f>
        <v>#DIV/0!</v>
      </c>
      <c r="BL89" s="1381">
        <f t="shared" ref="BL89" si="727">COUNT(BJ89)-COUNT(BK89)</f>
        <v>0</v>
      </c>
      <c r="BM89" s="684"/>
    </row>
    <row r="90" spans="1:65" ht="14.1" customHeight="1" x14ac:dyDescent="0.15">
      <c r="A90" s="652"/>
      <c r="B90" s="2174"/>
      <c r="C90" s="2117"/>
      <c r="D90" s="2007"/>
      <c r="E90" s="2005"/>
      <c r="F90" s="2042"/>
      <c r="G90" s="2119"/>
      <c r="H90" s="2107"/>
      <c r="I90" s="2112"/>
      <c r="J90" s="2113"/>
      <c r="K90" s="2105"/>
      <c r="L90" s="2127"/>
      <c r="M90" s="2112"/>
      <c r="N90" s="2113"/>
      <c r="O90" s="2105"/>
      <c r="P90" s="2105"/>
      <c r="Q90" s="2107"/>
      <c r="R90" s="2112"/>
      <c r="S90" s="2113"/>
      <c r="T90" s="2105"/>
      <c r="U90" s="2105"/>
      <c r="V90" s="2107"/>
      <c r="W90" s="2112"/>
      <c r="X90" s="2113"/>
      <c r="Y90" s="2105"/>
      <c r="Z90" s="2105"/>
      <c r="AA90" s="2107"/>
      <c r="AB90" s="2112"/>
      <c r="AC90" s="2113"/>
      <c r="AD90" s="2105"/>
      <c r="AE90" s="2105"/>
      <c r="AF90" s="2107"/>
      <c r="AG90" s="2112"/>
      <c r="AH90" s="2113"/>
      <c r="AI90" s="2105"/>
      <c r="AJ90" s="2105"/>
      <c r="AK90" s="2011"/>
      <c r="AL90" s="2012"/>
      <c r="AM90" s="2012"/>
      <c r="AN90" s="2013"/>
      <c r="AO90" s="2011"/>
      <c r="AP90" s="2012"/>
      <c r="AQ90" s="2012"/>
      <c r="AR90" s="2013"/>
      <c r="AS90" s="651"/>
      <c r="AT90" s="652"/>
      <c r="AU90" s="1983"/>
      <c r="AV90" s="1983"/>
      <c r="AW90" s="1983"/>
      <c r="AX90" s="1983"/>
      <c r="AY90" s="1983"/>
      <c r="AZ90" s="1983"/>
      <c r="BA90" s="1983"/>
      <c r="BB90" s="654"/>
      <c r="BC90" s="654"/>
      <c r="BD90" s="652"/>
      <c r="BE90" s="652"/>
      <c r="BF90" s="652"/>
      <c r="BG90" s="652"/>
      <c r="BH90" s="652"/>
      <c r="BI90" s="652"/>
      <c r="BJ90" s="2225"/>
      <c r="BK90" s="2226"/>
      <c r="BL90" s="1381"/>
      <c r="BM90" s="684"/>
    </row>
    <row r="91" spans="1:65" ht="14.1" customHeight="1" x14ac:dyDescent="0.15">
      <c r="A91" s="652" t="str">
        <f t="shared" ref="A91" si="728">IF(AND(D91="",D93&lt;&gt;""),"×","○")</f>
        <v>○</v>
      </c>
      <c r="B91" s="2174" t="str">
        <f t="shared" ref="B91" si="729">IF(AND(AT91="○",BB91="○",BC91="○",A91="○"),"○","×")</f>
        <v>○</v>
      </c>
      <c r="C91" s="2116">
        <v>39</v>
      </c>
      <c r="D91" s="2006"/>
      <c r="E91" s="2004"/>
      <c r="F91" s="2041"/>
      <c r="G91" s="2118"/>
      <c r="H91" s="2106"/>
      <c r="I91" s="2141"/>
      <c r="J91" s="2142"/>
      <c r="K91" s="2104"/>
      <c r="L91" s="2140"/>
      <c r="M91" s="2110"/>
      <c r="N91" s="2111"/>
      <c r="O91" s="2104"/>
      <c r="P91" s="2104"/>
      <c r="Q91" s="2106"/>
      <c r="R91" s="2110"/>
      <c r="S91" s="2111"/>
      <c r="T91" s="2104"/>
      <c r="U91" s="2104"/>
      <c r="V91" s="2106"/>
      <c r="W91" s="2110"/>
      <c r="X91" s="2111"/>
      <c r="Y91" s="2104"/>
      <c r="Z91" s="2104"/>
      <c r="AA91" s="2106"/>
      <c r="AB91" s="2110"/>
      <c r="AC91" s="2111"/>
      <c r="AD91" s="2104"/>
      <c r="AE91" s="2104"/>
      <c r="AF91" s="2106"/>
      <c r="AG91" s="2110"/>
      <c r="AH91" s="2111"/>
      <c r="AI91" s="2104"/>
      <c r="AJ91" s="2104"/>
      <c r="AK91" s="2038"/>
      <c r="AL91" s="2039"/>
      <c r="AM91" s="2039"/>
      <c r="AN91" s="2040"/>
      <c r="AO91" s="2008"/>
      <c r="AP91" s="2009"/>
      <c r="AQ91" s="2009"/>
      <c r="AR91" s="2010"/>
      <c r="AS91" s="651"/>
      <c r="AT91" s="652" t="str">
        <f t="shared" ref="AT91" si="730">IF(OR(AND(D91&lt;&gt;"",OR(AND(E91&lt;&gt;"",F91&lt;&gt;"",OR(G91&lt;&gt;"",H91&lt;&gt;"")),AND(E91="",F91="バス・カメラマン等"))),AND(D91="",E91="",F91="",OR(G91="",H91=""))),"○","×")</f>
        <v>○</v>
      </c>
      <c r="AU91" s="1983" t="str">
        <f t="shared" ref="AU91" si="731">IF(AND(E91&lt;&gt;"",E91&lt;=2),"2歳児以下","")</f>
        <v/>
      </c>
      <c r="AV91" s="1983" t="str">
        <f t="shared" ref="AV91" si="732">IF(OR(AND(3&lt;=E91,E91&lt;=6),COUNTIF(E91, "幼*"),COUNTIF(E91, "年少"),COUNTIF(E91, "年中"),COUNTIF(E91, "年長")),"3歳-学齢前","")</f>
        <v/>
      </c>
      <c r="AW91" s="1983" t="str">
        <f t="shared" ref="AW91" si="733">IF(OR(AND(6&lt;=E91,E91&lt;=12),COUNTIF(E91, "小*")),"小学生","")</f>
        <v/>
      </c>
      <c r="AX91" s="1983" t="str">
        <f t="shared" ref="AX91" si="734">IF(OR(AND(12&lt;=E91,E91&lt;=15),COUNTIF(E91, "中*")),"中学生","")</f>
        <v/>
      </c>
      <c r="AY91" s="1983" t="str">
        <f t="shared" ref="AY91" si="735">IF(OR(AND(15&lt;=E91,E91&lt;=18),COUNTIF(E91, "高*")),"高校生(～18歳)","")</f>
        <v/>
      </c>
      <c r="AZ91" s="1983" t="str">
        <f t="shared" ref="AZ91" si="736">IF(OR(19&lt;=E91,COUNTIF(E91, "大*"),COUNTIF(E91, "*院*"),COUNTIF(E91, "*専*")),"一般(19歳～)","")</f>
        <v/>
      </c>
      <c r="BA91" s="1983" t="s">
        <v>475</v>
      </c>
      <c r="BB91" s="652" t="str">
        <f t="shared" ref="BB91" si="737">IF(OR(AND(D91="",I91="",M91="",R91="",W91="",AB91="",AG91=""),AND(D91&lt;&gt;"",OR(I91&lt;&gt;"",M91&lt;&gt;"",R91&lt;&gt;"",W91&lt;&gt;"",AB91&lt;&gt;"",AG91&lt;&gt;""))),"○","×")</f>
        <v>○</v>
      </c>
      <c r="BC91" s="652" t="str">
        <f t="shared" ref="BC91" si="738">IF(AND(BD91="○",BE91="○",BF91="○",BG91="○",BH91="○",BI91="○"),"○","×")</f>
        <v>○</v>
      </c>
      <c r="BD91" s="653" t="str">
        <f t="shared" ref="BD91" si="739">IF(AND($I$7=" ",OR(I91&lt;&gt;"",K91&lt;&gt;"",L91&lt;&gt;"")),"×","○")</f>
        <v>○</v>
      </c>
      <c r="BE91" s="653" t="str">
        <f t="shared" ref="BE91" si="740">IF(AND($M$7=" ",OR(M91&lt;&gt;"",O91&lt;&gt;"",P91&lt;&gt;"",Q91&lt;&gt;"")),"×","○")</f>
        <v>○</v>
      </c>
      <c r="BF91" s="653" t="str">
        <f t="shared" ref="BF91" si="741">IF(AND($R$7=" ",OR(R91&lt;&gt;"",T91&lt;&gt;"",U91&lt;&gt;"",V91&lt;&gt;"")),"×","○")</f>
        <v>○</v>
      </c>
      <c r="BG91" s="653" t="str">
        <f t="shared" ref="BG91" si="742">IF(AND($W$7=" ",OR(W91&lt;&gt;"",Y91&lt;&gt;"",Z91&lt;&gt;"",AA91&lt;&gt;"")),"×","○")</f>
        <v>○</v>
      </c>
      <c r="BH91" s="653" t="str">
        <f t="shared" ref="BH91" si="743">IF(AND($AB$7=" ",OR(AB91&lt;&gt;"",AD91&lt;&gt;"",AE91&lt;&gt;"",AF91&lt;&gt;"")),"×","○")</f>
        <v>○</v>
      </c>
      <c r="BI91" s="653" t="str">
        <f t="shared" ref="BI91" si="744">IF(AND($AG$7=" ",OR(AG91&lt;&gt;"",AI91&lt;&gt;"",AJ91&lt;&gt;"")),"×","○")</f>
        <v>○</v>
      </c>
      <c r="BJ91" s="2225" t="e">
        <f t="shared" ref="BJ91" si="745">SUMPRODUCT(1/COUNTIF(I91:AH91,"宿泊"))</f>
        <v>#DIV/0!</v>
      </c>
      <c r="BK91" s="2226" t="e">
        <f t="shared" ref="BK91" si="746">SUMPRODUCT(1/COUNTIF(I91:AH91,"日帰り"))</f>
        <v>#DIV/0!</v>
      </c>
      <c r="BL91" s="1381">
        <f t="shared" ref="BL91" si="747">COUNT(BJ91)-COUNT(BK91)</f>
        <v>0</v>
      </c>
      <c r="BM91" s="684"/>
    </row>
    <row r="92" spans="1:65" ht="14.1" customHeight="1" x14ac:dyDescent="0.15">
      <c r="A92" s="652"/>
      <c r="B92" s="2174"/>
      <c r="C92" s="2117"/>
      <c r="D92" s="2007"/>
      <c r="E92" s="2005"/>
      <c r="F92" s="2042"/>
      <c r="G92" s="2119"/>
      <c r="H92" s="2107"/>
      <c r="I92" s="2112"/>
      <c r="J92" s="2113"/>
      <c r="K92" s="2105"/>
      <c r="L92" s="2127"/>
      <c r="M92" s="2112"/>
      <c r="N92" s="2113"/>
      <c r="O92" s="2105"/>
      <c r="P92" s="2105"/>
      <c r="Q92" s="2107"/>
      <c r="R92" s="2112"/>
      <c r="S92" s="2113"/>
      <c r="T92" s="2105"/>
      <c r="U92" s="2105"/>
      <c r="V92" s="2107"/>
      <c r="W92" s="2112"/>
      <c r="X92" s="2113"/>
      <c r="Y92" s="2105"/>
      <c r="Z92" s="2105"/>
      <c r="AA92" s="2107"/>
      <c r="AB92" s="2112"/>
      <c r="AC92" s="2113"/>
      <c r="AD92" s="2105"/>
      <c r="AE92" s="2105"/>
      <c r="AF92" s="2107"/>
      <c r="AG92" s="2112"/>
      <c r="AH92" s="2113"/>
      <c r="AI92" s="2105"/>
      <c r="AJ92" s="2105"/>
      <c r="AK92" s="2011"/>
      <c r="AL92" s="2012"/>
      <c r="AM92" s="2012"/>
      <c r="AN92" s="2013"/>
      <c r="AO92" s="2011"/>
      <c r="AP92" s="2012"/>
      <c r="AQ92" s="2012"/>
      <c r="AR92" s="2013"/>
      <c r="AS92" s="651"/>
      <c r="AT92" s="652"/>
      <c r="AU92" s="1983"/>
      <c r="AV92" s="1983"/>
      <c r="AW92" s="1983"/>
      <c r="AX92" s="1983"/>
      <c r="AY92" s="1983"/>
      <c r="AZ92" s="1983"/>
      <c r="BA92" s="1983"/>
      <c r="BB92" s="654"/>
      <c r="BC92" s="654"/>
      <c r="BD92" s="652"/>
      <c r="BE92" s="652"/>
      <c r="BF92" s="652"/>
      <c r="BG92" s="652"/>
      <c r="BH92" s="652"/>
      <c r="BI92" s="652"/>
      <c r="BJ92" s="2225"/>
      <c r="BK92" s="2226"/>
      <c r="BL92" s="1381"/>
      <c r="BM92" s="684"/>
    </row>
    <row r="93" spans="1:65" ht="14.1" customHeight="1" x14ac:dyDescent="0.15">
      <c r="A93" s="652" t="str">
        <f t="shared" ref="A93" si="748">IF(AND(D93="",D95&lt;&gt;""),"×","○")</f>
        <v>○</v>
      </c>
      <c r="B93" s="2174" t="str">
        <f t="shared" ref="B93" si="749">IF(AND(AT93="○",BB93="○",BC93="○",A93="○"),"○","×")</f>
        <v>○</v>
      </c>
      <c r="C93" s="2116">
        <v>40</v>
      </c>
      <c r="D93" s="2006"/>
      <c r="E93" s="2004"/>
      <c r="F93" s="2041"/>
      <c r="G93" s="2118"/>
      <c r="H93" s="2106"/>
      <c r="I93" s="2141"/>
      <c r="J93" s="2142"/>
      <c r="K93" s="2104"/>
      <c r="L93" s="2140"/>
      <c r="M93" s="2110"/>
      <c r="N93" s="2111"/>
      <c r="O93" s="2104"/>
      <c r="P93" s="2104"/>
      <c r="Q93" s="2106"/>
      <c r="R93" s="2110"/>
      <c r="S93" s="2111"/>
      <c r="T93" s="2104"/>
      <c r="U93" s="2104"/>
      <c r="V93" s="2106"/>
      <c r="W93" s="2110"/>
      <c r="X93" s="2111"/>
      <c r="Y93" s="2104"/>
      <c r="Z93" s="2104"/>
      <c r="AA93" s="2106"/>
      <c r="AB93" s="2110"/>
      <c r="AC93" s="2111"/>
      <c r="AD93" s="2104"/>
      <c r="AE93" s="2104"/>
      <c r="AF93" s="2106"/>
      <c r="AG93" s="2110"/>
      <c r="AH93" s="2111"/>
      <c r="AI93" s="2104"/>
      <c r="AJ93" s="2104"/>
      <c r="AK93" s="2038"/>
      <c r="AL93" s="2039"/>
      <c r="AM93" s="2039"/>
      <c r="AN93" s="2040"/>
      <c r="AO93" s="2008"/>
      <c r="AP93" s="2009"/>
      <c r="AQ93" s="2009"/>
      <c r="AR93" s="2010"/>
      <c r="AS93" s="651"/>
      <c r="AT93" s="652" t="str">
        <f t="shared" ref="AT93" si="750">IF(OR(AND(D93&lt;&gt;"",OR(AND(E93&lt;&gt;"",F93&lt;&gt;"",OR(G93&lt;&gt;"",H93&lt;&gt;"")),AND(E93="",F93="バス・カメラマン等"))),AND(D93="",E93="",F93="",OR(G93="",H93=""))),"○","×")</f>
        <v>○</v>
      </c>
      <c r="AU93" s="1983" t="str">
        <f t="shared" ref="AU93" si="751">IF(AND(E93&lt;&gt;"",E93&lt;=2),"2歳児以下","")</f>
        <v/>
      </c>
      <c r="AV93" s="1983" t="str">
        <f t="shared" ref="AV93" si="752">IF(OR(AND(3&lt;=E93,E93&lt;=6),COUNTIF(E93, "幼*"),COUNTIF(E93, "年少"),COUNTIF(E93, "年中"),COUNTIF(E93, "年長")),"3歳-学齢前","")</f>
        <v/>
      </c>
      <c r="AW93" s="1983" t="str">
        <f t="shared" ref="AW93" si="753">IF(OR(AND(6&lt;=E93,E93&lt;=12),COUNTIF(E93, "小*")),"小学生","")</f>
        <v/>
      </c>
      <c r="AX93" s="1983" t="str">
        <f t="shared" ref="AX93" si="754">IF(OR(AND(12&lt;=E93,E93&lt;=15),COUNTIF(E93, "中*")),"中学生","")</f>
        <v/>
      </c>
      <c r="AY93" s="1983" t="str">
        <f t="shared" ref="AY93" si="755">IF(OR(AND(15&lt;=E93,E93&lt;=18),COUNTIF(E93, "高*")),"高校生(～18歳)","")</f>
        <v/>
      </c>
      <c r="AZ93" s="1983" t="str">
        <f t="shared" ref="AZ93" si="756">IF(OR(19&lt;=E93,COUNTIF(E93, "大*"),COUNTIF(E93, "*院*"),COUNTIF(E93, "*専*")),"一般(19歳～)","")</f>
        <v/>
      </c>
      <c r="BA93" s="1983" t="s">
        <v>475</v>
      </c>
      <c r="BB93" s="652" t="str">
        <f t="shared" ref="BB93" si="757">IF(OR(AND(D93="",I93="",M93="",R93="",W93="",AB93="",AG93=""),AND(D93&lt;&gt;"",OR(I93&lt;&gt;"",M93&lt;&gt;"",R93&lt;&gt;"",W93&lt;&gt;"",AB93&lt;&gt;"",AG93&lt;&gt;""))),"○","×")</f>
        <v>○</v>
      </c>
      <c r="BC93" s="652" t="str">
        <f t="shared" ref="BC93" si="758">IF(AND(BD93="○",BE93="○",BF93="○",BG93="○",BH93="○",BI93="○"),"○","×")</f>
        <v>○</v>
      </c>
      <c r="BD93" s="653" t="str">
        <f t="shared" ref="BD93" si="759">IF(AND($I$7=" ",OR(I93&lt;&gt;"",K93&lt;&gt;"",L93&lt;&gt;"")),"×","○")</f>
        <v>○</v>
      </c>
      <c r="BE93" s="653" t="str">
        <f t="shared" ref="BE93" si="760">IF(AND($M$7=" ",OR(M93&lt;&gt;"",O93&lt;&gt;"",P93&lt;&gt;"",Q93&lt;&gt;"")),"×","○")</f>
        <v>○</v>
      </c>
      <c r="BF93" s="653" t="str">
        <f t="shared" ref="BF93" si="761">IF(AND($R$7=" ",OR(R93&lt;&gt;"",T93&lt;&gt;"",U93&lt;&gt;"",V93&lt;&gt;"")),"×","○")</f>
        <v>○</v>
      </c>
      <c r="BG93" s="653" t="str">
        <f t="shared" ref="BG93" si="762">IF(AND($W$7=" ",OR(W93&lt;&gt;"",Y93&lt;&gt;"",Z93&lt;&gt;"",AA93&lt;&gt;"")),"×","○")</f>
        <v>○</v>
      </c>
      <c r="BH93" s="653" t="str">
        <f t="shared" ref="BH93" si="763">IF(AND($AB$7=" ",OR(AB93&lt;&gt;"",AD93&lt;&gt;"",AE93&lt;&gt;"",AF93&lt;&gt;"")),"×","○")</f>
        <v>○</v>
      </c>
      <c r="BI93" s="653" t="str">
        <f t="shared" ref="BI93" si="764">IF(AND($AG$7=" ",OR(AG93&lt;&gt;"",AI93&lt;&gt;"",AJ93&lt;&gt;"")),"×","○")</f>
        <v>○</v>
      </c>
      <c r="BJ93" s="2225" t="e">
        <f t="shared" ref="BJ93" si="765">SUMPRODUCT(1/COUNTIF(I93:AH93,"宿泊"))</f>
        <v>#DIV/0!</v>
      </c>
      <c r="BK93" s="2226" t="e">
        <f t="shared" ref="BK93" si="766">SUMPRODUCT(1/COUNTIF(I93:AH93,"日帰り"))</f>
        <v>#DIV/0!</v>
      </c>
      <c r="BL93" s="1381">
        <f t="shared" ref="BL93" si="767">COUNT(BJ93)-COUNT(BK93)</f>
        <v>0</v>
      </c>
      <c r="BM93" s="684"/>
    </row>
    <row r="94" spans="1:65" ht="14.1" customHeight="1" x14ac:dyDescent="0.15">
      <c r="A94" s="652"/>
      <c r="B94" s="2174"/>
      <c r="C94" s="2117"/>
      <c r="D94" s="2007"/>
      <c r="E94" s="2005"/>
      <c r="F94" s="2042"/>
      <c r="G94" s="2119"/>
      <c r="H94" s="2107"/>
      <c r="I94" s="2112"/>
      <c r="J94" s="2113"/>
      <c r="K94" s="2105"/>
      <c r="L94" s="2127"/>
      <c r="M94" s="2112"/>
      <c r="N94" s="2113"/>
      <c r="O94" s="2105"/>
      <c r="P94" s="2105"/>
      <c r="Q94" s="2107"/>
      <c r="R94" s="2112"/>
      <c r="S94" s="2113"/>
      <c r="T94" s="2105"/>
      <c r="U94" s="2105"/>
      <c r="V94" s="2107"/>
      <c r="W94" s="2112"/>
      <c r="X94" s="2113"/>
      <c r="Y94" s="2105"/>
      <c r="Z94" s="2105"/>
      <c r="AA94" s="2107"/>
      <c r="AB94" s="2112"/>
      <c r="AC94" s="2113"/>
      <c r="AD94" s="2105"/>
      <c r="AE94" s="2105"/>
      <c r="AF94" s="2107"/>
      <c r="AG94" s="2112"/>
      <c r="AH94" s="2113"/>
      <c r="AI94" s="2105"/>
      <c r="AJ94" s="2105"/>
      <c r="AK94" s="2011"/>
      <c r="AL94" s="2012"/>
      <c r="AM94" s="2012"/>
      <c r="AN94" s="2013"/>
      <c r="AO94" s="2011"/>
      <c r="AP94" s="2012"/>
      <c r="AQ94" s="2012"/>
      <c r="AR94" s="2013"/>
      <c r="AS94" s="651"/>
      <c r="AT94" s="652"/>
      <c r="AU94" s="1983"/>
      <c r="AV94" s="1983"/>
      <c r="AW94" s="1983"/>
      <c r="AX94" s="1983"/>
      <c r="AY94" s="1983"/>
      <c r="AZ94" s="1983"/>
      <c r="BA94" s="1983"/>
      <c r="BB94" s="654"/>
      <c r="BC94" s="654"/>
      <c r="BD94" s="652"/>
      <c r="BE94" s="652"/>
      <c r="BF94" s="652"/>
      <c r="BG94" s="652"/>
      <c r="BH94" s="652"/>
      <c r="BI94" s="652"/>
      <c r="BJ94" s="2225"/>
      <c r="BK94" s="2226"/>
      <c r="BL94" s="1381"/>
      <c r="BM94" s="684"/>
    </row>
    <row r="95" spans="1:65" ht="14.1" customHeight="1" x14ac:dyDescent="0.15">
      <c r="A95" s="652" t="str">
        <f t="shared" ref="A95" si="768">IF(AND(D95="",D97&lt;&gt;""),"×","○")</f>
        <v>○</v>
      </c>
      <c r="B95" s="2174" t="str">
        <f t="shared" ref="B95" si="769">IF(AND(AT95="○",BB95="○",BC95="○",A95="○"),"○","×")</f>
        <v>○</v>
      </c>
      <c r="C95" s="2116">
        <v>41</v>
      </c>
      <c r="D95" s="2006"/>
      <c r="E95" s="2004"/>
      <c r="F95" s="2041"/>
      <c r="G95" s="2118"/>
      <c r="H95" s="2106"/>
      <c r="I95" s="2141"/>
      <c r="J95" s="2142"/>
      <c r="K95" s="2104"/>
      <c r="L95" s="2140"/>
      <c r="M95" s="2110"/>
      <c r="N95" s="2111"/>
      <c r="O95" s="2104"/>
      <c r="P95" s="2104"/>
      <c r="Q95" s="2106"/>
      <c r="R95" s="2110"/>
      <c r="S95" s="2111"/>
      <c r="T95" s="2104"/>
      <c r="U95" s="2104"/>
      <c r="V95" s="2106"/>
      <c r="W95" s="2110"/>
      <c r="X95" s="2111"/>
      <c r="Y95" s="2104"/>
      <c r="Z95" s="2104"/>
      <c r="AA95" s="2106"/>
      <c r="AB95" s="2110"/>
      <c r="AC95" s="2111"/>
      <c r="AD95" s="2104"/>
      <c r="AE95" s="2104"/>
      <c r="AF95" s="2106"/>
      <c r="AG95" s="2110"/>
      <c r="AH95" s="2111"/>
      <c r="AI95" s="2104"/>
      <c r="AJ95" s="2104"/>
      <c r="AK95" s="2038"/>
      <c r="AL95" s="2039"/>
      <c r="AM95" s="2039"/>
      <c r="AN95" s="2040"/>
      <c r="AO95" s="2008"/>
      <c r="AP95" s="2009"/>
      <c r="AQ95" s="2009"/>
      <c r="AR95" s="2010"/>
      <c r="AS95" s="651"/>
      <c r="AT95" s="652" t="str">
        <f t="shared" ref="AT95" si="770">IF(OR(AND(D95&lt;&gt;"",OR(AND(E95&lt;&gt;"",F95&lt;&gt;"",OR(G95&lt;&gt;"",H95&lt;&gt;"")),AND(E95="",F95="バス・カメラマン等"))),AND(D95="",E95="",F95="",OR(G95="",H95=""))),"○","×")</f>
        <v>○</v>
      </c>
      <c r="AU95" s="1983" t="str">
        <f t="shared" ref="AU95" si="771">IF(AND(E95&lt;&gt;"",E95&lt;=2),"2歳児以下","")</f>
        <v/>
      </c>
      <c r="AV95" s="1983" t="str">
        <f t="shared" ref="AV95" si="772">IF(OR(AND(3&lt;=E95,E95&lt;=6),COUNTIF(E95, "幼*"),COUNTIF(E95, "年少"),COUNTIF(E95, "年中"),COUNTIF(E95, "年長")),"3歳-学齢前","")</f>
        <v/>
      </c>
      <c r="AW95" s="1983" t="str">
        <f t="shared" ref="AW95" si="773">IF(OR(AND(6&lt;=E95,E95&lt;=12),COUNTIF(E95, "小*")),"小学生","")</f>
        <v/>
      </c>
      <c r="AX95" s="1983" t="str">
        <f t="shared" ref="AX95" si="774">IF(OR(AND(12&lt;=E95,E95&lt;=15),COUNTIF(E95, "中*")),"中学生","")</f>
        <v/>
      </c>
      <c r="AY95" s="1983" t="str">
        <f t="shared" ref="AY95" si="775">IF(OR(AND(15&lt;=E95,E95&lt;=18),COUNTIF(E95, "高*")),"高校生(～18歳)","")</f>
        <v/>
      </c>
      <c r="AZ95" s="1983" t="str">
        <f t="shared" ref="AZ95" si="776">IF(OR(19&lt;=E95,COUNTIF(E95, "大*"),COUNTIF(E95, "*院*"),COUNTIF(E95, "*専*")),"一般(19歳～)","")</f>
        <v/>
      </c>
      <c r="BA95" s="1983" t="s">
        <v>475</v>
      </c>
      <c r="BB95" s="652" t="str">
        <f t="shared" ref="BB95" si="777">IF(OR(AND(D95="",I95="",M95="",R95="",W95="",AB95="",AG95=""),AND(D95&lt;&gt;"",OR(I95&lt;&gt;"",M95&lt;&gt;"",R95&lt;&gt;"",W95&lt;&gt;"",AB95&lt;&gt;"",AG95&lt;&gt;""))),"○","×")</f>
        <v>○</v>
      </c>
      <c r="BC95" s="652" t="str">
        <f t="shared" ref="BC95" si="778">IF(AND(BD95="○",BE95="○",BF95="○",BG95="○",BH95="○",BI95="○"),"○","×")</f>
        <v>○</v>
      </c>
      <c r="BD95" s="653" t="str">
        <f t="shared" ref="BD95" si="779">IF(AND($I$7=" ",OR(I95&lt;&gt;"",K95&lt;&gt;"",L95&lt;&gt;"")),"×","○")</f>
        <v>○</v>
      </c>
      <c r="BE95" s="653" t="str">
        <f t="shared" ref="BE95" si="780">IF(AND($M$7=" ",OR(M95&lt;&gt;"",O95&lt;&gt;"",P95&lt;&gt;"",Q95&lt;&gt;"")),"×","○")</f>
        <v>○</v>
      </c>
      <c r="BF95" s="653" t="str">
        <f t="shared" ref="BF95" si="781">IF(AND($R$7=" ",OR(R95&lt;&gt;"",T95&lt;&gt;"",U95&lt;&gt;"",V95&lt;&gt;"")),"×","○")</f>
        <v>○</v>
      </c>
      <c r="BG95" s="653" t="str">
        <f t="shared" ref="BG95" si="782">IF(AND($W$7=" ",OR(W95&lt;&gt;"",Y95&lt;&gt;"",Z95&lt;&gt;"",AA95&lt;&gt;"")),"×","○")</f>
        <v>○</v>
      </c>
      <c r="BH95" s="653" t="str">
        <f t="shared" ref="BH95" si="783">IF(AND($AB$7=" ",OR(AB95&lt;&gt;"",AD95&lt;&gt;"",AE95&lt;&gt;"",AF95&lt;&gt;"")),"×","○")</f>
        <v>○</v>
      </c>
      <c r="BI95" s="653" t="str">
        <f t="shared" ref="BI95" si="784">IF(AND($AG$7=" ",OR(AG95&lt;&gt;"",AI95&lt;&gt;"",AJ95&lt;&gt;"")),"×","○")</f>
        <v>○</v>
      </c>
      <c r="BJ95" s="2225" t="e">
        <f t="shared" ref="BJ95" si="785">SUMPRODUCT(1/COUNTIF(I95:AH95,"宿泊"))</f>
        <v>#DIV/0!</v>
      </c>
      <c r="BK95" s="2226" t="e">
        <f t="shared" ref="BK95" si="786">SUMPRODUCT(1/COUNTIF(I95:AH95,"日帰り"))</f>
        <v>#DIV/0!</v>
      </c>
      <c r="BL95" s="1381">
        <f t="shared" ref="BL95" si="787">COUNT(BJ95)-COUNT(BK95)</f>
        <v>0</v>
      </c>
      <c r="BM95" s="684"/>
    </row>
    <row r="96" spans="1:65" ht="14.1" customHeight="1" x14ac:dyDescent="0.15">
      <c r="A96" s="652"/>
      <c r="B96" s="2174"/>
      <c r="C96" s="2117"/>
      <c r="D96" s="2007"/>
      <c r="E96" s="2005"/>
      <c r="F96" s="2042"/>
      <c r="G96" s="2119"/>
      <c r="H96" s="2107"/>
      <c r="I96" s="2112"/>
      <c r="J96" s="2113"/>
      <c r="K96" s="2105"/>
      <c r="L96" s="2127"/>
      <c r="M96" s="2112"/>
      <c r="N96" s="2113"/>
      <c r="O96" s="2105"/>
      <c r="P96" s="2105"/>
      <c r="Q96" s="2107"/>
      <c r="R96" s="2112"/>
      <c r="S96" s="2113"/>
      <c r="T96" s="2105"/>
      <c r="U96" s="2105"/>
      <c r="V96" s="2107"/>
      <c r="W96" s="2112"/>
      <c r="X96" s="2113"/>
      <c r="Y96" s="2105"/>
      <c r="Z96" s="2105"/>
      <c r="AA96" s="2107"/>
      <c r="AB96" s="2112"/>
      <c r="AC96" s="2113"/>
      <c r="AD96" s="2105"/>
      <c r="AE96" s="2105"/>
      <c r="AF96" s="2107"/>
      <c r="AG96" s="2112"/>
      <c r="AH96" s="2113"/>
      <c r="AI96" s="2105"/>
      <c r="AJ96" s="2105"/>
      <c r="AK96" s="2011"/>
      <c r="AL96" s="2012"/>
      <c r="AM96" s="2012"/>
      <c r="AN96" s="2013"/>
      <c r="AO96" s="2011"/>
      <c r="AP96" s="2012"/>
      <c r="AQ96" s="2012"/>
      <c r="AR96" s="2013"/>
      <c r="AS96" s="651"/>
      <c r="AT96" s="652"/>
      <c r="AU96" s="1983"/>
      <c r="AV96" s="1983"/>
      <c r="AW96" s="1983"/>
      <c r="AX96" s="1983"/>
      <c r="AY96" s="1983"/>
      <c r="AZ96" s="1983"/>
      <c r="BA96" s="1983"/>
      <c r="BB96" s="654"/>
      <c r="BC96" s="654"/>
      <c r="BD96" s="652"/>
      <c r="BE96" s="652"/>
      <c r="BF96" s="652"/>
      <c r="BG96" s="652"/>
      <c r="BH96" s="652"/>
      <c r="BI96" s="652"/>
      <c r="BJ96" s="2225"/>
      <c r="BK96" s="2226"/>
      <c r="BL96" s="1381"/>
      <c r="BM96" s="684"/>
    </row>
    <row r="97" spans="1:65" ht="14.1" customHeight="1" x14ac:dyDescent="0.15">
      <c r="A97" s="652" t="str">
        <f t="shared" ref="A97" si="788">IF(AND(D97="",D99&lt;&gt;""),"×","○")</f>
        <v>○</v>
      </c>
      <c r="B97" s="2174" t="str">
        <f t="shared" ref="B97" si="789">IF(AND(AT97="○",BB97="○",BC97="○",A97="○"),"○","×")</f>
        <v>○</v>
      </c>
      <c r="C97" s="2116">
        <v>42</v>
      </c>
      <c r="D97" s="2006"/>
      <c r="E97" s="2004"/>
      <c r="F97" s="2041"/>
      <c r="G97" s="2118"/>
      <c r="H97" s="2106"/>
      <c r="I97" s="2141"/>
      <c r="J97" s="2142"/>
      <c r="K97" s="2104"/>
      <c r="L97" s="2140"/>
      <c r="M97" s="2110"/>
      <c r="N97" s="2111"/>
      <c r="O97" s="2104"/>
      <c r="P97" s="2104"/>
      <c r="Q97" s="2106"/>
      <c r="R97" s="2110"/>
      <c r="S97" s="2111"/>
      <c r="T97" s="2104"/>
      <c r="U97" s="2104"/>
      <c r="V97" s="2106"/>
      <c r="W97" s="2110"/>
      <c r="X97" s="2111"/>
      <c r="Y97" s="2104"/>
      <c r="Z97" s="2104"/>
      <c r="AA97" s="2106"/>
      <c r="AB97" s="2110"/>
      <c r="AC97" s="2111"/>
      <c r="AD97" s="2104"/>
      <c r="AE97" s="2104"/>
      <c r="AF97" s="2106"/>
      <c r="AG97" s="2110"/>
      <c r="AH97" s="2111"/>
      <c r="AI97" s="2104"/>
      <c r="AJ97" s="2104"/>
      <c r="AK97" s="2038"/>
      <c r="AL97" s="2039"/>
      <c r="AM97" s="2039"/>
      <c r="AN97" s="2040"/>
      <c r="AO97" s="2008"/>
      <c r="AP97" s="2009"/>
      <c r="AQ97" s="2009"/>
      <c r="AR97" s="2010"/>
      <c r="AS97" s="651"/>
      <c r="AT97" s="652" t="str">
        <f t="shared" ref="AT97" si="790">IF(OR(AND(D97&lt;&gt;"",OR(AND(E97&lt;&gt;"",F97&lt;&gt;"",OR(G97&lt;&gt;"",H97&lt;&gt;"")),AND(E97="",F97="バス・カメラマン等"))),AND(D97="",E97="",F97="",OR(G97="",H97=""))),"○","×")</f>
        <v>○</v>
      </c>
      <c r="AU97" s="1983" t="str">
        <f t="shared" ref="AU97" si="791">IF(AND(E97&lt;&gt;"",E97&lt;=2),"2歳児以下","")</f>
        <v/>
      </c>
      <c r="AV97" s="1983" t="str">
        <f t="shared" ref="AV97" si="792">IF(OR(AND(3&lt;=E97,E97&lt;=6),COUNTIF(E97, "幼*"),COUNTIF(E97, "年少"),COUNTIF(E97, "年中"),COUNTIF(E97, "年長")),"3歳-学齢前","")</f>
        <v/>
      </c>
      <c r="AW97" s="1983" t="str">
        <f t="shared" ref="AW97" si="793">IF(OR(AND(6&lt;=E97,E97&lt;=12),COUNTIF(E97, "小*")),"小学生","")</f>
        <v/>
      </c>
      <c r="AX97" s="1983" t="str">
        <f t="shared" ref="AX97" si="794">IF(OR(AND(12&lt;=E97,E97&lt;=15),COUNTIF(E97, "中*")),"中学生","")</f>
        <v/>
      </c>
      <c r="AY97" s="1983" t="str">
        <f t="shared" ref="AY97" si="795">IF(OR(AND(15&lt;=E97,E97&lt;=18),COUNTIF(E97, "高*")),"高校生(～18歳)","")</f>
        <v/>
      </c>
      <c r="AZ97" s="1983" t="str">
        <f t="shared" ref="AZ97" si="796">IF(OR(19&lt;=E97,COUNTIF(E97, "大*"),COUNTIF(E97, "*院*"),COUNTIF(E97, "*専*")),"一般(19歳～)","")</f>
        <v/>
      </c>
      <c r="BA97" s="1983" t="s">
        <v>475</v>
      </c>
      <c r="BB97" s="652" t="str">
        <f t="shared" ref="BB97" si="797">IF(OR(AND(D97="",I97="",M97="",R97="",W97="",AB97="",AG97=""),AND(D97&lt;&gt;"",OR(I97&lt;&gt;"",M97&lt;&gt;"",R97&lt;&gt;"",W97&lt;&gt;"",AB97&lt;&gt;"",AG97&lt;&gt;""))),"○","×")</f>
        <v>○</v>
      </c>
      <c r="BC97" s="652" t="str">
        <f t="shared" ref="BC97" si="798">IF(AND(BD97="○",BE97="○",BF97="○",BG97="○",BH97="○",BI97="○"),"○","×")</f>
        <v>○</v>
      </c>
      <c r="BD97" s="653" t="str">
        <f t="shared" ref="BD97" si="799">IF(AND($I$7=" ",OR(I97&lt;&gt;"",K97&lt;&gt;"",L97&lt;&gt;"")),"×","○")</f>
        <v>○</v>
      </c>
      <c r="BE97" s="653" t="str">
        <f t="shared" ref="BE97" si="800">IF(AND($M$7=" ",OR(M97&lt;&gt;"",O97&lt;&gt;"",P97&lt;&gt;"",Q97&lt;&gt;"")),"×","○")</f>
        <v>○</v>
      </c>
      <c r="BF97" s="653" t="str">
        <f t="shared" ref="BF97" si="801">IF(AND($R$7=" ",OR(R97&lt;&gt;"",T97&lt;&gt;"",U97&lt;&gt;"",V97&lt;&gt;"")),"×","○")</f>
        <v>○</v>
      </c>
      <c r="BG97" s="653" t="str">
        <f t="shared" ref="BG97" si="802">IF(AND($W$7=" ",OR(W97&lt;&gt;"",Y97&lt;&gt;"",Z97&lt;&gt;"",AA97&lt;&gt;"")),"×","○")</f>
        <v>○</v>
      </c>
      <c r="BH97" s="653" t="str">
        <f t="shared" ref="BH97" si="803">IF(AND($AB$7=" ",OR(AB97&lt;&gt;"",AD97&lt;&gt;"",AE97&lt;&gt;"",AF97&lt;&gt;"")),"×","○")</f>
        <v>○</v>
      </c>
      <c r="BI97" s="653" t="str">
        <f t="shared" ref="BI97" si="804">IF(AND($AG$7=" ",OR(AG97&lt;&gt;"",AI97&lt;&gt;"",AJ97&lt;&gt;"")),"×","○")</f>
        <v>○</v>
      </c>
      <c r="BJ97" s="2225" t="e">
        <f t="shared" ref="BJ97" si="805">SUMPRODUCT(1/COUNTIF(I97:AH97,"宿泊"))</f>
        <v>#DIV/0!</v>
      </c>
      <c r="BK97" s="2226" t="e">
        <f t="shared" ref="BK97" si="806">SUMPRODUCT(1/COUNTIF(I97:AH97,"日帰り"))</f>
        <v>#DIV/0!</v>
      </c>
      <c r="BL97" s="1381">
        <f t="shared" ref="BL97" si="807">COUNT(BJ97)-COUNT(BK97)</f>
        <v>0</v>
      </c>
      <c r="BM97" s="684"/>
    </row>
    <row r="98" spans="1:65" ht="14.1" customHeight="1" x14ac:dyDescent="0.15">
      <c r="A98" s="652"/>
      <c r="B98" s="2174"/>
      <c r="C98" s="2117"/>
      <c r="D98" s="2007"/>
      <c r="E98" s="2005"/>
      <c r="F98" s="2042"/>
      <c r="G98" s="2119"/>
      <c r="H98" s="2107"/>
      <c r="I98" s="2112"/>
      <c r="J98" s="2113"/>
      <c r="K98" s="2105"/>
      <c r="L98" s="2127"/>
      <c r="M98" s="2112"/>
      <c r="N98" s="2113"/>
      <c r="O98" s="2105"/>
      <c r="P98" s="2105"/>
      <c r="Q98" s="2107"/>
      <c r="R98" s="2112"/>
      <c r="S98" s="2113"/>
      <c r="T98" s="2105"/>
      <c r="U98" s="2105"/>
      <c r="V98" s="2107"/>
      <c r="W98" s="2112"/>
      <c r="X98" s="2113"/>
      <c r="Y98" s="2105"/>
      <c r="Z98" s="2105"/>
      <c r="AA98" s="2107"/>
      <c r="AB98" s="2112"/>
      <c r="AC98" s="2113"/>
      <c r="AD98" s="2105"/>
      <c r="AE98" s="2105"/>
      <c r="AF98" s="2107"/>
      <c r="AG98" s="2112"/>
      <c r="AH98" s="2113"/>
      <c r="AI98" s="2105"/>
      <c r="AJ98" s="2105"/>
      <c r="AK98" s="2011"/>
      <c r="AL98" s="2012"/>
      <c r="AM98" s="2012"/>
      <c r="AN98" s="2013"/>
      <c r="AO98" s="2011"/>
      <c r="AP98" s="2012"/>
      <c r="AQ98" s="2012"/>
      <c r="AR98" s="2013"/>
      <c r="AS98" s="651"/>
      <c r="AT98" s="652"/>
      <c r="AU98" s="1983"/>
      <c r="AV98" s="1983"/>
      <c r="AW98" s="1983"/>
      <c r="AX98" s="1983"/>
      <c r="AY98" s="1983"/>
      <c r="AZ98" s="1983"/>
      <c r="BA98" s="1983"/>
      <c r="BB98" s="654"/>
      <c r="BC98" s="654"/>
      <c r="BD98" s="652"/>
      <c r="BE98" s="652"/>
      <c r="BF98" s="652"/>
      <c r="BG98" s="652"/>
      <c r="BH98" s="652"/>
      <c r="BI98" s="652"/>
      <c r="BJ98" s="2225"/>
      <c r="BK98" s="2226"/>
      <c r="BL98" s="1381"/>
      <c r="BM98" s="684"/>
    </row>
    <row r="99" spans="1:65" ht="14.1" customHeight="1" x14ac:dyDescent="0.15">
      <c r="A99" s="652" t="str">
        <f t="shared" ref="A99" si="808">IF(AND(D99="",D101&lt;&gt;""),"×","○")</f>
        <v>○</v>
      </c>
      <c r="B99" s="2174" t="str">
        <f t="shared" ref="B99" si="809">IF(AND(AT99="○",BB99="○",BC99="○",A99="○"),"○","×")</f>
        <v>○</v>
      </c>
      <c r="C99" s="2116">
        <v>43</v>
      </c>
      <c r="D99" s="2006"/>
      <c r="E99" s="2004"/>
      <c r="F99" s="2041"/>
      <c r="G99" s="2118"/>
      <c r="H99" s="2106"/>
      <c r="I99" s="2141"/>
      <c r="J99" s="2142"/>
      <c r="K99" s="2104"/>
      <c r="L99" s="2140"/>
      <c r="M99" s="2110"/>
      <c r="N99" s="2111"/>
      <c r="O99" s="2104"/>
      <c r="P99" s="2104"/>
      <c r="Q99" s="2106"/>
      <c r="R99" s="2110"/>
      <c r="S99" s="2111"/>
      <c r="T99" s="2104"/>
      <c r="U99" s="2104"/>
      <c r="V99" s="2106"/>
      <c r="W99" s="2110"/>
      <c r="X99" s="2111"/>
      <c r="Y99" s="2104"/>
      <c r="Z99" s="2104"/>
      <c r="AA99" s="2106"/>
      <c r="AB99" s="2110"/>
      <c r="AC99" s="2111"/>
      <c r="AD99" s="2104"/>
      <c r="AE99" s="2104"/>
      <c r="AF99" s="2106"/>
      <c r="AG99" s="2110"/>
      <c r="AH99" s="2111"/>
      <c r="AI99" s="2104"/>
      <c r="AJ99" s="2104"/>
      <c r="AK99" s="2038"/>
      <c r="AL99" s="2039"/>
      <c r="AM99" s="2039"/>
      <c r="AN99" s="2040"/>
      <c r="AO99" s="2008"/>
      <c r="AP99" s="2009"/>
      <c r="AQ99" s="2009"/>
      <c r="AR99" s="2010"/>
      <c r="AS99" s="651"/>
      <c r="AT99" s="652" t="str">
        <f t="shared" ref="AT99" si="810">IF(OR(AND(D99&lt;&gt;"",OR(AND(E99&lt;&gt;"",F99&lt;&gt;"",OR(G99&lt;&gt;"",H99&lt;&gt;"")),AND(E99="",F99="バス・カメラマン等"))),AND(D99="",E99="",F99="",OR(G99="",H99=""))),"○","×")</f>
        <v>○</v>
      </c>
      <c r="AU99" s="1983" t="str">
        <f t="shared" ref="AU99" si="811">IF(AND(E99&lt;&gt;"",E99&lt;=2),"2歳児以下","")</f>
        <v/>
      </c>
      <c r="AV99" s="1983" t="str">
        <f t="shared" ref="AV99" si="812">IF(OR(AND(3&lt;=E99,E99&lt;=6),COUNTIF(E99, "幼*"),COUNTIF(E99, "年少"),COUNTIF(E99, "年中"),COUNTIF(E99, "年長")),"3歳-学齢前","")</f>
        <v/>
      </c>
      <c r="AW99" s="1983" t="str">
        <f t="shared" ref="AW99" si="813">IF(OR(AND(6&lt;=E99,E99&lt;=12),COUNTIF(E99, "小*")),"小学生","")</f>
        <v/>
      </c>
      <c r="AX99" s="1983" t="str">
        <f t="shared" ref="AX99" si="814">IF(OR(AND(12&lt;=E99,E99&lt;=15),COUNTIF(E99, "中*")),"中学生","")</f>
        <v/>
      </c>
      <c r="AY99" s="1983" t="str">
        <f t="shared" ref="AY99" si="815">IF(OR(AND(15&lt;=E99,E99&lt;=18),COUNTIF(E99, "高*")),"高校生(～18歳)","")</f>
        <v/>
      </c>
      <c r="AZ99" s="1983" t="str">
        <f t="shared" ref="AZ99" si="816">IF(OR(19&lt;=E99,COUNTIF(E99, "大*"),COUNTIF(E99, "*院*"),COUNTIF(E99, "*専*")),"一般(19歳～)","")</f>
        <v/>
      </c>
      <c r="BA99" s="1983" t="s">
        <v>475</v>
      </c>
      <c r="BB99" s="652" t="str">
        <f t="shared" ref="BB99" si="817">IF(OR(AND(D99="",I99="",M99="",R99="",W99="",AB99="",AG99=""),AND(D99&lt;&gt;"",OR(I99&lt;&gt;"",M99&lt;&gt;"",R99&lt;&gt;"",W99&lt;&gt;"",AB99&lt;&gt;"",AG99&lt;&gt;""))),"○","×")</f>
        <v>○</v>
      </c>
      <c r="BC99" s="652" t="str">
        <f t="shared" ref="BC99" si="818">IF(AND(BD99="○",BE99="○",BF99="○",BG99="○",BH99="○",BI99="○"),"○","×")</f>
        <v>○</v>
      </c>
      <c r="BD99" s="653" t="str">
        <f t="shared" ref="BD99" si="819">IF(AND($I$7=" ",OR(I99&lt;&gt;"",K99&lt;&gt;"",L99&lt;&gt;"")),"×","○")</f>
        <v>○</v>
      </c>
      <c r="BE99" s="653" t="str">
        <f t="shared" ref="BE99" si="820">IF(AND($M$7=" ",OR(M99&lt;&gt;"",O99&lt;&gt;"",P99&lt;&gt;"",Q99&lt;&gt;"")),"×","○")</f>
        <v>○</v>
      </c>
      <c r="BF99" s="653" t="str">
        <f t="shared" ref="BF99" si="821">IF(AND($R$7=" ",OR(R99&lt;&gt;"",T99&lt;&gt;"",U99&lt;&gt;"",V99&lt;&gt;"")),"×","○")</f>
        <v>○</v>
      </c>
      <c r="BG99" s="653" t="str">
        <f t="shared" ref="BG99" si="822">IF(AND($W$7=" ",OR(W99&lt;&gt;"",Y99&lt;&gt;"",Z99&lt;&gt;"",AA99&lt;&gt;"")),"×","○")</f>
        <v>○</v>
      </c>
      <c r="BH99" s="653" t="str">
        <f t="shared" ref="BH99" si="823">IF(AND($AB$7=" ",OR(AB99&lt;&gt;"",AD99&lt;&gt;"",AE99&lt;&gt;"",AF99&lt;&gt;"")),"×","○")</f>
        <v>○</v>
      </c>
      <c r="BI99" s="653" t="str">
        <f t="shared" ref="BI99" si="824">IF(AND($AG$7=" ",OR(AG99&lt;&gt;"",AI99&lt;&gt;"",AJ99&lt;&gt;"")),"×","○")</f>
        <v>○</v>
      </c>
      <c r="BJ99" s="2225" t="e">
        <f t="shared" ref="BJ99" si="825">SUMPRODUCT(1/COUNTIF(I99:AH99,"宿泊"))</f>
        <v>#DIV/0!</v>
      </c>
      <c r="BK99" s="2226" t="e">
        <f t="shared" ref="BK99" si="826">SUMPRODUCT(1/COUNTIF(I99:AH99,"日帰り"))</f>
        <v>#DIV/0!</v>
      </c>
      <c r="BL99" s="1381">
        <f t="shared" ref="BL99" si="827">COUNT(BJ99)-COUNT(BK99)</f>
        <v>0</v>
      </c>
      <c r="BM99" s="684"/>
    </row>
    <row r="100" spans="1:65" ht="14.1" customHeight="1" x14ac:dyDescent="0.15">
      <c r="A100" s="652"/>
      <c r="B100" s="2174"/>
      <c r="C100" s="2117"/>
      <c r="D100" s="2007"/>
      <c r="E100" s="2005"/>
      <c r="F100" s="2042"/>
      <c r="G100" s="2119"/>
      <c r="H100" s="2107"/>
      <c r="I100" s="2112"/>
      <c r="J100" s="2113"/>
      <c r="K100" s="2105"/>
      <c r="L100" s="2127"/>
      <c r="M100" s="2112"/>
      <c r="N100" s="2113"/>
      <c r="O100" s="2105"/>
      <c r="P100" s="2105"/>
      <c r="Q100" s="2107"/>
      <c r="R100" s="2112"/>
      <c r="S100" s="2113"/>
      <c r="T100" s="2105"/>
      <c r="U100" s="2105"/>
      <c r="V100" s="2107"/>
      <c r="W100" s="2112"/>
      <c r="X100" s="2113"/>
      <c r="Y100" s="2105"/>
      <c r="Z100" s="2105"/>
      <c r="AA100" s="2107"/>
      <c r="AB100" s="2112"/>
      <c r="AC100" s="2113"/>
      <c r="AD100" s="2105"/>
      <c r="AE100" s="2105"/>
      <c r="AF100" s="2107"/>
      <c r="AG100" s="2112"/>
      <c r="AH100" s="2113"/>
      <c r="AI100" s="2105"/>
      <c r="AJ100" s="2105"/>
      <c r="AK100" s="2011"/>
      <c r="AL100" s="2012"/>
      <c r="AM100" s="2012"/>
      <c r="AN100" s="2013"/>
      <c r="AO100" s="2011"/>
      <c r="AP100" s="2012"/>
      <c r="AQ100" s="2012"/>
      <c r="AR100" s="2013"/>
      <c r="AS100" s="651"/>
      <c r="AT100" s="652"/>
      <c r="AU100" s="1983"/>
      <c r="AV100" s="1983"/>
      <c r="AW100" s="1983"/>
      <c r="AX100" s="1983"/>
      <c r="AY100" s="1983"/>
      <c r="AZ100" s="1983"/>
      <c r="BA100" s="1983"/>
      <c r="BB100" s="654"/>
      <c r="BC100" s="654"/>
      <c r="BD100" s="652"/>
      <c r="BE100" s="652"/>
      <c r="BF100" s="652"/>
      <c r="BG100" s="652"/>
      <c r="BH100" s="652"/>
      <c r="BI100" s="652"/>
      <c r="BJ100" s="2225"/>
      <c r="BK100" s="2226"/>
      <c r="BL100" s="1381"/>
      <c r="BM100" s="684"/>
    </row>
    <row r="101" spans="1:65" ht="14.1" customHeight="1" x14ac:dyDescent="0.15">
      <c r="A101" s="652" t="str">
        <f t="shared" ref="A101" si="828">IF(AND(D101="",D103&lt;&gt;""),"×","○")</f>
        <v>○</v>
      </c>
      <c r="B101" s="2174" t="str">
        <f t="shared" ref="B101" si="829">IF(AND(AT101="○",BB101="○",BC101="○",A101="○"),"○","×")</f>
        <v>○</v>
      </c>
      <c r="C101" s="2120">
        <v>44</v>
      </c>
      <c r="D101" s="2006"/>
      <c r="E101" s="2004"/>
      <c r="F101" s="2041"/>
      <c r="G101" s="2118"/>
      <c r="H101" s="2106"/>
      <c r="I101" s="2141"/>
      <c r="J101" s="2142"/>
      <c r="K101" s="2104"/>
      <c r="L101" s="2140"/>
      <c r="M101" s="2110"/>
      <c r="N101" s="2111"/>
      <c r="O101" s="2104"/>
      <c r="P101" s="2104"/>
      <c r="Q101" s="2106"/>
      <c r="R101" s="2110"/>
      <c r="S101" s="2111"/>
      <c r="T101" s="2104"/>
      <c r="U101" s="2104"/>
      <c r="V101" s="2106"/>
      <c r="W101" s="2110"/>
      <c r="X101" s="2111"/>
      <c r="Y101" s="2104"/>
      <c r="Z101" s="2104"/>
      <c r="AA101" s="2106"/>
      <c r="AB101" s="2110"/>
      <c r="AC101" s="2111"/>
      <c r="AD101" s="2104"/>
      <c r="AE101" s="2104"/>
      <c r="AF101" s="2106"/>
      <c r="AG101" s="2110"/>
      <c r="AH101" s="2111"/>
      <c r="AI101" s="2104"/>
      <c r="AJ101" s="2104"/>
      <c r="AK101" s="2038"/>
      <c r="AL101" s="2039"/>
      <c r="AM101" s="2039"/>
      <c r="AN101" s="2040"/>
      <c r="AO101" s="2008"/>
      <c r="AP101" s="2009"/>
      <c r="AQ101" s="2009"/>
      <c r="AR101" s="2010"/>
      <c r="AS101" s="651"/>
      <c r="AT101" s="652" t="str">
        <f t="shared" ref="AT101" si="830">IF(OR(AND(D101&lt;&gt;"",OR(AND(E101&lt;&gt;"",F101&lt;&gt;"",OR(G101&lt;&gt;"",H101&lt;&gt;"")),AND(E101="",F101="バス・カメラマン等"))),AND(D101="",E101="",F101="",OR(G101="",H101=""))),"○","×")</f>
        <v>○</v>
      </c>
      <c r="AU101" s="1983" t="str">
        <f t="shared" ref="AU101" si="831">IF(AND(E101&lt;&gt;"",E101&lt;=2),"2歳児以下","")</f>
        <v/>
      </c>
      <c r="AV101" s="1983" t="str">
        <f t="shared" ref="AV101" si="832">IF(OR(AND(3&lt;=E101,E101&lt;=6),COUNTIF(E101, "幼*"),COUNTIF(E101, "年少"),COUNTIF(E101, "年中"),COUNTIF(E101, "年長")),"3歳-学齢前","")</f>
        <v/>
      </c>
      <c r="AW101" s="1983" t="str">
        <f t="shared" ref="AW101" si="833">IF(OR(AND(6&lt;=E101,E101&lt;=12),COUNTIF(E101, "小*")),"小学生","")</f>
        <v/>
      </c>
      <c r="AX101" s="1983" t="str">
        <f t="shared" ref="AX101" si="834">IF(OR(AND(12&lt;=E101,E101&lt;=15),COUNTIF(E101, "中*")),"中学生","")</f>
        <v/>
      </c>
      <c r="AY101" s="1983" t="str">
        <f t="shared" ref="AY101" si="835">IF(OR(AND(15&lt;=E101,E101&lt;=18),COUNTIF(E101, "高*")),"高校生(～18歳)","")</f>
        <v/>
      </c>
      <c r="AZ101" s="1983" t="str">
        <f t="shared" ref="AZ101" si="836">IF(OR(19&lt;=E101,COUNTIF(E101, "大*"),COUNTIF(E101, "*院*"),COUNTIF(E101, "*専*")),"一般(19歳～)","")</f>
        <v/>
      </c>
      <c r="BA101" s="1983" t="s">
        <v>475</v>
      </c>
      <c r="BB101" s="652" t="str">
        <f t="shared" ref="BB101" si="837">IF(OR(AND(D101="",I101="",M101="",R101="",W101="",AB101="",AG101=""),AND(D101&lt;&gt;"",OR(I101&lt;&gt;"",M101&lt;&gt;"",R101&lt;&gt;"",W101&lt;&gt;"",AB101&lt;&gt;"",AG101&lt;&gt;""))),"○","×")</f>
        <v>○</v>
      </c>
      <c r="BC101" s="652" t="str">
        <f t="shared" ref="BC101" si="838">IF(AND(BD101="○",BE101="○",BF101="○",BG101="○",BH101="○",BI101="○"),"○","×")</f>
        <v>○</v>
      </c>
      <c r="BD101" s="653" t="str">
        <f t="shared" ref="BD101" si="839">IF(AND($I$7=" ",OR(I101&lt;&gt;"",K101&lt;&gt;"",L101&lt;&gt;"")),"×","○")</f>
        <v>○</v>
      </c>
      <c r="BE101" s="653" t="str">
        <f t="shared" ref="BE101" si="840">IF(AND($M$7=" ",OR(M101&lt;&gt;"",O101&lt;&gt;"",P101&lt;&gt;"",Q101&lt;&gt;"")),"×","○")</f>
        <v>○</v>
      </c>
      <c r="BF101" s="653" t="str">
        <f t="shared" ref="BF101" si="841">IF(AND($R$7=" ",OR(R101&lt;&gt;"",T101&lt;&gt;"",U101&lt;&gt;"",V101&lt;&gt;"")),"×","○")</f>
        <v>○</v>
      </c>
      <c r="BG101" s="653" t="str">
        <f t="shared" ref="BG101" si="842">IF(AND($W$7=" ",OR(W101&lt;&gt;"",Y101&lt;&gt;"",Z101&lt;&gt;"",AA101&lt;&gt;"")),"×","○")</f>
        <v>○</v>
      </c>
      <c r="BH101" s="653" t="str">
        <f t="shared" ref="BH101" si="843">IF(AND($AB$7=" ",OR(AB101&lt;&gt;"",AD101&lt;&gt;"",AE101&lt;&gt;"",AF101&lt;&gt;"")),"×","○")</f>
        <v>○</v>
      </c>
      <c r="BI101" s="653" t="str">
        <f t="shared" ref="BI101" si="844">IF(AND($AG$7=" ",OR(AG101&lt;&gt;"",AI101&lt;&gt;"",AJ101&lt;&gt;"")),"×","○")</f>
        <v>○</v>
      </c>
      <c r="BJ101" s="2225" t="e">
        <f t="shared" ref="BJ101" si="845">SUMPRODUCT(1/COUNTIF(I101:AH101,"宿泊"))</f>
        <v>#DIV/0!</v>
      </c>
      <c r="BK101" s="2226" t="e">
        <f t="shared" ref="BK101" si="846">SUMPRODUCT(1/COUNTIF(I101:AH101,"日帰り"))</f>
        <v>#DIV/0!</v>
      </c>
      <c r="BL101" s="1381">
        <f t="shared" ref="BL101" si="847">COUNT(BJ101)-COUNT(BK101)</f>
        <v>0</v>
      </c>
      <c r="BM101" s="684"/>
    </row>
    <row r="102" spans="1:65" ht="14.1" customHeight="1" x14ac:dyDescent="0.15">
      <c r="A102" s="652"/>
      <c r="B102" s="2174"/>
      <c r="C102" s="2117"/>
      <c r="D102" s="2007"/>
      <c r="E102" s="2005"/>
      <c r="F102" s="2042"/>
      <c r="G102" s="2119"/>
      <c r="H102" s="2107"/>
      <c r="I102" s="2112"/>
      <c r="J102" s="2113"/>
      <c r="K102" s="2105"/>
      <c r="L102" s="2127"/>
      <c r="M102" s="2112"/>
      <c r="N102" s="2113"/>
      <c r="O102" s="2105"/>
      <c r="P102" s="2105"/>
      <c r="Q102" s="2107"/>
      <c r="R102" s="2112"/>
      <c r="S102" s="2113"/>
      <c r="T102" s="2105"/>
      <c r="U102" s="2105"/>
      <c r="V102" s="2107"/>
      <c r="W102" s="2112"/>
      <c r="X102" s="2113"/>
      <c r="Y102" s="2105"/>
      <c r="Z102" s="2105"/>
      <c r="AA102" s="2107"/>
      <c r="AB102" s="2112"/>
      <c r="AC102" s="2113"/>
      <c r="AD102" s="2105"/>
      <c r="AE102" s="2105"/>
      <c r="AF102" s="2107"/>
      <c r="AG102" s="2112"/>
      <c r="AH102" s="2113"/>
      <c r="AI102" s="2105"/>
      <c r="AJ102" s="2105"/>
      <c r="AK102" s="2011"/>
      <c r="AL102" s="2012"/>
      <c r="AM102" s="2012"/>
      <c r="AN102" s="2013"/>
      <c r="AO102" s="2011"/>
      <c r="AP102" s="2012"/>
      <c r="AQ102" s="2012"/>
      <c r="AR102" s="2013"/>
      <c r="AS102" s="651"/>
      <c r="AT102" s="652"/>
      <c r="AU102" s="1983"/>
      <c r="AV102" s="1983"/>
      <c r="AW102" s="1983"/>
      <c r="AX102" s="1983"/>
      <c r="AY102" s="1983"/>
      <c r="AZ102" s="1983"/>
      <c r="BA102" s="1983"/>
      <c r="BB102" s="654"/>
      <c r="BC102" s="654"/>
      <c r="BD102" s="652"/>
      <c r="BE102" s="652"/>
      <c r="BF102" s="652"/>
      <c r="BG102" s="652"/>
      <c r="BH102" s="652"/>
      <c r="BI102" s="652"/>
      <c r="BJ102" s="2225"/>
      <c r="BK102" s="2226"/>
      <c r="BL102" s="1381"/>
      <c r="BM102" s="684"/>
    </row>
    <row r="103" spans="1:65" ht="14.1" customHeight="1" x14ac:dyDescent="0.15">
      <c r="A103" s="652" t="str">
        <f t="shared" ref="A103" si="848">IF(AND(D103="",D105&lt;&gt;""),"×","○")</f>
        <v>○</v>
      </c>
      <c r="B103" s="2174" t="str">
        <f t="shared" ref="B103" si="849">IF(AND(AT103="○",BB103="○",BC103="○",A103="○"),"○","×")</f>
        <v>○</v>
      </c>
      <c r="C103" s="2116">
        <v>45</v>
      </c>
      <c r="D103" s="2006"/>
      <c r="E103" s="2004"/>
      <c r="F103" s="2041"/>
      <c r="G103" s="2118"/>
      <c r="H103" s="2106"/>
      <c r="I103" s="2141"/>
      <c r="J103" s="2142"/>
      <c r="K103" s="2104"/>
      <c r="L103" s="2140"/>
      <c r="M103" s="2110"/>
      <c r="N103" s="2111"/>
      <c r="O103" s="2104"/>
      <c r="P103" s="2104"/>
      <c r="Q103" s="2106"/>
      <c r="R103" s="2110"/>
      <c r="S103" s="2111"/>
      <c r="T103" s="2104"/>
      <c r="U103" s="2104"/>
      <c r="V103" s="2106"/>
      <c r="W103" s="2110"/>
      <c r="X103" s="2111"/>
      <c r="Y103" s="2104"/>
      <c r="Z103" s="2104"/>
      <c r="AA103" s="2106"/>
      <c r="AB103" s="2110"/>
      <c r="AC103" s="2111"/>
      <c r="AD103" s="2104"/>
      <c r="AE103" s="2104"/>
      <c r="AF103" s="2106"/>
      <c r="AG103" s="2110"/>
      <c r="AH103" s="2111"/>
      <c r="AI103" s="2104"/>
      <c r="AJ103" s="2104"/>
      <c r="AK103" s="2038"/>
      <c r="AL103" s="2039"/>
      <c r="AM103" s="2039"/>
      <c r="AN103" s="2040"/>
      <c r="AO103" s="2008"/>
      <c r="AP103" s="2009"/>
      <c r="AQ103" s="2009"/>
      <c r="AR103" s="2010"/>
      <c r="AS103" s="651"/>
      <c r="AT103" s="652" t="str">
        <f t="shared" ref="AT103" si="850">IF(OR(AND(D103&lt;&gt;"",OR(AND(E103&lt;&gt;"",F103&lt;&gt;"",OR(G103&lt;&gt;"",H103&lt;&gt;"")),AND(E103="",F103="バス・カメラマン等"))),AND(D103="",E103="",F103="",OR(G103="",H103=""))),"○","×")</f>
        <v>○</v>
      </c>
      <c r="AU103" s="1983" t="str">
        <f t="shared" ref="AU103" si="851">IF(AND(E103&lt;&gt;"",E103&lt;=2),"2歳児以下","")</f>
        <v/>
      </c>
      <c r="AV103" s="1983" t="str">
        <f t="shared" ref="AV103" si="852">IF(OR(AND(3&lt;=E103,E103&lt;=6),COUNTIF(E103, "幼*"),COUNTIF(E103, "年少"),COUNTIF(E103, "年中"),COUNTIF(E103, "年長")),"3歳-学齢前","")</f>
        <v/>
      </c>
      <c r="AW103" s="1983" t="str">
        <f t="shared" ref="AW103" si="853">IF(OR(AND(6&lt;=E103,E103&lt;=12),COUNTIF(E103, "小*")),"小学生","")</f>
        <v/>
      </c>
      <c r="AX103" s="1983" t="str">
        <f t="shared" ref="AX103" si="854">IF(OR(AND(12&lt;=E103,E103&lt;=15),COUNTIF(E103, "中*")),"中学生","")</f>
        <v/>
      </c>
      <c r="AY103" s="1983" t="str">
        <f t="shared" ref="AY103" si="855">IF(OR(AND(15&lt;=E103,E103&lt;=18),COUNTIF(E103, "高*")),"高校生(～18歳)","")</f>
        <v/>
      </c>
      <c r="AZ103" s="1983" t="str">
        <f t="shared" ref="AZ103" si="856">IF(OR(19&lt;=E103,COUNTIF(E103, "大*"),COUNTIF(E103, "*院*"),COUNTIF(E103, "*専*")),"一般(19歳～)","")</f>
        <v/>
      </c>
      <c r="BA103" s="1983" t="s">
        <v>475</v>
      </c>
      <c r="BB103" s="652" t="str">
        <f t="shared" ref="BB103" si="857">IF(OR(AND(D103="",I103="",M103="",R103="",W103="",AB103="",AG103=""),AND(D103&lt;&gt;"",OR(I103&lt;&gt;"",M103&lt;&gt;"",R103&lt;&gt;"",W103&lt;&gt;"",AB103&lt;&gt;"",AG103&lt;&gt;""))),"○","×")</f>
        <v>○</v>
      </c>
      <c r="BC103" s="652" t="str">
        <f t="shared" ref="BC103" si="858">IF(AND(BD103="○",BE103="○",BF103="○",BG103="○",BH103="○",BI103="○"),"○","×")</f>
        <v>○</v>
      </c>
      <c r="BD103" s="653" t="str">
        <f t="shared" ref="BD103" si="859">IF(AND($I$7=" ",OR(I103&lt;&gt;"",K103&lt;&gt;"",L103&lt;&gt;"")),"×","○")</f>
        <v>○</v>
      </c>
      <c r="BE103" s="653" t="str">
        <f t="shared" ref="BE103" si="860">IF(AND($M$7=" ",OR(M103&lt;&gt;"",O103&lt;&gt;"",P103&lt;&gt;"",Q103&lt;&gt;"")),"×","○")</f>
        <v>○</v>
      </c>
      <c r="BF103" s="653" t="str">
        <f t="shared" ref="BF103" si="861">IF(AND($R$7=" ",OR(R103&lt;&gt;"",T103&lt;&gt;"",U103&lt;&gt;"",V103&lt;&gt;"")),"×","○")</f>
        <v>○</v>
      </c>
      <c r="BG103" s="653" t="str">
        <f t="shared" ref="BG103" si="862">IF(AND($W$7=" ",OR(W103&lt;&gt;"",Y103&lt;&gt;"",Z103&lt;&gt;"",AA103&lt;&gt;"")),"×","○")</f>
        <v>○</v>
      </c>
      <c r="BH103" s="653" t="str">
        <f t="shared" ref="BH103" si="863">IF(AND($AB$7=" ",OR(AB103&lt;&gt;"",AD103&lt;&gt;"",AE103&lt;&gt;"",AF103&lt;&gt;"")),"×","○")</f>
        <v>○</v>
      </c>
      <c r="BI103" s="653" t="str">
        <f t="shared" ref="BI103" si="864">IF(AND($AG$7=" ",OR(AG103&lt;&gt;"",AI103&lt;&gt;"",AJ103&lt;&gt;"")),"×","○")</f>
        <v>○</v>
      </c>
      <c r="BJ103" s="2225" t="e">
        <f t="shared" ref="BJ103" si="865">SUMPRODUCT(1/COUNTIF(I103:AH103,"宿泊"))</f>
        <v>#DIV/0!</v>
      </c>
      <c r="BK103" s="2226" t="e">
        <f t="shared" ref="BK103" si="866">SUMPRODUCT(1/COUNTIF(I103:AH103,"日帰り"))</f>
        <v>#DIV/0!</v>
      </c>
      <c r="BL103" s="1381">
        <f t="shared" ref="BL103" si="867">COUNT(BJ103)-COUNT(BK103)</f>
        <v>0</v>
      </c>
      <c r="BM103" s="684"/>
    </row>
    <row r="104" spans="1:65" ht="14.1" customHeight="1" x14ac:dyDescent="0.15">
      <c r="A104" s="652"/>
      <c r="B104" s="2174"/>
      <c r="C104" s="2117"/>
      <c r="D104" s="2007"/>
      <c r="E104" s="2005"/>
      <c r="F104" s="2042"/>
      <c r="G104" s="2119"/>
      <c r="H104" s="2107"/>
      <c r="I104" s="2112"/>
      <c r="J104" s="2113"/>
      <c r="K104" s="2105"/>
      <c r="L104" s="2127"/>
      <c r="M104" s="2112"/>
      <c r="N104" s="2113"/>
      <c r="O104" s="2105"/>
      <c r="P104" s="2105"/>
      <c r="Q104" s="2107"/>
      <c r="R104" s="2112"/>
      <c r="S104" s="2113"/>
      <c r="T104" s="2105"/>
      <c r="U104" s="2105"/>
      <c r="V104" s="2107"/>
      <c r="W104" s="2112"/>
      <c r="X104" s="2113"/>
      <c r="Y104" s="2105"/>
      <c r="Z104" s="2105"/>
      <c r="AA104" s="2107"/>
      <c r="AB104" s="2112"/>
      <c r="AC104" s="2113"/>
      <c r="AD104" s="2105"/>
      <c r="AE104" s="2105"/>
      <c r="AF104" s="2107"/>
      <c r="AG104" s="2112"/>
      <c r="AH104" s="2113"/>
      <c r="AI104" s="2105"/>
      <c r="AJ104" s="2105"/>
      <c r="AK104" s="2011"/>
      <c r="AL104" s="2012"/>
      <c r="AM104" s="2012"/>
      <c r="AN104" s="2013"/>
      <c r="AO104" s="2011"/>
      <c r="AP104" s="2012"/>
      <c r="AQ104" s="2012"/>
      <c r="AR104" s="2013"/>
      <c r="AS104" s="651"/>
      <c r="AT104" s="652"/>
      <c r="AU104" s="1983"/>
      <c r="AV104" s="1983"/>
      <c r="AW104" s="1983"/>
      <c r="AX104" s="1983"/>
      <c r="AY104" s="1983"/>
      <c r="AZ104" s="1983"/>
      <c r="BA104" s="1983"/>
      <c r="BB104" s="654"/>
      <c r="BC104" s="654"/>
      <c r="BD104" s="652"/>
      <c r="BE104" s="652"/>
      <c r="BF104" s="652"/>
      <c r="BG104" s="652"/>
      <c r="BH104" s="652"/>
      <c r="BI104" s="652"/>
      <c r="BJ104" s="2225"/>
      <c r="BK104" s="2226"/>
      <c r="BL104" s="1381"/>
      <c r="BM104" s="684"/>
    </row>
    <row r="105" spans="1:65" ht="14.1" customHeight="1" x14ac:dyDescent="0.15">
      <c r="A105" s="652" t="str">
        <f t="shared" ref="A105" si="868">IF(AND(D105="",D107&lt;&gt;""),"×","○")</f>
        <v>○</v>
      </c>
      <c r="B105" s="2174" t="str">
        <f t="shared" ref="B105" si="869">IF(AND(AT105="○",BB105="○",BC105="○",A105="○"),"○","×")</f>
        <v>○</v>
      </c>
      <c r="C105" s="2143">
        <v>46</v>
      </c>
      <c r="D105" s="2006"/>
      <c r="E105" s="2004"/>
      <c r="F105" s="2041"/>
      <c r="G105" s="2118"/>
      <c r="H105" s="2106"/>
      <c r="I105" s="2141"/>
      <c r="J105" s="2142"/>
      <c r="K105" s="2104"/>
      <c r="L105" s="2140"/>
      <c r="M105" s="2110"/>
      <c r="N105" s="2111"/>
      <c r="O105" s="2104"/>
      <c r="P105" s="2104"/>
      <c r="Q105" s="2106"/>
      <c r="R105" s="2110"/>
      <c r="S105" s="2111"/>
      <c r="T105" s="2104"/>
      <c r="U105" s="2104"/>
      <c r="V105" s="2106"/>
      <c r="W105" s="2110"/>
      <c r="X105" s="2111"/>
      <c r="Y105" s="2104"/>
      <c r="Z105" s="2104"/>
      <c r="AA105" s="2106"/>
      <c r="AB105" s="2110"/>
      <c r="AC105" s="2111"/>
      <c r="AD105" s="2104"/>
      <c r="AE105" s="2104"/>
      <c r="AF105" s="2106"/>
      <c r="AG105" s="2110"/>
      <c r="AH105" s="2111"/>
      <c r="AI105" s="2104"/>
      <c r="AJ105" s="2104"/>
      <c r="AK105" s="2038"/>
      <c r="AL105" s="2039"/>
      <c r="AM105" s="2039"/>
      <c r="AN105" s="2040"/>
      <c r="AO105" s="2008"/>
      <c r="AP105" s="2009"/>
      <c r="AQ105" s="2009"/>
      <c r="AR105" s="2010"/>
      <c r="AS105" s="651"/>
      <c r="AT105" s="652" t="str">
        <f t="shared" ref="AT105" si="870">IF(OR(AND(D105&lt;&gt;"",OR(AND(E105&lt;&gt;"",F105&lt;&gt;"",OR(G105&lt;&gt;"",H105&lt;&gt;"")),AND(E105="",F105="バス・カメラマン等"))),AND(D105="",E105="",F105="",OR(G105="",H105=""))),"○","×")</f>
        <v>○</v>
      </c>
      <c r="AU105" s="1983" t="str">
        <f t="shared" ref="AU105" si="871">IF(AND(E105&lt;&gt;"",E105&lt;=2),"2歳児以下","")</f>
        <v/>
      </c>
      <c r="AV105" s="1983" t="str">
        <f t="shared" ref="AV105" si="872">IF(OR(AND(3&lt;=E105,E105&lt;=6),COUNTIF(E105, "幼*"),COUNTIF(E105, "年少"),COUNTIF(E105, "年中"),COUNTIF(E105, "年長")),"3歳-学齢前","")</f>
        <v/>
      </c>
      <c r="AW105" s="1983" t="str">
        <f t="shared" ref="AW105" si="873">IF(OR(AND(6&lt;=E105,E105&lt;=12),COUNTIF(E105, "小*")),"小学生","")</f>
        <v/>
      </c>
      <c r="AX105" s="1983" t="str">
        <f t="shared" ref="AX105" si="874">IF(OR(AND(12&lt;=E105,E105&lt;=15),COUNTIF(E105, "中*")),"中学生","")</f>
        <v/>
      </c>
      <c r="AY105" s="1983" t="str">
        <f t="shared" ref="AY105" si="875">IF(OR(AND(15&lt;=E105,E105&lt;=18),COUNTIF(E105, "高*")),"高校生(～18歳)","")</f>
        <v/>
      </c>
      <c r="AZ105" s="1983" t="str">
        <f t="shared" ref="AZ105" si="876">IF(OR(19&lt;=E105,COUNTIF(E105, "大*"),COUNTIF(E105, "*院*"),COUNTIF(E105, "*専*")),"一般(19歳～)","")</f>
        <v/>
      </c>
      <c r="BA105" s="1983" t="s">
        <v>475</v>
      </c>
      <c r="BB105" s="652" t="str">
        <f t="shared" ref="BB105" si="877">IF(OR(AND(D105="",I105="",M105="",R105="",W105="",AB105="",AG105=""),AND(D105&lt;&gt;"",OR(I105&lt;&gt;"",M105&lt;&gt;"",R105&lt;&gt;"",W105&lt;&gt;"",AB105&lt;&gt;"",AG105&lt;&gt;""))),"○","×")</f>
        <v>○</v>
      </c>
      <c r="BC105" s="652" t="str">
        <f t="shared" ref="BC105" si="878">IF(AND(BD105="○",BE105="○",BF105="○",BG105="○",BH105="○",BI105="○"),"○","×")</f>
        <v>○</v>
      </c>
      <c r="BD105" s="653" t="str">
        <f t="shared" ref="BD105" si="879">IF(AND($I$7=" ",OR(I105&lt;&gt;"",K105&lt;&gt;"",L105&lt;&gt;"")),"×","○")</f>
        <v>○</v>
      </c>
      <c r="BE105" s="653" t="str">
        <f t="shared" ref="BE105" si="880">IF(AND($M$7=" ",OR(M105&lt;&gt;"",O105&lt;&gt;"",P105&lt;&gt;"",Q105&lt;&gt;"")),"×","○")</f>
        <v>○</v>
      </c>
      <c r="BF105" s="653" t="str">
        <f t="shared" ref="BF105" si="881">IF(AND($R$7=" ",OR(R105&lt;&gt;"",T105&lt;&gt;"",U105&lt;&gt;"",V105&lt;&gt;"")),"×","○")</f>
        <v>○</v>
      </c>
      <c r="BG105" s="653" t="str">
        <f t="shared" ref="BG105" si="882">IF(AND($W$7=" ",OR(W105&lt;&gt;"",Y105&lt;&gt;"",Z105&lt;&gt;"",AA105&lt;&gt;"")),"×","○")</f>
        <v>○</v>
      </c>
      <c r="BH105" s="653" t="str">
        <f t="shared" ref="BH105" si="883">IF(AND($AB$7=" ",OR(AB105&lt;&gt;"",AD105&lt;&gt;"",AE105&lt;&gt;"",AF105&lt;&gt;"")),"×","○")</f>
        <v>○</v>
      </c>
      <c r="BI105" s="653" t="str">
        <f t="shared" ref="BI105" si="884">IF(AND($AG$7=" ",OR(AG105&lt;&gt;"",AI105&lt;&gt;"",AJ105&lt;&gt;"")),"×","○")</f>
        <v>○</v>
      </c>
      <c r="BJ105" s="2225" t="e">
        <f t="shared" ref="BJ105" si="885">SUMPRODUCT(1/COUNTIF(I105:AH105,"宿泊"))</f>
        <v>#DIV/0!</v>
      </c>
      <c r="BK105" s="2226" t="e">
        <f t="shared" ref="BK105" si="886">SUMPRODUCT(1/COUNTIF(I105:AH105,"日帰り"))</f>
        <v>#DIV/0!</v>
      </c>
      <c r="BL105" s="1381">
        <f t="shared" ref="BL105" si="887">COUNT(BJ105)-COUNT(BK105)</f>
        <v>0</v>
      </c>
      <c r="BM105" s="684"/>
    </row>
    <row r="106" spans="1:65" ht="14.1" customHeight="1" x14ac:dyDescent="0.15">
      <c r="A106" s="652"/>
      <c r="B106" s="2174"/>
      <c r="C106" s="2144"/>
      <c r="D106" s="2007"/>
      <c r="E106" s="2005"/>
      <c r="F106" s="2042"/>
      <c r="G106" s="2119"/>
      <c r="H106" s="2107"/>
      <c r="I106" s="2112"/>
      <c r="J106" s="2113"/>
      <c r="K106" s="2105"/>
      <c r="L106" s="2127"/>
      <c r="M106" s="2112"/>
      <c r="N106" s="2113"/>
      <c r="O106" s="2105"/>
      <c r="P106" s="2105"/>
      <c r="Q106" s="2107"/>
      <c r="R106" s="2112"/>
      <c r="S106" s="2113"/>
      <c r="T106" s="2105"/>
      <c r="U106" s="2105"/>
      <c r="V106" s="2107"/>
      <c r="W106" s="2112"/>
      <c r="X106" s="2113"/>
      <c r="Y106" s="2105"/>
      <c r="Z106" s="2105"/>
      <c r="AA106" s="2107"/>
      <c r="AB106" s="2112"/>
      <c r="AC106" s="2113"/>
      <c r="AD106" s="2105"/>
      <c r="AE106" s="2105"/>
      <c r="AF106" s="2107"/>
      <c r="AG106" s="2112"/>
      <c r="AH106" s="2113"/>
      <c r="AI106" s="2105"/>
      <c r="AJ106" s="2105"/>
      <c r="AK106" s="2011"/>
      <c r="AL106" s="2012"/>
      <c r="AM106" s="2012"/>
      <c r="AN106" s="2013"/>
      <c r="AO106" s="2011"/>
      <c r="AP106" s="2012"/>
      <c r="AQ106" s="2012"/>
      <c r="AR106" s="2013"/>
      <c r="AS106" s="651"/>
      <c r="AT106" s="652"/>
      <c r="AU106" s="1983"/>
      <c r="AV106" s="1983"/>
      <c r="AW106" s="1983"/>
      <c r="AX106" s="1983"/>
      <c r="AY106" s="1983"/>
      <c r="AZ106" s="1983"/>
      <c r="BA106" s="1983"/>
      <c r="BB106" s="654"/>
      <c r="BC106" s="654"/>
      <c r="BD106" s="652"/>
      <c r="BE106" s="652"/>
      <c r="BF106" s="652"/>
      <c r="BG106" s="652"/>
      <c r="BH106" s="652"/>
      <c r="BI106" s="652"/>
      <c r="BJ106" s="2225"/>
      <c r="BK106" s="2226"/>
      <c r="BL106" s="1381"/>
      <c r="BM106" s="684"/>
    </row>
    <row r="107" spans="1:65" ht="14.1" customHeight="1" x14ac:dyDescent="0.15">
      <c r="A107" s="652" t="str">
        <f t="shared" ref="A107" si="888">IF(AND(D107="",D109&lt;&gt;""),"×","○")</f>
        <v>○</v>
      </c>
      <c r="B107" s="2174" t="str">
        <f t="shared" ref="B107" si="889">IF(AND(AT107="○",BB107="○",BC107="○",A107="○"),"○","×")</f>
        <v>○</v>
      </c>
      <c r="C107" s="2143">
        <v>47</v>
      </c>
      <c r="D107" s="2006"/>
      <c r="E107" s="2004"/>
      <c r="F107" s="2041"/>
      <c r="G107" s="2118"/>
      <c r="H107" s="2106"/>
      <c r="I107" s="2141"/>
      <c r="J107" s="2142"/>
      <c r="K107" s="2104"/>
      <c r="L107" s="2140"/>
      <c r="M107" s="2110"/>
      <c r="N107" s="2111"/>
      <c r="O107" s="2104"/>
      <c r="P107" s="2104"/>
      <c r="Q107" s="2106"/>
      <c r="R107" s="2110"/>
      <c r="S107" s="2111"/>
      <c r="T107" s="2104"/>
      <c r="U107" s="2104"/>
      <c r="V107" s="2106"/>
      <c r="W107" s="2110"/>
      <c r="X107" s="2111"/>
      <c r="Y107" s="2104"/>
      <c r="Z107" s="2104"/>
      <c r="AA107" s="2106"/>
      <c r="AB107" s="2110"/>
      <c r="AC107" s="2111"/>
      <c r="AD107" s="2104"/>
      <c r="AE107" s="2104"/>
      <c r="AF107" s="2106"/>
      <c r="AG107" s="2110"/>
      <c r="AH107" s="2111"/>
      <c r="AI107" s="2104"/>
      <c r="AJ107" s="2104"/>
      <c r="AK107" s="2038"/>
      <c r="AL107" s="2039"/>
      <c r="AM107" s="2039"/>
      <c r="AN107" s="2040"/>
      <c r="AO107" s="2008"/>
      <c r="AP107" s="2009"/>
      <c r="AQ107" s="2009"/>
      <c r="AR107" s="2010"/>
      <c r="AS107" s="651"/>
      <c r="AT107" s="652" t="str">
        <f t="shared" ref="AT107" si="890">IF(OR(AND(D107&lt;&gt;"",OR(AND(E107&lt;&gt;"",F107&lt;&gt;"",OR(G107&lt;&gt;"",H107&lt;&gt;"")),AND(E107="",F107="バス・カメラマン等"))),AND(D107="",E107="",F107="",OR(G107="",H107=""))),"○","×")</f>
        <v>○</v>
      </c>
      <c r="AU107" s="1983" t="str">
        <f t="shared" ref="AU107" si="891">IF(AND(E107&lt;&gt;"",E107&lt;=2),"2歳児以下","")</f>
        <v/>
      </c>
      <c r="AV107" s="1983" t="str">
        <f t="shared" ref="AV107" si="892">IF(OR(AND(3&lt;=E107,E107&lt;=6),COUNTIF(E107, "幼*"),COUNTIF(E107, "年少"),COUNTIF(E107, "年中"),COUNTIF(E107, "年長")),"3歳-学齢前","")</f>
        <v/>
      </c>
      <c r="AW107" s="1983" t="str">
        <f t="shared" ref="AW107" si="893">IF(OR(AND(6&lt;=E107,E107&lt;=12),COUNTIF(E107, "小*")),"小学生","")</f>
        <v/>
      </c>
      <c r="AX107" s="1983" t="str">
        <f t="shared" ref="AX107" si="894">IF(OR(AND(12&lt;=E107,E107&lt;=15),COUNTIF(E107, "中*")),"中学生","")</f>
        <v/>
      </c>
      <c r="AY107" s="1983" t="str">
        <f t="shared" ref="AY107" si="895">IF(OR(AND(15&lt;=E107,E107&lt;=18),COUNTIF(E107, "高*")),"高校生(～18歳)","")</f>
        <v/>
      </c>
      <c r="AZ107" s="1983" t="str">
        <f t="shared" ref="AZ107" si="896">IF(OR(19&lt;=E107,COUNTIF(E107, "大*"),COUNTIF(E107, "*院*"),COUNTIF(E107, "*専*")),"一般(19歳～)","")</f>
        <v/>
      </c>
      <c r="BA107" s="1983" t="s">
        <v>475</v>
      </c>
      <c r="BB107" s="652" t="str">
        <f t="shared" ref="BB107" si="897">IF(OR(AND(D107="",I107="",M107="",R107="",W107="",AB107="",AG107=""),AND(D107&lt;&gt;"",OR(I107&lt;&gt;"",M107&lt;&gt;"",R107&lt;&gt;"",W107&lt;&gt;"",AB107&lt;&gt;"",AG107&lt;&gt;""))),"○","×")</f>
        <v>○</v>
      </c>
      <c r="BC107" s="652" t="str">
        <f t="shared" ref="BC107" si="898">IF(AND(BD107="○",BE107="○",BF107="○",BG107="○",BH107="○",BI107="○"),"○","×")</f>
        <v>○</v>
      </c>
      <c r="BD107" s="653" t="str">
        <f t="shared" ref="BD107" si="899">IF(AND($I$7=" ",OR(I107&lt;&gt;"",K107&lt;&gt;"",L107&lt;&gt;"")),"×","○")</f>
        <v>○</v>
      </c>
      <c r="BE107" s="653" t="str">
        <f t="shared" ref="BE107" si="900">IF(AND($M$7=" ",OR(M107&lt;&gt;"",O107&lt;&gt;"",P107&lt;&gt;"",Q107&lt;&gt;"")),"×","○")</f>
        <v>○</v>
      </c>
      <c r="BF107" s="653" t="str">
        <f t="shared" ref="BF107" si="901">IF(AND($R$7=" ",OR(R107&lt;&gt;"",T107&lt;&gt;"",U107&lt;&gt;"",V107&lt;&gt;"")),"×","○")</f>
        <v>○</v>
      </c>
      <c r="BG107" s="653" t="str">
        <f t="shared" ref="BG107" si="902">IF(AND($W$7=" ",OR(W107&lt;&gt;"",Y107&lt;&gt;"",Z107&lt;&gt;"",AA107&lt;&gt;"")),"×","○")</f>
        <v>○</v>
      </c>
      <c r="BH107" s="653" t="str">
        <f t="shared" ref="BH107" si="903">IF(AND($AB$7=" ",OR(AB107&lt;&gt;"",AD107&lt;&gt;"",AE107&lt;&gt;"",AF107&lt;&gt;"")),"×","○")</f>
        <v>○</v>
      </c>
      <c r="BI107" s="653" t="str">
        <f t="shared" ref="BI107" si="904">IF(AND($AG$7=" ",OR(AG107&lt;&gt;"",AI107&lt;&gt;"",AJ107&lt;&gt;"")),"×","○")</f>
        <v>○</v>
      </c>
      <c r="BJ107" s="2225" t="e">
        <f t="shared" ref="BJ107" si="905">SUMPRODUCT(1/COUNTIF(I107:AH107,"宿泊"))</f>
        <v>#DIV/0!</v>
      </c>
      <c r="BK107" s="2226" t="e">
        <f t="shared" ref="BK107" si="906">SUMPRODUCT(1/COUNTIF(I107:AH107,"日帰り"))</f>
        <v>#DIV/0!</v>
      </c>
      <c r="BL107" s="1381">
        <f t="shared" ref="BL107" si="907">COUNT(BJ107)-COUNT(BK107)</f>
        <v>0</v>
      </c>
      <c r="BM107" s="684"/>
    </row>
    <row r="108" spans="1:65" ht="14.1" customHeight="1" x14ac:dyDescent="0.15">
      <c r="A108" s="652"/>
      <c r="B108" s="2174"/>
      <c r="C108" s="2144"/>
      <c r="D108" s="2007"/>
      <c r="E108" s="2005"/>
      <c r="F108" s="2042"/>
      <c r="G108" s="2119"/>
      <c r="H108" s="2107"/>
      <c r="I108" s="2112"/>
      <c r="J108" s="2113"/>
      <c r="K108" s="2105"/>
      <c r="L108" s="2127"/>
      <c r="M108" s="2112"/>
      <c r="N108" s="2113"/>
      <c r="O108" s="2105"/>
      <c r="P108" s="2105"/>
      <c r="Q108" s="2107"/>
      <c r="R108" s="2112"/>
      <c r="S108" s="2113"/>
      <c r="T108" s="2105"/>
      <c r="U108" s="2105"/>
      <c r="V108" s="2107"/>
      <c r="W108" s="2112"/>
      <c r="X108" s="2113"/>
      <c r="Y108" s="2105"/>
      <c r="Z108" s="2105"/>
      <c r="AA108" s="2107"/>
      <c r="AB108" s="2112"/>
      <c r="AC108" s="2113"/>
      <c r="AD108" s="2105"/>
      <c r="AE108" s="2105"/>
      <c r="AF108" s="2107"/>
      <c r="AG108" s="2112"/>
      <c r="AH108" s="2113"/>
      <c r="AI108" s="2105"/>
      <c r="AJ108" s="2105"/>
      <c r="AK108" s="2011"/>
      <c r="AL108" s="2012"/>
      <c r="AM108" s="2012"/>
      <c r="AN108" s="2013"/>
      <c r="AO108" s="2011"/>
      <c r="AP108" s="2012"/>
      <c r="AQ108" s="2012"/>
      <c r="AR108" s="2013"/>
      <c r="AS108" s="651"/>
      <c r="AT108" s="652"/>
      <c r="AU108" s="1983"/>
      <c r="AV108" s="1983"/>
      <c r="AW108" s="1983"/>
      <c r="AX108" s="1983"/>
      <c r="AY108" s="1983"/>
      <c r="AZ108" s="1983"/>
      <c r="BA108" s="1983"/>
      <c r="BB108" s="654"/>
      <c r="BC108" s="654"/>
      <c r="BD108" s="652"/>
      <c r="BE108" s="652"/>
      <c r="BF108" s="652"/>
      <c r="BG108" s="652"/>
      <c r="BH108" s="652"/>
      <c r="BI108" s="652"/>
      <c r="BJ108" s="2225"/>
      <c r="BK108" s="2226"/>
      <c r="BL108" s="1381"/>
      <c r="BM108" s="684"/>
    </row>
    <row r="109" spans="1:65" ht="14.1" customHeight="1" x14ac:dyDescent="0.15">
      <c r="A109" s="652" t="str">
        <f t="shared" ref="A109" si="908">IF(AND(D109="",D111&lt;&gt;""),"×","○")</f>
        <v>○</v>
      </c>
      <c r="B109" s="2174" t="str">
        <f t="shared" ref="B109" si="909">IF(AND(AT109="○",BB109="○",BC109="○",A109="○"),"○","×")</f>
        <v>○</v>
      </c>
      <c r="C109" s="2143">
        <v>48</v>
      </c>
      <c r="D109" s="2006"/>
      <c r="E109" s="2004"/>
      <c r="F109" s="2041"/>
      <c r="G109" s="2118"/>
      <c r="H109" s="2106"/>
      <c r="I109" s="2141"/>
      <c r="J109" s="2142"/>
      <c r="K109" s="2104"/>
      <c r="L109" s="2140"/>
      <c r="M109" s="2110"/>
      <c r="N109" s="2111"/>
      <c r="O109" s="2104"/>
      <c r="P109" s="2104"/>
      <c r="Q109" s="2106"/>
      <c r="R109" s="2110"/>
      <c r="S109" s="2111"/>
      <c r="T109" s="2104"/>
      <c r="U109" s="2104"/>
      <c r="V109" s="2106"/>
      <c r="W109" s="2110"/>
      <c r="X109" s="2111"/>
      <c r="Y109" s="2104"/>
      <c r="Z109" s="2104"/>
      <c r="AA109" s="2106"/>
      <c r="AB109" s="2110"/>
      <c r="AC109" s="2111"/>
      <c r="AD109" s="2104"/>
      <c r="AE109" s="2104"/>
      <c r="AF109" s="2106"/>
      <c r="AG109" s="2110"/>
      <c r="AH109" s="2111"/>
      <c r="AI109" s="2104"/>
      <c r="AJ109" s="2104"/>
      <c r="AK109" s="2038"/>
      <c r="AL109" s="2039"/>
      <c r="AM109" s="2039"/>
      <c r="AN109" s="2040"/>
      <c r="AO109" s="2008"/>
      <c r="AP109" s="2009"/>
      <c r="AQ109" s="2009"/>
      <c r="AR109" s="2010"/>
      <c r="AS109" s="651"/>
      <c r="AT109" s="652" t="str">
        <f t="shared" ref="AT109" si="910">IF(OR(AND(D109&lt;&gt;"",OR(AND(E109&lt;&gt;"",F109&lt;&gt;"",OR(G109&lt;&gt;"",H109&lt;&gt;"")),AND(E109="",F109="バス・カメラマン等"))),AND(D109="",E109="",F109="",OR(G109="",H109=""))),"○","×")</f>
        <v>○</v>
      </c>
      <c r="AU109" s="1983" t="str">
        <f t="shared" ref="AU109" si="911">IF(AND(E109&lt;&gt;"",E109&lt;=2),"2歳児以下","")</f>
        <v/>
      </c>
      <c r="AV109" s="1983" t="str">
        <f t="shared" ref="AV109" si="912">IF(OR(AND(3&lt;=E109,E109&lt;=6),COUNTIF(E109, "幼*"),COUNTIF(E109, "年少"),COUNTIF(E109, "年中"),COUNTIF(E109, "年長")),"3歳-学齢前","")</f>
        <v/>
      </c>
      <c r="AW109" s="1983" t="str">
        <f t="shared" ref="AW109" si="913">IF(OR(AND(6&lt;=E109,E109&lt;=12),COUNTIF(E109, "小*")),"小学生","")</f>
        <v/>
      </c>
      <c r="AX109" s="1983" t="str">
        <f t="shared" ref="AX109" si="914">IF(OR(AND(12&lt;=E109,E109&lt;=15),COUNTIF(E109, "中*")),"中学生","")</f>
        <v/>
      </c>
      <c r="AY109" s="1983" t="str">
        <f t="shared" ref="AY109" si="915">IF(OR(AND(15&lt;=E109,E109&lt;=18),COUNTIF(E109, "高*")),"高校生(～18歳)","")</f>
        <v/>
      </c>
      <c r="AZ109" s="1983" t="str">
        <f t="shared" ref="AZ109" si="916">IF(OR(19&lt;=E109,COUNTIF(E109, "大*"),COUNTIF(E109, "*院*"),COUNTIF(E109, "*専*")),"一般(19歳～)","")</f>
        <v/>
      </c>
      <c r="BA109" s="1983" t="s">
        <v>475</v>
      </c>
      <c r="BB109" s="652" t="str">
        <f t="shared" ref="BB109" si="917">IF(OR(AND(D109="",I109="",M109="",R109="",W109="",AB109="",AG109=""),AND(D109&lt;&gt;"",OR(I109&lt;&gt;"",M109&lt;&gt;"",R109&lt;&gt;"",W109&lt;&gt;"",AB109&lt;&gt;"",AG109&lt;&gt;""))),"○","×")</f>
        <v>○</v>
      </c>
      <c r="BC109" s="652" t="str">
        <f t="shared" ref="BC109" si="918">IF(AND(BD109="○",BE109="○",BF109="○",BG109="○",BH109="○",BI109="○"),"○","×")</f>
        <v>○</v>
      </c>
      <c r="BD109" s="653" t="str">
        <f t="shared" ref="BD109" si="919">IF(AND($I$7=" ",OR(I109&lt;&gt;"",K109&lt;&gt;"",L109&lt;&gt;"")),"×","○")</f>
        <v>○</v>
      </c>
      <c r="BE109" s="653" t="str">
        <f t="shared" ref="BE109" si="920">IF(AND($M$7=" ",OR(M109&lt;&gt;"",O109&lt;&gt;"",P109&lt;&gt;"",Q109&lt;&gt;"")),"×","○")</f>
        <v>○</v>
      </c>
      <c r="BF109" s="653" t="str">
        <f t="shared" ref="BF109" si="921">IF(AND($R$7=" ",OR(R109&lt;&gt;"",T109&lt;&gt;"",U109&lt;&gt;"",V109&lt;&gt;"")),"×","○")</f>
        <v>○</v>
      </c>
      <c r="BG109" s="653" t="str">
        <f t="shared" ref="BG109" si="922">IF(AND($W$7=" ",OR(W109&lt;&gt;"",Y109&lt;&gt;"",Z109&lt;&gt;"",AA109&lt;&gt;"")),"×","○")</f>
        <v>○</v>
      </c>
      <c r="BH109" s="653" t="str">
        <f t="shared" ref="BH109" si="923">IF(AND($AB$7=" ",OR(AB109&lt;&gt;"",AD109&lt;&gt;"",AE109&lt;&gt;"",AF109&lt;&gt;"")),"×","○")</f>
        <v>○</v>
      </c>
      <c r="BI109" s="653" t="str">
        <f t="shared" ref="BI109" si="924">IF(AND($AG$7=" ",OR(AG109&lt;&gt;"",AI109&lt;&gt;"",AJ109&lt;&gt;"")),"×","○")</f>
        <v>○</v>
      </c>
      <c r="BJ109" s="2225" t="e">
        <f t="shared" ref="BJ109" si="925">SUMPRODUCT(1/COUNTIF(I109:AH109,"宿泊"))</f>
        <v>#DIV/0!</v>
      </c>
      <c r="BK109" s="2226" t="e">
        <f t="shared" ref="BK109" si="926">SUMPRODUCT(1/COUNTIF(I109:AH109,"日帰り"))</f>
        <v>#DIV/0!</v>
      </c>
      <c r="BL109" s="1381">
        <f t="shared" ref="BL109" si="927">COUNT(BJ109)-COUNT(BK109)</f>
        <v>0</v>
      </c>
      <c r="BM109" s="684"/>
    </row>
    <row r="110" spans="1:65" ht="14.1" customHeight="1" x14ac:dyDescent="0.15">
      <c r="A110" s="652"/>
      <c r="B110" s="2174"/>
      <c r="C110" s="2144"/>
      <c r="D110" s="2007"/>
      <c r="E110" s="2005"/>
      <c r="F110" s="2042"/>
      <c r="G110" s="2119"/>
      <c r="H110" s="2107"/>
      <c r="I110" s="2112"/>
      <c r="J110" s="2113"/>
      <c r="K110" s="2105"/>
      <c r="L110" s="2127"/>
      <c r="M110" s="2112"/>
      <c r="N110" s="2113"/>
      <c r="O110" s="2105"/>
      <c r="P110" s="2105"/>
      <c r="Q110" s="2107"/>
      <c r="R110" s="2112"/>
      <c r="S110" s="2113"/>
      <c r="T110" s="2105"/>
      <c r="U110" s="2105"/>
      <c r="V110" s="2107"/>
      <c r="W110" s="2112"/>
      <c r="X110" s="2113"/>
      <c r="Y110" s="2105"/>
      <c r="Z110" s="2105"/>
      <c r="AA110" s="2107"/>
      <c r="AB110" s="2112"/>
      <c r="AC110" s="2113"/>
      <c r="AD110" s="2105"/>
      <c r="AE110" s="2105"/>
      <c r="AF110" s="2107"/>
      <c r="AG110" s="2112"/>
      <c r="AH110" s="2113"/>
      <c r="AI110" s="2105"/>
      <c r="AJ110" s="2105"/>
      <c r="AK110" s="2011"/>
      <c r="AL110" s="2012"/>
      <c r="AM110" s="2012"/>
      <c r="AN110" s="2013"/>
      <c r="AO110" s="2011"/>
      <c r="AP110" s="2012"/>
      <c r="AQ110" s="2012"/>
      <c r="AR110" s="2013"/>
      <c r="AS110" s="651"/>
      <c r="AT110" s="652"/>
      <c r="AU110" s="1983"/>
      <c r="AV110" s="1983"/>
      <c r="AW110" s="1983"/>
      <c r="AX110" s="1983"/>
      <c r="AY110" s="1983"/>
      <c r="AZ110" s="1983"/>
      <c r="BA110" s="1983"/>
      <c r="BB110" s="654"/>
      <c r="BC110" s="654"/>
      <c r="BD110" s="652"/>
      <c r="BE110" s="652"/>
      <c r="BF110" s="652"/>
      <c r="BG110" s="652"/>
      <c r="BH110" s="652"/>
      <c r="BI110" s="652"/>
      <c r="BJ110" s="2225"/>
      <c r="BK110" s="2226"/>
      <c r="BL110" s="1381"/>
      <c r="BM110" s="684"/>
    </row>
    <row r="111" spans="1:65" ht="14.1" customHeight="1" x14ac:dyDescent="0.15">
      <c r="A111" s="652" t="str">
        <f t="shared" ref="A111" si="928">IF(AND(D111="",D113&lt;&gt;""),"×","○")</f>
        <v>○</v>
      </c>
      <c r="B111" s="2174" t="str">
        <f t="shared" ref="B111" si="929">IF(AND(AT111="○",BB111="○",BC111="○",A111="○"),"○","×")</f>
        <v>○</v>
      </c>
      <c r="C111" s="2143">
        <v>49</v>
      </c>
      <c r="D111" s="2006"/>
      <c r="E111" s="2004"/>
      <c r="F111" s="2041"/>
      <c r="G111" s="2118"/>
      <c r="H111" s="2106"/>
      <c r="I111" s="2141"/>
      <c r="J111" s="2142"/>
      <c r="K111" s="2104"/>
      <c r="L111" s="2140"/>
      <c r="M111" s="2110"/>
      <c r="N111" s="2111"/>
      <c r="O111" s="2104"/>
      <c r="P111" s="2104"/>
      <c r="Q111" s="2106"/>
      <c r="R111" s="2110"/>
      <c r="S111" s="2111"/>
      <c r="T111" s="2104"/>
      <c r="U111" s="2104"/>
      <c r="V111" s="2106"/>
      <c r="W111" s="2110"/>
      <c r="X111" s="2111"/>
      <c r="Y111" s="2104"/>
      <c r="Z111" s="2104"/>
      <c r="AA111" s="2106"/>
      <c r="AB111" s="2110"/>
      <c r="AC111" s="2111"/>
      <c r="AD111" s="2104"/>
      <c r="AE111" s="2104"/>
      <c r="AF111" s="2106"/>
      <c r="AG111" s="2110"/>
      <c r="AH111" s="2111"/>
      <c r="AI111" s="2104"/>
      <c r="AJ111" s="2104"/>
      <c r="AK111" s="2038"/>
      <c r="AL111" s="2039"/>
      <c r="AM111" s="2039"/>
      <c r="AN111" s="2040"/>
      <c r="AO111" s="2008"/>
      <c r="AP111" s="2009"/>
      <c r="AQ111" s="2009"/>
      <c r="AR111" s="2010"/>
      <c r="AS111" s="651"/>
      <c r="AT111" s="652" t="str">
        <f t="shared" ref="AT111" si="930">IF(OR(AND(D111&lt;&gt;"",OR(AND(E111&lt;&gt;"",F111&lt;&gt;"",OR(G111&lt;&gt;"",H111&lt;&gt;"")),AND(E111="",F111="バス・カメラマン等"))),AND(D111="",E111="",F111="",OR(G111="",H111=""))),"○","×")</f>
        <v>○</v>
      </c>
      <c r="AU111" s="1983" t="str">
        <f t="shared" ref="AU111" si="931">IF(AND(E111&lt;&gt;"",E111&lt;=2),"2歳児以下","")</f>
        <v/>
      </c>
      <c r="AV111" s="1983" t="str">
        <f t="shared" ref="AV111" si="932">IF(OR(AND(3&lt;=E111,E111&lt;=6),COUNTIF(E111, "幼*"),COUNTIF(E111, "年少"),COUNTIF(E111, "年中"),COUNTIF(E111, "年長")),"3歳-学齢前","")</f>
        <v/>
      </c>
      <c r="AW111" s="1983" t="str">
        <f t="shared" ref="AW111" si="933">IF(OR(AND(6&lt;=E111,E111&lt;=12),COUNTIF(E111, "小*")),"小学生","")</f>
        <v/>
      </c>
      <c r="AX111" s="1983" t="str">
        <f t="shared" ref="AX111" si="934">IF(OR(AND(12&lt;=E111,E111&lt;=15),COUNTIF(E111, "中*")),"中学生","")</f>
        <v/>
      </c>
      <c r="AY111" s="1983" t="str">
        <f t="shared" ref="AY111" si="935">IF(OR(AND(15&lt;=E111,E111&lt;=18),COUNTIF(E111, "高*")),"高校生(～18歳)","")</f>
        <v/>
      </c>
      <c r="AZ111" s="1983" t="str">
        <f t="shared" ref="AZ111" si="936">IF(OR(19&lt;=E111,COUNTIF(E111, "大*"),COUNTIF(E111, "*院*"),COUNTIF(E111, "*専*")),"一般(19歳～)","")</f>
        <v/>
      </c>
      <c r="BA111" s="1983" t="s">
        <v>475</v>
      </c>
      <c r="BB111" s="652" t="str">
        <f t="shared" ref="BB111" si="937">IF(OR(AND(D111="",I111="",M111="",R111="",W111="",AB111="",AG111=""),AND(D111&lt;&gt;"",OR(I111&lt;&gt;"",M111&lt;&gt;"",R111&lt;&gt;"",W111&lt;&gt;"",AB111&lt;&gt;"",AG111&lt;&gt;""))),"○","×")</f>
        <v>○</v>
      </c>
      <c r="BC111" s="652" t="str">
        <f t="shared" ref="BC111" si="938">IF(AND(BD111="○",BE111="○",BF111="○",BG111="○",BH111="○",BI111="○"),"○","×")</f>
        <v>○</v>
      </c>
      <c r="BD111" s="653" t="str">
        <f t="shared" ref="BD111" si="939">IF(AND($I$7=" ",OR(I111&lt;&gt;"",K111&lt;&gt;"",L111&lt;&gt;"")),"×","○")</f>
        <v>○</v>
      </c>
      <c r="BE111" s="653" t="str">
        <f t="shared" ref="BE111" si="940">IF(AND($M$7=" ",OR(M111&lt;&gt;"",O111&lt;&gt;"",P111&lt;&gt;"",Q111&lt;&gt;"")),"×","○")</f>
        <v>○</v>
      </c>
      <c r="BF111" s="653" t="str">
        <f t="shared" ref="BF111" si="941">IF(AND($R$7=" ",OR(R111&lt;&gt;"",T111&lt;&gt;"",U111&lt;&gt;"",V111&lt;&gt;"")),"×","○")</f>
        <v>○</v>
      </c>
      <c r="BG111" s="653" t="str">
        <f t="shared" ref="BG111" si="942">IF(AND($W$7=" ",OR(W111&lt;&gt;"",Y111&lt;&gt;"",Z111&lt;&gt;"",AA111&lt;&gt;"")),"×","○")</f>
        <v>○</v>
      </c>
      <c r="BH111" s="653" t="str">
        <f t="shared" ref="BH111" si="943">IF(AND($AB$7=" ",OR(AB111&lt;&gt;"",AD111&lt;&gt;"",AE111&lt;&gt;"",AF111&lt;&gt;"")),"×","○")</f>
        <v>○</v>
      </c>
      <c r="BI111" s="653" t="str">
        <f t="shared" ref="BI111" si="944">IF(AND($AG$7=" ",OR(AG111&lt;&gt;"",AI111&lt;&gt;"",AJ111&lt;&gt;"")),"×","○")</f>
        <v>○</v>
      </c>
      <c r="BJ111" s="2225" t="e">
        <f t="shared" ref="BJ111" si="945">SUMPRODUCT(1/COUNTIF(I111:AH111,"宿泊"))</f>
        <v>#DIV/0!</v>
      </c>
      <c r="BK111" s="2226" t="e">
        <f t="shared" ref="BK111" si="946">SUMPRODUCT(1/COUNTIF(I111:AH111,"日帰り"))</f>
        <v>#DIV/0!</v>
      </c>
      <c r="BL111" s="1381">
        <f t="shared" ref="BL111" si="947">COUNT(BJ111)-COUNT(BK111)</f>
        <v>0</v>
      </c>
      <c r="BM111" s="684"/>
    </row>
    <row r="112" spans="1:65" ht="14.1" customHeight="1" x14ac:dyDescent="0.15">
      <c r="A112" s="652"/>
      <c r="B112" s="2174"/>
      <c r="C112" s="2144"/>
      <c r="D112" s="2007"/>
      <c r="E112" s="2005"/>
      <c r="F112" s="2042"/>
      <c r="G112" s="2119"/>
      <c r="H112" s="2107"/>
      <c r="I112" s="2112"/>
      <c r="J112" s="2113"/>
      <c r="K112" s="2105"/>
      <c r="L112" s="2127"/>
      <c r="M112" s="2112"/>
      <c r="N112" s="2113"/>
      <c r="O112" s="2105"/>
      <c r="P112" s="2105"/>
      <c r="Q112" s="2107"/>
      <c r="R112" s="2112"/>
      <c r="S112" s="2113"/>
      <c r="T112" s="2105"/>
      <c r="U112" s="2105"/>
      <c r="V112" s="2107"/>
      <c r="W112" s="2112"/>
      <c r="X112" s="2113"/>
      <c r="Y112" s="2105"/>
      <c r="Z112" s="2105"/>
      <c r="AA112" s="2107"/>
      <c r="AB112" s="2112"/>
      <c r="AC112" s="2113"/>
      <c r="AD112" s="2105"/>
      <c r="AE112" s="2105"/>
      <c r="AF112" s="2107"/>
      <c r="AG112" s="2112"/>
      <c r="AH112" s="2113"/>
      <c r="AI112" s="2105"/>
      <c r="AJ112" s="2105"/>
      <c r="AK112" s="2011"/>
      <c r="AL112" s="2012"/>
      <c r="AM112" s="2012"/>
      <c r="AN112" s="2013"/>
      <c r="AO112" s="2011"/>
      <c r="AP112" s="2012"/>
      <c r="AQ112" s="2012"/>
      <c r="AR112" s="2013"/>
      <c r="AS112" s="651"/>
      <c r="AT112" s="652"/>
      <c r="AU112" s="1983"/>
      <c r="AV112" s="1983"/>
      <c r="AW112" s="1983"/>
      <c r="AX112" s="1983"/>
      <c r="AY112" s="1983"/>
      <c r="AZ112" s="1983"/>
      <c r="BA112" s="1983"/>
      <c r="BB112" s="654"/>
      <c r="BC112" s="654"/>
      <c r="BD112" s="652"/>
      <c r="BE112" s="652"/>
      <c r="BF112" s="652"/>
      <c r="BG112" s="652"/>
      <c r="BH112" s="652"/>
      <c r="BI112" s="652"/>
      <c r="BJ112" s="2225"/>
      <c r="BK112" s="2226"/>
      <c r="BL112" s="1381"/>
      <c r="BM112" s="684"/>
    </row>
    <row r="113" spans="1:65" ht="14.1" customHeight="1" x14ac:dyDescent="0.15">
      <c r="A113" s="652" t="str">
        <f t="shared" ref="A113" si="948">IF(AND(D113="",D115&lt;&gt;""),"×","○")</f>
        <v>○</v>
      </c>
      <c r="B113" s="2174" t="str">
        <f t="shared" ref="B113" si="949">IF(AND(AT113="○",BB113="○",BC113="○",A113="○"),"○","×")</f>
        <v>○</v>
      </c>
      <c r="C113" s="2143">
        <v>50</v>
      </c>
      <c r="D113" s="2006"/>
      <c r="E113" s="2004"/>
      <c r="F113" s="2041"/>
      <c r="G113" s="2118"/>
      <c r="H113" s="2106"/>
      <c r="I113" s="2141"/>
      <c r="J113" s="2142"/>
      <c r="K113" s="2104"/>
      <c r="L113" s="2140"/>
      <c r="M113" s="2110"/>
      <c r="N113" s="2111"/>
      <c r="O113" s="2104"/>
      <c r="P113" s="2104"/>
      <c r="Q113" s="2106"/>
      <c r="R113" s="2110"/>
      <c r="S113" s="2111"/>
      <c r="T113" s="2104"/>
      <c r="U113" s="2104"/>
      <c r="V113" s="2106"/>
      <c r="W113" s="2110"/>
      <c r="X113" s="2111"/>
      <c r="Y113" s="2104"/>
      <c r="Z113" s="2104"/>
      <c r="AA113" s="2106"/>
      <c r="AB113" s="2110"/>
      <c r="AC113" s="2111"/>
      <c r="AD113" s="2104"/>
      <c r="AE113" s="2104"/>
      <c r="AF113" s="2106"/>
      <c r="AG113" s="2110"/>
      <c r="AH113" s="2111"/>
      <c r="AI113" s="2104"/>
      <c r="AJ113" s="2104"/>
      <c r="AK113" s="2038"/>
      <c r="AL113" s="2039"/>
      <c r="AM113" s="2039"/>
      <c r="AN113" s="2040"/>
      <c r="AO113" s="2008"/>
      <c r="AP113" s="2009"/>
      <c r="AQ113" s="2009"/>
      <c r="AR113" s="2010"/>
      <c r="AS113" s="651"/>
      <c r="AT113" s="652" t="str">
        <f t="shared" ref="AT113" si="950">IF(OR(AND(D113&lt;&gt;"",OR(AND(E113&lt;&gt;"",F113&lt;&gt;"",OR(G113&lt;&gt;"",H113&lt;&gt;"")),AND(E113="",F113="バス・カメラマン等"))),AND(D113="",E113="",F113="",OR(G113="",H113=""))),"○","×")</f>
        <v>○</v>
      </c>
      <c r="AU113" s="1983" t="str">
        <f t="shared" ref="AU113" si="951">IF(AND(E113&lt;&gt;"",E113&lt;=2),"2歳児以下","")</f>
        <v/>
      </c>
      <c r="AV113" s="1983" t="str">
        <f t="shared" ref="AV113" si="952">IF(OR(AND(3&lt;=E113,E113&lt;=6),COUNTIF(E113, "幼*"),COUNTIF(E113, "年少"),COUNTIF(E113, "年中"),COUNTIF(E113, "年長")),"3歳-学齢前","")</f>
        <v/>
      </c>
      <c r="AW113" s="1983" t="str">
        <f t="shared" ref="AW113" si="953">IF(OR(AND(6&lt;=E113,E113&lt;=12),COUNTIF(E113, "小*")),"小学生","")</f>
        <v/>
      </c>
      <c r="AX113" s="1983" t="str">
        <f t="shared" ref="AX113" si="954">IF(OR(AND(12&lt;=E113,E113&lt;=15),COUNTIF(E113, "中*")),"中学生","")</f>
        <v/>
      </c>
      <c r="AY113" s="1983" t="str">
        <f t="shared" ref="AY113" si="955">IF(OR(AND(15&lt;=E113,E113&lt;=18),COUNTIF(E113, "高*")),"高校生(～18歳)","")</f>
        <v/>
      </c>
      <c r="AZ113" s="1983" t="str">
        <f t="shared" ref="AZ113" si="956">IF(OR(19&lt;=E113,COUNTIF(E113, "大*"),COUNTIF(E113, "*院*"),COUNTIF(E113, "*専*")),"一般(19歳～)","")</f>
        <v/>
      </c>
      <c r="BA113" s="1983" t="s">
        <v>475</v>
      </c>
      <c r="BB113" s="652" t="str">
        <f t="shared" ref="BB113" si="957">IF(OR(AND(D113="",I113="",M113="",R113="",W113="",AB113="",AG113=""),AND(D113&lt;&gt;"",OR(I113&lt;&gt;"",M113&lt;&gt;"",R113&lt;&gt;"",W113&lt;&gt;"",AB113&lt;&gt;"",AG113&lt;&gt;""))),"○","×")</f>
        <v>○</v>
      </c>
      <c r="BC113" s="652" t="str">
        <f t="shared" ref="BC113" si="958">IF(AND(BD113="○",BE113="○",BF113="○",BG113="○",BH113="○",BI113="○"),"○","×")</f>
        <v>○</v>
      </c>
      <c r="BD113" s="653" t="str">
        <f t="shared" ref="BD113" si="959">IF(AND($I$7=" ",OR(I113&lt;&gt;"",K113&lt;&gt;"",L113&lt;&gt;"")),"×","○")</f>
        <v>○</v>
      </c>
      <c r="BE113" s="653" t="str">
        <f t="shared" ref="BE113" si="960">IF(AND($M$7=" ",OR(M113&lt;&gt;"",O113&lt;&gt;"",P113&lt;&gt;"",Q113&lt;&gt;"")),"×","○")</f>
        <v>○</v>
      </c>
      <c r="BF113" s="653" t="str">
        <f t="shared" ref="BF113" si="961">IF(AND($R$7=" ",OR(R113&lt;&gt;"",T113&lt;&gt;"",U113&lt;&gt;"",V113&lt;&gt;"")),"×","○")</f>
        <v>○</v>
      </c>
      <c r="BG113" s="653" t="str">
        <f t="shared" ref="BG113" si="962">IF(AND($W$7=" ",OR(W113&lt;&gt;"",Y113&lt;&gt;"",Z113&lt;&gt;"",AA113&lt;&gt;"")),"×","○")</f>
        <v>○</v>
      </c>
      <c r="BH113" s="653" t="str">
        <f t="shared" ref="BH113" si="963">IF(AND($AB$7=" ",OR(AB113&lt;&gt;"",AD113&lt;&gt;"",AE113&lt;&gt;"",AF113&lt;&gt;"")),"×","○")</f>
        <v>○</v>
      </c>
      <c r="BI113" s="653" t="str">
        <f t="shared" ref="BI113" si="964">IF(AND($AG$7=" ",OR(AG113&lt;&gt;"",AI113&lt;&gt;"",AJ113&lt;&gt;"")),"×","○")</f>
        <v>○</v>
      </c>
      <c r="BJ113" s="2225" t="e">
        <f t="shared" ref="BJ113" si="965">SUMPRODUCT(1/COUNTIF(I113:AH113,"宿泊"))</f>
        <v>#DIV/0!</v>
      </c>
      <c r="BK113" s="2226" t="e">
        <f t="shared" ref="BK113" si="966">SUMPRODUCT(1/COUNTIF(I113:AH113,"日帰り"))</f>
        <v>#DIV/0!</v>
      </c>
      <c r="BL113" s="1381">
        <f t="shared" ref="BL113" si="967">COUNT(BJ113)-COUNT(BK113)</f>
        <v>0</v>
      </c>
      <c r="BM113" s="684"/>
    </row>
    <row r="114" spans="1:65" ht="14.1" customHeight="1" x14ac:dyDescent="0.15">
      <c r="A114" s="652"/>
      <c r="B114" s="2174"/>
      <c r="C114" s="2144"/>
      <c r="D114" s="2007"/>
      <c r="E114" s="2005"/>
      <c r="F114" s="2042"/>
      <c r="G114" s="2119"/>
      <c r="H114" s="2107"/>
      <c r="I114" s="2112"/>
      <c r="J114" s="2113"/>
      <c r="K114" s="2105"/>
      <c r="L114" s="2127"/>
      <c r="M114" s="2112"/>
      <c r="N114" s="2113"/>
      <c r="O114" s="2105"/>
      <c r="P114" s="2105"/>
      <c r="Q114" s="2107"/>
      <c r="R114" s="2112"/>
      <c r="S114" s="2113"/>
      <c r="T114" s="2105"/>
      <c r="U114" s="2105"/>
      <c r="V114" s="2107"/>
      <c r="W114" s="2112"/>
      <c r="X114" s="2113"/>
      <c r="Y114" s="2105"/>
      <c r="Z114" s="2105"/>
      <c r="AA114" s="2107"/>
      <c r="AB114" s="2112"/>
      <c r="AC114" s="2113"/>
      <c r="AD114" s="2105"/>
      <c r="AE114" s="2105"/>
      <c r="AF114" s="2107"/>
      <c r="AG114" s="2112"/>
      <c r="AH114" s="2113"/>
      <c r="AI114" s="2105"/>
      <c r="AJ114" s="2105"/>
      <c r="AK114" s="2011"/>
      <c r="AL114" s="2012"/>
      <c r="AM114" s="2012"/>
      <c r="AN114" s="2013"/>
      <c r="AO114" s="2011"/>
      <c r="AP114" s="2012"/>
      <c r="AQ114" s="2012"/>
      <c r="AR114" s="2013"/>
      <c r="AS114" s="651"/>
      <c r="AT114" s="652"/>
      <c r="AU114" s="1983"/>
      <c r="AV114" s="1983"/>
      <c r="AW114" s="1983"/>
      <c r="AX114" s="1983"/>
      <c r="AY114" s="1983"/>
      <c r="AZ114" s="1983"/>
      <c r="BA114" s="1983"/>
      <c r="BB114" s="654"/>
      <c r="BC114" s="654"/>
      <c r="BD114" s="652"/>
      <c r="BE114" s="652"/>
      <c r="BF114" s="652"/>
      <c r="BG114" s="652"/>
      <c r="BH114" s="652"/>
      <c r="BI114" s="652"/>
      <c r="BJ114" s="2225"/>
      <c r="BK114" s="2226"/>
      <c r="BL114" s="1381"/>
      <c r="BM114" s="684"/>
    </row>
    <row r="115" spans="1:65" ht="14.1" customHeight="1" x14ac:dyDescent="0.15">
      <c r="A115" s="652" t="str">
        <f t="shared" ref="A115" si="968">IF(AND(D115="",D117&lt;&gt;""),"×","○")</f>
        <v>○</v>
      </c>
      <c r="B115" s="2174" t="str">
        <f t="shared" ref="B115" si="969">IF(AND(AT115="○",BB115="○",BC115="○",A115="○"),"○","×")</f>
        <v>○</v>
      </c>
      <c r="C115" s="2143">
        <v>51</v>
      </c>
      <c r="D115" s="2006"/>
      <c r="E115" s="2004"/>
      <c r="F115" s="2041"/>
      <c r="G115" s="2123"/>
      <c r="H115" s="2109"/>
      <c r="I115" s="2141"/>
      <c r="J115" s="2142"/>
      <c r="K115" s="2104"/>
      <c r="L115" s="2140"/>
      <c r="M115" s="2110"/>
      <c r="N115" s="2111"/>
      <c r="O115" s="2108"/>
      <c r="P115" s="2108"/>
      <c r="Q115" s="2109"/>
      <c r="R115" s="2110"/>
      <c r="S115" s="2111"/>
      <c r="T115" s="2108"/>
      <c r="U115" s="2108"/>
      <c r="V115" s="2109"/>
      <c r="W115" s="2110"/>
      <c r="X115" s="2111"/>
      <c r="Y115" s="2108"/>
      <c r="Z115" s="2108"/>
      <c r="AA115" s="2109"/>
      <c r="AB115" s="2110"/>
      <c r="AC115" s="2111"/>
      <c r="AD115" s="2108"/>
      <c r="AE115" s="2108"/>
      <c r="AF115" s="2109"/>
      <c r="AG115" s="2110"/>
      <c r="AH115" s="2111"/>
      <c r="AI115" s="2108"/>
      <c r="AJ115" s="2108"/>
      <c r="AK115" s="2038"/>
      <c r="AL115" s="2039"/>
      <c r="AM115" s="2039"/>
      <c r="AN115" s="2040"/>
      <c r="AO115" s="2008"/>
      <c r="AP115" s="2009"/>
      <c r="AQ115" s="2009"/>
      <c r="AR115" s="2010"/>
      <c r="AS115" s="651"/>
      <c r="AT115" s="652" t="str">
        <f t="shared" ref="AT115" si="970">IF(OR(AND(D115&lt;&gt;"",OR(AND(E115&lt;&gt;"",F115&lt;&gt;"",OR(G115&lt;&gt;"",H115&lt;&gt;"")),AND(E115="",F115="バス・カメラマン等"))),AND(D115="",E115="",F115="",OR(G115="",H115=""))),"○","×")</f>
        <v>○</v>
      </c>
      <c r="AU115" s="1983" t="str">
        <f t="shared" ref="AU115" si="971">IF(AND(E115&lt;&gt;"",E115&lt;=2),"2歳児以下","")</f>
        <v/>
      </c>
      <c r="AV115" s="1983" t="str">
        <f t="shared" ref="AV115" si="972">IF(OR(AND(3&lt;=E115,E115&lt;=6),COUNTIF(E115, "幼*"),COUNTIF(E115, "年少"),COUNTIF(E115, "年中"),COUNTIF(E115, "年長")),"3歳-学齢前","")</f>
        <v/>
      </c>
      <c r="AW115" s="1983" t="str">
        <f t="shared" ref="AW115" si="973">IF(OR(AND(6&lt;=E115,E115&lt;=12),COUNTIF(E115, "小*")),"小学生","")</f>
        <v/>
      </c>
      <c r="AX115" s="1983" t="str">
        <f t="shared" ref="AX115" si="974">IF(OR(AND(12&lt;=E115,E115&lt;=15),COUNTIF(E115, "中*")),"中学生","")</f>
        <v/>
      </c>
      <c r="AY115" s="1983" t="str">
        <f t="shared" ref="AY115" si="975">IF(OR(AND(15&lt;=E115,E115&lt;=18),COUNTIF(E115, "高*")),"高校生(～18歳)","")</f>
        <v/>
      </c>
      <c r="AZ115" s="1983" t="str">
        <f t="shared" ref="AZ115" si="976">IF(OR(19&lt;=E115,COUNTIF(E115, "大*"),COUNTIF(E115, "*院*"),COUNTIF(E115, "*専*")),"一般(19歳～)","")</f>
        <v/>
      </c>
      <c r="BA115" s="1983" t="s">
        <v>475</v>
      </c>
      <c r="BB115" s="652" t="str">
        <f t="shared" ref="BB115" si="977">IF(OR(AND(D115="",I115="",M115="",R115="",W115="",AB115="",AG115=""),AND(D115&lt;&gt;"",OR(I115&lt;&gt;"",M115&lt;&gt;"",R115&lt;&gt;"",W115&lt;&gt;"",AB115&lt;&gt;"",AG115&lt;&gt;""))),"○","×")</f>
        <v>○</v>
      </c>
      <c r="BC115" s="652" t="str">
        <f t="shared" ref="BC115" si="978">IF(AND(BD115="○",BE115="○",BF115="○",BG115="○",BH115="○",BI115="○"),"○","×")</f>
        <v>○</v>
      </c>
      <c r="BD115" s="653" t="str">
        <f t="shared" ref="BD115" si="979">IF(AND($I$7=" ",OR(I115&lt;&gt;"",K115&lt;&gt;"",L115&lt;&gt;"")),"×","○")</f>
        <v>○</v>
      </c>
      <c r="BE115" s="653" t="str">
        <f t="shared" ref="BE115" si="980">IF(AND($M$7=" ",OR(M115&lt;&gt;"",O115&lt;&gt;"",P115&lt;&gt;"",Q115&lt;&gt;"")),"×","○")</f>
        <v>○</v>
      </c>
      <c r="BF115" s="653" t="str">
        <f t="shared" ref="BF115" si="981">IF(AND($R$7=" ",OR(R115&lt;&gt;"",T115&lt;&gt;"",U115&lt;&gt;"",V115&lt;&gt;"")),"×","○")</f>
        <v>○</v>
      </c>
      <c r="BG115" s="653" t="str">
        <f t="shared" ref="BG115" si="982">IF(AND($W$7=" ",OR(W115&lt;&gt;"",Y115&lt;&gt;"",Z115&lt;&gt;"",AA115&lt;&gt;"")),"×","○")</f>
        <v>○</v>
      </c>
      <c r="BH115" s="653" t="str">
        <f t="shared" ref="BH115" si="983">IF(AND($AB$7=" ",OR(AB115&lt;&gt;"",AD115&lt;&gt;"",AE115&lt;&gt;"",AF115&lt;&gt;"")),"×","○")</f>
        <v>○</v>
      </c>
      <c r="BI115" s="653" t="str">
        <f t="shared" ref="BI115" si="984">IF(AND($AG$7=" ",OR(AG115&lt;&gt;"",AI115&lt;&gt;"",AJ115&lt;&gt;"")),"×","○")</f>
        <v>○</v>
      </c>
      <c r="BJ115" s="2225" t="e">
        <f t="shared" ref="BJ115" si="985">SUMPRODUCT(1/COUNTIF(I115:AH115,"宿泊"))</f>
        <v>#DIV/0!</v>
      </c>
      <c r="BK115" s="2226" t="e">
        <f t="shared" ref="BK115" si="986">SUMPRODUCT(1/COUNTIF(I115:AH115,"日帰り"))</f>
        <v>#DIV/0!</v>
      </c>
      <c r="BL115" s="1381">
        <f t="shared" ref="BL115" si="987">COUNT(BJ115)-COUNT(BK115)</f>
        <v>0</v>
      </c>
      <c r="BM115" s="684"/>
    </row>
    <row r="116" spans="1:65" ht="14.1" customHeight="1" x14ac:dyDescent="0.15">
      <c r="A116" s="652"/>
      <c r="B116" s="2174"/>
      <c r="C116" s="2144"/>
      <c r="D116" s="2007"/>
      <c r="E116" s="2005"/>
      <c r="F116" s="2042"/>
      <c r="G116" s="2119"/>
      <c r="H116" s="2107"/>
      <c r="I116" s="2112"/>
      <c r="J116" s="2113"/>
      <c r="K116" s="2105"/>
      <c r="L116" s="2127"/>
      <c r="M116" s="2112"/>
      <c r="N116" s="2113"/>
      <c r="O116" s="2105"/>
      <c r="P116" s="2105"/>
      <c r="Q116" s="2107"/>
      <c r="R116" s="2112"/>
      <c r="S116" s="2113"/>
      <c r="T116" s="2105"/>
      <c r="U116" s="2105"/>
      <c r="V116" s="2107"/>
      <c r="W116" s="2112"/>
      <c r="X116" s="2113"/>
      <c r="Y116" s="2105"/>
      <c r="Z116" s="2105"/>
      <c r="AA116" s="2107"/>
      <c r="AB116" s="2112"/>
      <c r="AC116" s="2113"/>
      <c r="AD116" s="2105"/>
      <c r="AE116" s="2105"/>
      <c r="AF116" s="2107"/>
      <c r="AG116" s="2112"/>
      <c r="AH116" s="2113"/>
      <c r="AI116" s="2105"/>
      <c r="AJ116" s="2105"/>
      <c r="AK116" s="2011"/>
      <c r="AL116" s="2012"/>
      <c r="AM116" s="2012"/>
      <c r="AN116" s="2013"/>
      <c r="AO116" s="2011"/>
      <c r="AP116" s="2012"/>
      <c r="AQ116" s="2012"/>
      <c r="AR116" s="2013"/>
      <c r="AS116" s="651"/>
      <c r="AT116" s="652"/>
      <c r="AU116" s="1983"/>
      <c r="AV116" s="1983"/>
      <c r="AW116" s="1983"/>
      <c r="AX116" s="1983"/>
      <c r="AY116" s="1983"/>
      <c r="AZ116" s="1983"/>
      <c r="BA116" s="1983"/>
      <c r="BB116" s="654"/>
      <c r="BC116" s="654"/>
      <c r="BD116" s="652"/>
      <c r="BE116" s="652"/>
      <c r="BF116" s="652"/>
      <c r="BG116" s="652"/>
      <c r="BH116" s="652"/>
      <c r="BI116" s="652"/>
      <c r="BJ116" s="2225"/>
      <c r="BK116" s="2226"/>
      <c r="BL116" s="1381"/>
      <c r="BM116" s="684"/>
    </row>
    <row r="117" spans="1:65" ht="14.1" customHeight="1" x14ac:dyDescent="0.15">
      <c r="A117" s="652" t="str">
        <f t="shared" ref="A117" si="988">IF(AND(D117="",D119&lt;&gt;""),"×","○")</f>
        <v>○</v>
      </c>
      <c r="B117" s="2174" t="str">
        <f t="shared" ref="B117" si="989">IF(AND(AT117="○",BB117="○",BC117="○",A117="○"),"○","×")</f>
        <v>○</v>
      </c>
      <c r="C117" s="2143">
        <v>52</v>
      </c>
      <c r="D117" s="2006"/>
      <c r="E117" s="2004"/>
      <c r="F117" s="2041"/>
      <c r="G117" s="2118"/>
      <c r="H117" s="2106"/>
      <c r="I117" s="2141"/>
      <c r="J117" s="2142"/>
      <c r="K117" s="2104"/>
      <c r="L117" s="2140"/>
      <c r="M117" s="2110"/>
      <c r="N117" s="2111"/>
      <c r="O117" s="2104"/>
      <c r="P117" s="2104"/>
      <c r="Q117" s="2106"/>
      <c r="R117" s="2110"/>
      <c r="S117" s="2111"/>
      <c r="T117" s="2104"/>
      <c r="U117" s="2104"/>
      <c r="V117" s="2106"/>
      <c r="W117" s="2110"/>
      <c r="X117" s="2111"/>
      <c r="Y117" s="2104"/>
      <c r="Z117" s="2104"/>
      <c r="AA117" s="2106"/>
      <c r="AB117" s="2110"/>
      <c r="AC117" s="2111"/>
      <c r="AD117" s="2104"/>
      <c r="AE117" s="2104"/>
      <c r="AF117" s="2106"/>
      <c r="AG117" s="2110"/>
      <c r="AH117" s="2111"/>
      <c r="AI117" s="2104"/>
      <c r="AJ117" s="2104"/>
      <c r="AK117" s="2038"/>
      <c r="AL117" s="2039"/>
      <c r="AM117" s="2039"/>
      <c r="AN117" s="2040"/>
      <c r="AO117" s="2008"/>
      <c r="AP117" s="2009"/>
      <c r="AQ117" s="2009"/>
      <c r="AR117" s="2010"/>
      <c r="AS117" s="651"/>
      <c r="AT117" s="652" t="str">
        <f t="shared" ref="AT117" si="990">IF(OR(AND(D117&lt;&gt;"",OR(AND(E117&lt;&gt;"",F117&lt;&gt;"",OR(G117&lt;&gt;"",H117&lt;&gt;"")),AND(E117="",F117="バス・カメラマン等"))),AND(D117="",E117="",F117="",OR(G117="",H117=""))),"○","×")</f>
        <v>○</v>
      </c>
      <c r="AU117" s="1983" t="str">
        <f t="shared" ref="AU117" si="991">IF(AND(E117&lt;&gt;"",E117&lt;=2),"2歳児以下","")</f>
        <v/>
      </c>
      <c r="AV117" s="1983" t="str">
        <f t="shared" ref="AV117" si="992">IF(OR(AND(3&lt;=E117,E117&lt;=6),COUNTIF(E117, "幼*"),COUNTIF(E117, "年少"),COUNTIF(E117, "年中"),COUNTIF(E117, "年長")),"3歳-学齢前","")</f>
        <v/>
      </c>
      <c r="AW117" s="1983" t="str">
        <f t="shared" ref="AW117" si="993">IF(OR(AND(6&lt;=E117,E117&lt;=12),COUNTIF(E117, "小*")),"小学生","")</f>
        <v/>
      </c>
      <c r="AX117" s="1983" t="str">
        <f t="shared" ref="AX117" si="994">IF(OR(AND(12&lt;=E117,E117&lt;=15),COUNTIF(E117, "中*")),"中学生","")</f>
        <v/>
      </c>
      <c r="AY117" s="1983" t="str">
        <f t="shared" ref="AY117" si="995">IF(OR(AND(15&lt;=E117,E117&lt;=18),COUNTIF(E117, "高*")),"高校生(～18歳)","")</f>
        <v/>
      </c>
      <c r="AZ117" s="1983" t="str">
        <f t="shared" ref="AZ117" si="996">IF(OR(19&lt;=E117,COUNTIF(E117, "大*"),COUNTIF(E117, "*院*"),COUNTIF(E117, "*専*")),"一般(19歳～)","")</f>
        <v/>
      </c>
      <c r="BA117" s="1983" t="s">
        <v>475</v>
      </c>
      <c r="BB117" s="652" t="str">
        <f t="shared" ref="BB117" si="997">IF(OR(AND(D117="",I117="",M117="",R117="",W117="",AB117="",AG117=""),AND(D117&lt;&gt;"",OR(I117&lt;&gt;"",M117&lt;&gt;"",R117&lt;&gt;"",W117&lt;&gt;"",AB117&lt;&gt;"",AG117&lt;&gt;""))),"○","×")</f>
        <v>○</v>
      </c>
      <c r="BC117" s="652" t="str">
        <f t="shared" ref="BC117" si="998">IF(AND(BD117="○",BE117="○",BF117="○",BG117="○",BH117="○",BI117="○"),"○","×")</f>
        <v>○</v>
      </c>
      <c r="BD117" s="653" t="str">
        <f t="shared" ref="BD117" si="999">IF(AND($I$7=" ",OR(I117&lt;&gt;"",K117&lt;&gt;"",L117&lt;&gt;"")),"×","○")</f>
        <v>○</v>
      </c>
      <c r="BE117" s="653" t="str">
        <f t="shared" ref="BE117" si="1000">IF(AND($M$7=" ",OR(M117&lt;&gt;"",O117&lt;&gt;"",P117&lt;&gt;"",Q117&lt;&gt;"")),"×","○")</f>
        <v>○</v>
      </c>
      <c r="BF117" s="653" t="str">
        <f t="shared" ref="BF117" si="1001">IF(AND($R$7=" ",OR(R117&lt;&gt;"",T117&lt;&gt;"",U117&lt;&gt;"",V117&lt;&gt;"")),"×","○")</f>
        <v>○</v>
      </c>
      <c r="BG117" s="653" t="str">
        <f t="shared" ref="BG117" si="1002">IF(AND($W$7=" ",OR(W117&lt;&gt;"",Y117&lt;&gt;"",Z117&lt;&gt;"",AA117&lt;&gt;"")),"×","○")</f>
        <v>○</v>
      </c>
      <c r="BH117" s="653" t="str">
        <f t="shared" ref="BH117" si="1003">IF(AND($AB$7=" ",OR(AB117&lt;&gt;"",AD117&lt;&gt;"",AE117&lt;&gt;"",AF117&lt;&gt;"")),"×","○")</f>
        <v>○</v>
      </c>
      <c r="BI117" s="653" t="str">
        <f t="shared" ref="BI117" si="1004">IF(AND($AG$7=" ",OR(AG117&lt;&gt;"",AI117&lt;&gt;"",AJ117&lt;&gt;"")),"×","○")</f>
        <v>○</v>
      </c>
      <c r="BJ117" s="2225" t="e">
        <f t="shared" ref="BJ117" si="1005">SUMPRODUCT(1/COUNTIF(I117:AH117,"宿泊"))</f>
        <v>#DIV/0!</v>
      </c>
      <c r="BK117" s="2226" t="e">
        <f t="shared" ref="BK117" si="1006">SUMPRODUCT(1/COUNTIF(I117:AH117,"日帰り"))</f>
        <v>#DIV/0!</v>
      </c>
      <c r="BL117" s="1381">
        <f t="shared" ref="BL117" si="1007">COUNT(BJ117)-COUNT(BK117)</f>
        <v>0</v>
      </c>
      <c r="BM117" s="684"/>
    </row>
    <row r="118" spans="1:65" ht="14.1" customHeight="1" x14ac:dyDescent="0.15">
      <c r="A118" s="652"/>
      <c r="B118" s="2174"/>
      <c r="C118" s="2144"/>
      <c r="D118" s="2007"/>
      <c r="E118" s="2005"/>
      <c r="F118" s="2042"/>
      <c r="G118" s="2119"/>
      <c r="H118" s="2107"/>
      <c r="I118" s="2112"/>
      <c r="J118" s="2113"/>
      <c r="K118" s="2105"/>
      <c r="L118" s="2127"/>
      <c r="M118" s="2112"/>
      <c r="N118" s="2113"/>
      <c r="O118" s="2105"/>
      <c r="P118" s="2105"/>
      <c r="Q118" s="2107"/>
      <c r="R118" s="2112"/>
      <c r="S118" s="2113"/>
      <c r="T118" s="2105"/>
      <c r="U118" s="2105"/>
      <c r="V118" s="2107"/>
      <c r="W118" s="2112"/>
      <c r="X118" s="2113"/>
      <c r="Y118" s="2105"/>
      <c r="Z118" s="2105"/>
      <c r="AA118" s="2107"/>
      <c r="AB118" s="2112"/>
      <c r="AC118" s="2113"/>
      <c r="AD118" s="2105"/>
      <c r="AE118" s="2105"/>
      <c r="AF118" s="2107"/>
      <c r="AG118" s="2112"/>
      <c r="AH118" s="2113"/>
      <c r="AI118" s="2105"/>
      <c r="AJ118" s="2105"/>
      <c r="AK118" s="2011"/>
      <c r="AL118" s="2012"/>
      <c r="AM118" s="2012"/>
      <c r="AN118" s="2013"/>
      <c r="AO118" s="2011"/>
      <c r="AP118" s="2012"/>
      <c r="AQ118" s="2012"/>
      <c r="AR118" s="2013"/>
      <c r="AS118" s="651"/>
      <c r="AT118" s="652"/>
      <c r="AU118" s="1983"/>
      <c r="AV118" s="1983"/>
      <c r="AW118" s="1983"/>
      <c r="AX118" s="1983"/>
      <c r="AY118" s="1983"/>
      <c r="AZ118" s="1983"/>
      <c r="BA118" s="1983"/>
      <c r="BB118" s="654"/>
      <c r="BC118" s="654"/>
      <c r="BD118" s="652"/>
      <c r="BE118" s="652"/>
      <c r="BF118" s="652"/>
      <c r="BG118" s="652"/>
      <c r="BH118" s="652"/>
      <c r="BI118" s="652"/>
      <c r="BJ118" s="2225"/>
      <c r="BK118" s="2226"/>
      <c r="BL118" s="1381"/>
      <c r="BM118" s="684"/>
    </row>
    <row r="119" spans="1:65" ht="14.1" customHeight="1" x14ac:dyDescent="0.15">
      <c r="A119" s="652" t="str">
        <f t="shared" ref="A119" si="1008">IF(AND(D119="",D121&lt;&gt;""),"×","○")</f>
        <v>○</v>
      </c>
      <c r="B119" s="2174" t="str">
        <f t="shared" ref="B119" si="1009">IF(AND(AT119="○",BB119="○",BC119="○",A119="○"),"○","×")</f>
        <v>○</v>
      </c>
      <c r="C119" s="2143">
        <v>53</v>
      </c>
      <c r="D119" s="2006"/>
      <c r="E119" s="2004"/>
      <c r="F119" s="2041"/>
      <c r="G119" s="2118"/>
      <c r="H119" s="2106"/>
      <c r="I119" s="2141"/>
      <c r="J119" s="2142"/>
      <c r="K119" s="2104"/>
      <c r="L119" s="2140"/>
      <c r="M119" s="2110"/>
      <c r="N119" s="2111"/>
      <c r="O119" s="2104"/>
      <c r="P119" s="2104"/>
      <c r="Q119" s="2106"/>
      <c r="R119" s="2110"/>
      <c r="S119" s="2111"/>
      <c r="T119" s="2104"/>
      <c r="U119" s="2104"/>
      <c r="V119" s="2106"/>
      <c r="W119" s="2110"/>
      <c r="X119" s="2111"/>
      <c r="Y119" s="2104"/>
      <c r="Z119" s="2104"/>
      <c r="AA119" s="2106"/>
      <c r="AB119" s="2110"/>
      <c r="AC119" s="2111"/>
      <c r="AD119" s="2104"/>
      <c r="AE119" s="2104"/>
      <c r="AF119" s="2106"/>
      <c r="AG119" s="2110"/>
      <c r="AH119" s="2111"/>
      <c r="AI119" s="2104"/>
      <c r="AJ119" s="2104"/>
      <c r="AK119" s="2038"/>
      <c r="AL119" s="2039"/>
      <c r="AM119" s="2039"/>
      <c r="AN119" s="2040"/>
      <c r="AO119" s="2008"/>
      <c r="AP119" s="2009"/>
      <c r="AQ119" s="2009"/>
      <c r="AR119" s="2010"/>
      <c r="AS119" s="651"/>
      <c r="AT119" s="652" t="str">
        <f t="shared" ref="AT119" si="1010">IF(OR(AND(D119&lt;&gt;"",OR(AND(E119&lt;&gt;"",F119&lt;&gt;"",OR(G119&lt;&gt;"",H119&lt;&gt;"")),AND(E119="",F119="バス・カメラマン等"))),AND(D119="",E119="",F119="",OR(G119="",H119=""))),"○","×")</f>
        <v>○</v>
      </c>
      <c r="AU119" s="1983" t="str">
        <f t="shared" ref="AU119" si="1011">IF(AND(E119&lt;&gt;"",E119&lt;=2),"2歳児以下","")</f>
        <v/>
      </c>
      <c r="AV119" s="1983" t="str">
        <f t="shared" ref="AV119" si="1012">IF(OR(AND(3&lt;=E119,E119&lt;=6),COUNTIF(E119, "幼*"),COUNTIF(E119, "年少"),COUNTIF(E119, "年中"),COUNTIF(E119, "年長")),"3歳-学齢前","")</f>
        <v/>
      </c>
      <c r="AW119" s="1983" t="str">
        <f t="shared" ref="AW119" si="1013">IF(OR(AND(6&lt;=E119,E119&lt;=12),COUNTIF(E119, "小*")),"小学生","")</f>
        <v/>
      </c>
      <c r="AX119" s="1983" t="str">
        <f t="shared" ref="AX119" si="1014">IF(OR(AND(12&lt;=E119,E119&lt;=15),COUNTIF(E119, "中*")),"中学生","")</f>
        <v/>
      </c>
      <c r="AY119" s="1983" t="str">
        <f t="shared" ref="AY119" si="1015">IF(OR(AND(15&lt;=E119,E119&lt;=18),COUNTIF(E119, "高*")),"高校生(～18歳)","")</f>
        <v/>
      </c>
      <c r="AZ119" s="1983" t="str">
        <f t="shared" ref="AZ119" si="1016">IF(OR(19&lt;=E119,COUNTIF(E119, "大*"),COUNTIF(E119, "*院*"),COUNTIF(E119, "*専*")),"一般(19歳～)","")</f>
        <v/>
      </c>
      <c r="BA119" s="1983" t="s">
        <v>475</v>
      </c>
      <c r="BB119" s="652" t="str">
        <f t="shared" ref="BB119" si="1017">IF(OR(AND(D119="",I119="",M119="",R119="",W119="",AB119="",AG119=""),AND(D119&lt;&gt;"",OR(I119&lt;&gt;"",M119&lt;&gt;"",R119&lt;&gt;"",W119&lt;&gt;"",AB119&lt;&gt;"",AG119&lt;&gt;""))),"○","×")</f>
        <v>○</v>
      </c>
      <c r="BC119" s="652" t="str">
        <f t="shared" ref="BC119" si="1018">IF(AND(BD119="○",BE119="○",BF119="○",BG119="○",BH119="○",BI119="○"),"○","×")</f>
        <v>○</v>
      </c>
      <c r="BD119" s="653" t="str">
        <f t="shared" ref="BD119" si="1019">IF(AND($I$7=" ",OR(I119&lt;&gt;"",K119&lt;&gt;"",L119&lt;&gt;"")),"×","○")</f>
        <v>○</v>
      </c>
      <c r="BE119" s="653" t="str">
        <f t="shared" ref="BE119" si="1020">IF(AND($M$7=" ",OR(M119&lt;&gt;"",O119&lt;&gt;"",P119&lt;&gt;"",Q119&lt;&gt;"")),"×","○")</f>
        <v>○</v>
      </c>
      <c r="BF119" s="653" t="str">
        <f t="shared" ref="BF119" si="1021">IF(AND($R$7=" ",OR(R119&lt;&gt;"",T119&lt;&gt;"",U119&lt;&gt;"",V119&lt;&gt;"")),"×","○")</f>
        <v>○</v>
      </c>
      <c r="BG119" s="653" t="str">
        <f t="shared" ref="BG119" si="1022">IF(AND($W$7=" ",OR(W119&lt;&gt;"",Y119&lt;&gt;"",Z119&lt;&gt;"",AA119&lt;&gt;"")),"×","○")</f>
        <v>○</v>
      </c>
      <c r="BH119" s="653" t="str">
        <f t="shared" ref="BH119" si="1023">IF(AND($AB$7=" ",OR(AB119&lt;&gt;"",AD119&lt;&gt;"",AE119&lt;&gt;"",AF119&lt;&gt;"")),"×","○")</f>
        <v>○</v>
      </c>
      <c r="BI119" s="653" t="str">
        <f t="shared" ref="BI119" si="1024">IF(AND($AG$7=" ",OR(AG119&lt;&gt;"",AI119&lt;&gt;"",AJ119&lt;&gt;"")),"×","○")</f>
        <v>○</v>
      </c>
      <c r="BJ119" s="2225" t="e">
        <f t="shared" ref="BJ119" si="1025">SUMPRODUCT(1/COUNTIF(I119:AH119,"宿泊"))</f>
        <v>#DIV/0!</v>
      </c>
      <c r="BK119" s="2226" t="e">
        <f t="shared" ref="BK119" si="1026">SUMPRODUCT(1/COUNTIF(I119:AH119,"日帰り"))</f>
        <v>#DIV/0!</v>
      </c>
      <c r="BL119" s="1381">
        <f t="shared" ref="BL119" si="1027">COUNT(BJ119)-COUNT(BK119)</f>
        <v>0</v>
      </c>
      <c r="BM119" s="684"/>
    </row>
    <row r="120" spans="1:65" ht="14.1" customHeight="1" x14ac:dyDescent="0.15">
      <c r="A120" s="652"/>
      <c r="B120" s="2174"/>
      <c r="C120" s="2144"/>
      <c r="D120" s="2007"/>
      <c r="E120" s="2005"/>
      <c r="F120" s="2042"/>
      <c r="G120" s="2119"/>
      <c r="H120" s="2107"/>
      <c r="I120" s="2112"/>
      <c r="J120" s="2113"/>
      <c r="K120" s="2105"/>
      <c r="L120" s="2127"/>
      <c r="M120" s="2112"/>
      <c r="N120" s="2113"/>
      <c r="O120" s="2105"/>
      <c r="P120" s="2105"/>
      <c r="Q120" s="2107"/>
      <c r="R120" s="2112"/>
      <c r="S120" s="2113"/>
      <c r="T120" s="2105"/>
      <c r="U120" s="2105"/>
      <c r="V120" s="2107"/>
      <c r="W120" s="2112"/>
      <c r="X120" s="2113"/>
      <c r="Y120" s="2105"/>
      <c r="Z120" s="2105"/>
      <c r="AA120" s="2107"/>
      <c r="AB120" s="2112"/>
      <c r="AC120" s="2113"/>
      <c r="AD120" s="2105"/>
      <c r="AE120" s="2105"/>
      <c r="AF120" s="2107"/>
      <c r="AG120" s="2112"/>
      <c r="AH120" s="2113"/>
      <c r="AI120" s="2105"/>
      <c r="AJ120" s="2105"/>
      <c r="AK120" s="2011"/>
      <c r="AL120" s="2012"/>
      <c r="AM120" s="2012"/>
      <c r="AN120" s="2013"/>
      <c r="AO120" s="2011"/>
      <c r="AP120" s="2012"/>
      <c r="AQ120" s="2012"/>
      <c r="AR120" s="2013"/>
      <c r="AS120" s="651"/>
      <c r="AT120" s="652"/>
      <c r="AU120" s="1983"/>
      <c r="AV120" s="1983"/>
      <c r="AW120" s="1983"/>
      <c r="AX120" s="1983"/>
      <c r="AY120" s="1983"/>
      <c r="AZ120" s="1983"/>
      <c r="BA120" s="1983"/>
      <c r="BB120" s="654"/>
      <c r="BC120" s="654"/>
      <c r="BD120" s="652"/>
      <c r="BE120" s="652"/>
      <c r="BF120" s="652"/>
      <c r="BG120" s="652"/>
      <c r="BH120" s="652"/>
      <c r="BI120" s="652"/>
      <c r="BJ120" s="2225"/>
      <c r="BK120" s="2226"/>
      <c r="BL120" s="1381"/>
      <c r="BM120" s="684"/>
    </row>
    <row r="121" spans="1:65" ht="14.1" customHeight="1" x14ac:dyDescent="0.15">
      <c r="A121" s="652" t="str">
        <f t="shared" ref="A121" si="1028">IF(AND(D121="",D123&lt;&gt;""),"×","○")</f>
        <v>○</v>
      </c>
      <c r="B121" s="2174" t="str">
        <f t="shared" ref="B121" si="1029">IF(AND(AT121="○",BB121="○",BC121="○",A121="○"),"○","×")</f>
        <v>○</v>
      </c>
      <c r="C121" s="2143">
        <v>54</v>
      </c>
      <c r="D121" s="2006"/>
      <c r="E121" s="2004"/>
      <c r="F121" s="2041"/>
      <c r="G121" s="2118"/>
      <c r="H121" s="2106"/>
      <c r="I121" s="2141"/>
      <c r="J121" s="2142"/>
      <c r="K121" s="2104"/>
      <c r="L121" s="2140"/>
      <c r="M121" s="2110"/>
      <c r="N121" s="2111"/>
      <c r="O121" s="2104"/>
      <c r="P121" s="2104"/>
      <c r="Q121" s="2106"/>
      <c r="R121" s="2110"/>
      <c r="S121" s="2111"/>
      <c r="T121" s="2104"/>
      <c r="U121" s="2104"/>
      <c r="V121" s="2106"/>
      <c r="W121" s="2110"/>
      <c r="X121" s="2111"/>
      <c r="Y121" s="2104"/>
      <c r="Z121" s="2104"/>
      <c r="AA121" s="2106"/>
      <c r="AB121" s="2110"/>
      <c r="AC121" s="2111"/>
      <c r="AD121" s="2104"/>
      <c r="AE121" s="2104"/>
      <c r="AF121" s="2106"/>
      <c r="AG121" s="2110"/>
      <c r="AH121" s="2111"/>
      <c r="AI121" s="2104"/>
      <c r="AJ121" s="2104"/>
      <c r="AK121" s="2038"/>
      <c r="AL121" s="2039"/>
      <c r="AM121" s="2039"/>
      <c r="AN121" s="2040"/>
      <c r="AO121" s="2008"/>
      <c r="AP121" s="2009"/>
      <c r="AQ121" s="2009"/>
      <c r="AR121" s="2010"/>
      <c r="AS121" s="651"/>
      <c r="AT121" s="652" t="str">
        <f t="shared" ref="AT121" si="1030">IF(OR(AND(D121&lt;&gt;"",OR(AND(E121&lt;&gt;"",F121&lt;&gt;"",OR(G121&lt;&gt;"",H121&lt;&gt;"")),AND(E121="",F121="バス・カメラマン等"))),AND(D121="",E121="",F121="",OR(G121="",H121=""))),"○","×")</f>
        <v>○</v>
      </c>
      <c r="AU121" s="1983" t="str">
        <f t="shared" ref="AU121" si="1031">IF(AND(E121&lt;&gt;"",E121&lt;=2),"2歳児以下","")</f>
        <v/>
      </c>
      <c r="AV121" s="1983" t="str">
        <f t="shared" ref="AV121" si="1032">IF(OR(AND(3&lt;=E121,E121&lt;=6),COUNTIF(E121, "幼*"),COUNTIF(E121, "年少"),COUNTIF(E121, "年中"),COUNTIF(E121, "年長")),"3歳-学齢前","")</f>
        <v/>
      </c>
      <c r="AW121" s="1983" t="str">
        <f t="shared" ref="AW121" si="1033">IF(OR(AND(6&lt;=E121,E121&lt;=12),COUNTIF(E121, "小*")),"小学生","")</f>
        <v/>
      </c>
      <c r="AX121" s="1983" t="str">
        <f t="shared" ref="AX121" si="1034">IF(OR(AND(12&lt;=E121,E121&lt;=15),COUNTIF(E121, "中*")),"中学生","")</f>
        <v/>
      </c>
      <c r="AY121" s="1983" t="str">
        <f t="shared" ref="AY121" si="1035">IF(OR(AND(15&lt;=E121,E121&lt;=18),COUNTIF(E121, "高*")),"高校生(～18歳)","")</f>
        <v/>
      </c>
      <c r="AZ121" s="1983" t="str">
        <f t="shared" ref="AZ121" si="1036">IF(OR(19&lt;=E121,COUNTIF(E121, "大*"),COUNTIF(E121, "*院*"),COUNTIF(E121, "*専*")),"一般(19歳～)","")</f>
        <v/>
      </c>
      <c r="BA121" s="1983" t="s">
        <v>475</v>
      </c>
      <c r="BB121" s="652" t="str">
        <f t="shared" ref="BB121" si="1037">IF(OR(AND(D121="",I121="",M121="",R121="",W121="",AB121="",AG121=""),AND(D121&lt;&gt;"",OR(I121&lt;&gt;"",M121&lt;&gt;"",R121&lt;&gt;"",W121&lt;&gt;"",AB121&lt;&gt;"",AG121&lt;&gt;""))),"○","×")</f>
        <v>○</v>
      </c>
      <c r="BC121" s="652" t="str">
        <f t="shared" ref="BC121" si="1038">IF(AND(BD121="○",BE121="○",BF121="○",BG121="○",BH121="○",BI121="○"),"○","×")</f>
        <v>○</v>
      </c>
      <c r="BD121" s="653" t="str">
        <f t="shared" ref="BD121" si="1039">IF(AND($I$7=" ",OR(I121&lt;&gt;"",K121&lt;&gt;"",L121&lt;&gt;"")),"×","○")</f>
        <v>○</v>
      </c>
      <c r="BE121" s="653" t="str">
        <f t="shared" ref="BE121" si="1040">IF(AND($M$7=" ",OR(M121&lt;&gt;"",O121&lt;&gt;"",P121&lt;&gt;"",Q121&lt;&gt;"")),"×","○")</f>
        <v>○</v>
      </c>
      <c r="BF121" s="653" t="str">
        <f t="shared" ref="BF121" si="1041">IF(AND($R$7=" ",OR(R121&lt;&gt;"",T121&lt;&gt;"",U121&lt;&gt;"",V121&lt;&gt;"")),"×","○")</f>
        <v>○</v>
      </c>
      <c r="BG121" s="653" t="str">
        <f t="shared" ref="BG121" si="1042">IF(AND($W$7=" ",OR(W121&lt;&gt;"",Y121&lt;&gt;"",Z121&lt;&gt;"",AA121&lt;&gt;"")),"×","○")</f>
        <v>○</v>
      </c>
      <c r="BH121" s="653" t="str">
        <f t="shared" ref="BH121" si="1043">IF(AND($AB$7=" ",OR(AB121&lt;&gt;"",AD121&lt;&gt;"",AE121&lt;&gt;"",AF121&lt;&gt;"")),"×","○")</f>
        <v>○</v>
      </c>
      <c r="BI121" s="653" t="str">
        <f t="shared" ref="BI121" si="1044">IF(AND($AG$7=" ",OR(AG121&lt;&gt;"",AI121&lt;&gt;"",AJ121&lt;&gt;"")),"×","○")</f>
        <v>○</v>
      </c>
      <c r="BJ121" s="2225" t="e">
        <f t="shared" ref="BJ121" si="1045">SUMPRODUCT(1/COUNTIF(I121:AH121,"宿泊"))</f>
        <v>#DIV/0!</v>
      </c>
      <c r="BK121" s="2226" t="e">
        <f t="shared" ref="BK121" si="1046">SUMPRODUCT(1/COUNTIF(I121:AH121,"日帰り"))</f>
        <v>#DIV/0!</v>
      </c>
      <c r="BL121" s="1381">
        <f t="shared" ref="BL121" si="1047">COUNT(BJ121)-COUNT(BK121)</f>
        <v>0</v>
      </c>
      <c r="BM121" s="684"/>
    </row>
    <row r="122" spans="1:65" ht="14.1" customHeight="1" x14ac:dyDescent="0.15">
      <c r="A122" s="652"/>
      <c r="B122" s="2174"/>
      <c r="C122" s="2144"/>
      <c r="D122" s="2007"/>
      <c r="E122" s="2005"/>
      <c r="F122" s="2042"/>
      <c r="G122" s="2119"/>
      <c r="H122" s="2107"/>
      <c r="I122" s="2112"/>
      <c r="J122" s="2113"/>
      <c r="K122" s="2105"/>
      <c r="L122" s="2127"/>
      <c r="M122" s="2112"/>
      <c r="N122" s="2113"/>
      <c r="O122" s="2105"/>
      <c r="P122" s="2105"/>
      <c r="Q122" s="2107"/>
      <c r="R122" s="2112"/>
      <c r="S122" s="2113"/>
      <c r="T122" s="2105"/>
      <c r="U122" s="2105"/>
      <c r="V122" s="2107"/>
      <c r="W122" s="2112"/>
      <c r="X122" s="2113"/>
      <c r="Y122" s="2105"/>
      <c r="Z122" s="2105"/>
      <c r="AA122" s="2107"/>
      <c r="AB122" s="2112"/>
      <c r="AC122" s="2113"/>
      <c r="AD122" s="2105"/>
      <c r="AE122" s="2105"/>
      <c r="AF122" s="2107"/>
      <c r="AG122" s="2112"/>
      <c r="AH122" s="2113"/>
      <c r="AI122" s="2105"/>
      <c r="AJ122" s="2105"/>
      <c r="AK122" s="2011"/>
      <c r="AL122" s="2012"/>
      <c r="AM122" s="2012"/>
      <c r="AN122" s="2013"/>
      <c r="AO122" s="2011"/>
      <c r="AP122" s="2012"/>
      <c r="AQ122" s="2012"/>
      <c r="AR122" s="2013"/>
      <c r="AS122" s="651"/>
      <c r="AT122" s="652"/>
      <c r="AU122" s="1983"/>
      <c r="AV122" s="1983"/>
      <c r="AW122" s="1983"/>
      <c r="AX122" s="1983"/>
      <c r="AY122" s="1983"/>
      <c r="AZ122" s="1983"/>
      <c r="BA122" s="1983"/>
      <c r="BB122" s="654"/>
      <c r="BC122" s="654"/>
      <c r="BD122" s="652"/>
      <c r="BE122" s="652"/>
      <c r="BF122" s="652"/>
      <c r="BG122" s="652"/>
      <c r="BH122" s="652"/>
      <c r="BI122" s="652"/>
      <c r="BJ122" s="2225"/>
      <c r="BK122" s="2226"/>
      <c r="BL122" s="1381"/>
      <c r="BM122" s="684"/>
    </row>
    <row r="123" spans="1:65" ht="14.1" customHeight="1" x14ac:dyDescent="0.15">
      <c r="A123" s="652" t="str">
        <f t="shared" ref="A123" si="1048">IF(AND(D123="",D125&lt;&gt;""),"×","○")</f>
        <v>○</v>
      </c>
      <c r="B123" s="2174" t="str">
        <f t="shared" ref="B123" si="1049">IF(AND(AT123="○",BB123="○",BC123="○",A123="○"),"○","×")</f>
        <v>○</v>
      </c>
      <c r="C123" s="2143">
        <v>55</v>
      </c>
      <c r="D123" s="2006"/>
      <c r="E123" s="2004"/>
      <c r="F123" s="2041"/>
      <c r="G123" s="2118"/>
      <c r="H123" s="2106"/>
      <c r="I123" s="2141"/>
      <c r="J123" s="2142"/>
      <c r="K123" s="2104"/>
      <c r="L123" s="2140"/>
      <c r="M123" s="2110"/>
      <c r="N123" s="2111"/>
      <c r="O123" s="2104"/>
      <c r="P123" s="2104"/>
      <c r="Q123" s="2106"/>
      <c r="R123" s="2110"/>
      <c r="S123" s="2111"/>
      <c r="T123" s="2104"/>
      <c r="U123" s="2104"/>
      <c r="V123" s="2106"/>
      <c r="W123" s="2110"/>
      <c r="X123" s="2111"/>
      <c r="Y123" s="2104"/>
      <c r="Z123" s="2104"/>
      <c r="AA123" s="2106"/>
      <c r="AB123" s="2110"/>
      <c r="AC123" s="2111"/>
      <c r="AD123" s="2104"/>
      <c r="AE123" s="2104"/>
      <c r="AF123" s="2106"/>
      <c r="AG123" s="2110"/>
      <c r="AH123" s="2111"/>
      <c r="AI123" s="2104"/>
      <c r="AJ123" s="2104"/>
      <c r="AK123" s="2038"/>
      <c r="AL123" s="2039"/>
      <c r="AM123" s="2039"/>
      <c r="AN123" s="2040"/>
      <c r="AO123" s="2008"/>
      <c r="AP123" s="2009"/>
      <c r="AQ123" s="2009"/>
      <c r="AR123" s="2010"/>
      <c r="AS123" s="651"/>
      <c r="AT123" s="652" t="str">
        <f t="shared" ref="AT123" si="1050">IF(OR(AND(D123&lt;&gt;"",OR(AND(E123&lt;&gt;"",F123&lt;&gt;"",OR(G123&lt;&gt;"",H123&lt;&gt;"")),AND(E123="",F123="バス・カメラマン等"))),AND(D123="",E123="",F123="",OR(G123="",H123=""))),"○","×")</f>
        <v>○</v>
      </c>
      <c r="AU123" s="1983" t="str">
        <f t="shared" ref="AU123" si="1051">IF(AND(E123&lt;&gt;"",E123&lt;=2),"2歳児以下","")</f>
        <v/>
      </c>
      <c r="AV123" s="1983" t="str">
        <f t="shared" ref="AV123" si="1052">IF(OR(AND(3&lt;=E123,E123&lt;=6),COUNTIF(E123, "幼*"),COUNTIF(E123, "年少"),COUNTIF(E123, "年中"),COUNTIF(E123, "年長")),"3歳-学齢前","")</f>
        <v/>
      </c>
      <c r="AW123" s="1983" t="str">
        <f t="shared" ref="AW123" si="1053">IF(OR(AND(6&lt;=E123,E123&lt;=12),COUNTIF(E123, "小*")),"小学生","")</f>
        <v/>
      </c>
      <c r="AX123" s="1983" t="str">
        <f t="shared" ref="AX123" si="1054">IF(OR(AND(12&lt;=E123,E123&lt;=15),COUNTIF(E123, "中*")),"中学生","")</f>
        <v/>
      </c>
      <c r="AY123" s="1983" t="str">
        <f t="shared" ref="AY123" si="1055">IF(OR(AND(15&lt;=E123,E123&lt;=18),COUNTIF(E123, "高*")),"高校生(～18歳)","")</f>
        <v/>
      </c>
      <c r="AZ123" s="1983" t="str">
        <f t="shared" ref="AZ123" si="1056">IF(OR(19&lt;=E123,COUNTIF(E123, "大*"),COUNTIF(E123, "*院*"),COUNTIF(E123, "*専*")),"一般(19歳～)","")</f>
        <v/>
      </c>
      <c r="BA123" s="1983" t="s">
        <v>475</v>
      </c>
      <c r="BB123" s="652" t="str">
        <f t="shared" ref="BB123" si="1057">IF(OR(AND(D123="",I123="",M123="",R123="",W123="",AB123="",AG123=""),AND(D123&lt;&gt;"",OR(I123&lt;&gt;"",M123&lt;&gt;"",R123&lt;&gt;"",W123&lt;&gt;"",AB123&lt;&gt;"",AG123&lt;&gt;""))),"○","×")</f>
        <v>○</v>
      </c>
      <c r="BC123" s="652" t="str">
        <f t="shared" ref="BC123" si="1058">IF(AND(BD123="○",BE123="○",BF123="○",BG123="○",BH123="○",BI123="○"),"○","×")</f>
        <v>○</v>
      </c>
      <c r="BD123" s="653" t="str">
        <f t="shared" ref="BD123" si="1059">IF(AND($I$7=" ",OR(I123&lt;&gt;"",K123&lt;&gt;"",L123&lt;&gt;"")),"×","○")</f>
        <v>○</v>
      </c>
      <c r="BE123" s="653" t="str">
        <f t="shared" ref="BE123" si="1060">IF(AND($M$7=" ",OR(M123&lt;&gt;"",O123&lt;&gt;"",P123&lt;&gt;"",Q123&lt;&gt;"")),"×","○")</f>
        <v>○</v>
      </c>
      <c r="BF123" s="653" t="str">
        <f t="shared" ref="BF123" si="1061">IF(AND($R$7=" ",OR(R123&lt;&gt;"",T123&lt;&gt;"",U123&lt;&gt;"",V123&lt;&gt;"")),"×","○")</f>
        <v>○</v>
      </c>
      <c r="BG123" s="653" t="str">
        <f t="shared" ref="BG123" si="1062">IF(AND($W$7=" ",OR(W123&lt;&gt;"",Y123&lt;&gt;"",Z123&lt;&gt;"",AA123&lt;&gt;"")),"×","○")</f>
        <v>○</v>
      </c>
      <c r="BH123" s="653" t="str">
        <f t="shared" ref="BH123" si="1063">IF(AND($AB$7=" ",OR(AB123&lt;&gt;"",AD123&lt;&gt;"",AE123&lt;&gt;"",AF123&lt;&gt;"")),"×","○")</f>
        <v>○</v>
      </c>
      <c r="BI123" s="653" t="str">
        <f t="shared" ref="BI123" si="1064">IF(AND($AG$7=" ",OR(AG123&lt;&gt;"",AI123&lt;&gt;"",AJ123&lt;&gt;"")),"×","○")</f>
        <v>○</v>
      </c>
      <c r="BJ123" s="2225" t="e">
        <f t="shared" ref="BJ123" si="1065">SUMPRODUCT(1/COUNTIF(I123:AH123,"宿泊"))</f>
        <v>#DIV/0!</v>
      </c>
      <c r="BK123" s="2226" t="e">
        <f t="shared" ref="BK123" si="1066">SUMPRODUCT(1/COUNTIF(I123:AH123,"日帰り"))</f>
        <v>#DIV/0!</v>
      </c>
      <c r="BL123" s="1381">
        <f t="shared" ref="BL123" si="1067">COUNT(BJ123)-COUNT(BK123)</f>
        <v>0</v>
      </c>
      <c r="BM123" s="684"/>
    </row>
    <row r="124" spans="1:65" ht="14.1" customHeight="1" x14ac:dyDescent="0.15">
      <c r="A124" s="652"/>
      <c r="B124" s="2174"/>
      <c r="C124" s="2144"/>
      <c r="D124" s="2007"/>
      <c r="E124" s="2005"/>
      <c r="F124" s="2042"/>
      <c r="G124" s="2119"/>
      <c r="H124" s="2107"/>
      <c r="I124" s="2112"/>
      <c r="J124" s="2113"/>
      <c r="K124" s="2105"/>
      <c r="L124" s="2127"/>
      <c r="M124" s="2112"/>
      <c r="N124" s="2113"/>
      <c r="O124" s="2105"/>
      <c r="P124" s="2105"/>
      <c r="Q124" s="2107"/>
      <c r="R124" s="2112"/>
      <c r="S124" s="2113"/>
      <c r="T124" s="2105"/>
      <c r="U124" s="2105"/>
      <c r="V124" s="2107"/>
      <c r="W124" s="2112"/>
      <c r="X124" s="2113"/>
      <c r="Y124" s="2105"/>
      <c r="Z124" s="2105"/>
      <c r="AA124" s="2107"/>
      <c r="AB124" s="2112"/>
      <c r="AC124" s="2113"/>
      <c r="AD124" s="2105"/>
      <c r="AE124" s="2105"/>
      <c r="AF124" s="2107"/>
      <c r="AG124" s="2112"/>
      <c r="AH124" s="2113"/>
      <c r="AI124" s="2105"/>
      <c r="AJ124" s="2105"/>
      <c r="AK124" s="2011"/>
      <c r="AL124" s="2012"/>
      <c r="AM124" s="2012"/>
      <c r="AN124" s="2013"/>
      <c r="AO124" s="2011"/>
      <c r="AP124" s="2012"/>
      <c r="AQ124" s="2012"/>
      <c r="AR124" s="2013"/>
      <c r="AS124" s="651"/>
      <c r="AT124" s="652"/>
      <c r="AU124" s="1983"/>
      <c r="AV124" s="1983"/>
      <c r="AW124" s="1983"/>
      <c r="AX124" s="1983"/>
      <c r="AY124" s="1983"/>
      <c r="AZ124" s="1983"/>
      <c r="BA124" s="1983"/>
      <c r="BB124" s="654"/>
      <c r="BC124" s="654"/>
      <c r="BD124" s="652"/>
      <c r="BE124" s="652"/>
      <c r="BF124" s="652"/>
      <c r="BG124" s="652"/>
      <c r="BH124" s="652"/>
      <c r="BI124" s="652"/>
      <c r="BJ124" s="2225"/>
      <c r="BK124" s="2226"/>
      <c r="BL124" s="1381"/>
      <c r="BM124" s="684"/>
    </row>
    <row r="125" spans="1:65" ht="14.1" customHeight="1" x14ac:dyDescent="0.15">
      <c r="A125" s="652" t="str">
        <f t="shared" ref="A125" si="1068">IF(AND(D125="",D127&lt;&gt;""),"×","○")</f>
        <v>○</v>
      </c>
      <c r="B125" s="2174" t="str">
        <f t="shared" ref="B125" si="1069">IF(AND(AT125="○",BB125="○",BC125="○",A125="○"),"○","×")</f>
        <v>○</v>
      </c>
      <c r="C125" s="2143">
        <v>56</v>
      </c>
      <c r="D125" s="2006"/>
      <c r="E125" s="2004"/>
      <c r="F125" s="2041"/>
      <c r="G125" s="2123"/>
      <c r="H125" s="2109"/>
      <c r="I125" s="2141"/>
      <c r="J125" s="2142"/>
      <c r="K125" s="2104"/>
      <c r="L125" s="2140"/>
      <c r="M125" s="2110"/>
      <c r="N125" s="2111"/>
      <c r="O125" s="2108"/>
      <c r="P125" s="2108"/>
      <c r="Q125" s="2109"/>
      <c r="R125" s="2110"/>
      <c r="S125" s="2111"/>
      <c r="T125" s="2108"/>
      <c r="U125" s="2108"/>
      <c r="V125" s="2109"/>
      <c r="W125" s="2110"/>
      <c r="X125" s="2111"/>
      <c r="Y125" s="2108"/>
      <c r="Z125" s="2108"/>
      <c r="AA125" s="2109"/>
      <c r="AB125" s="2110"/>
      <c r="AC125" s="2111"/>
      <c r="AD125" s="2108"/>
      <c r="AE125" s="2108"/>
      <c r="AF125" s="2109"/>
      <c r="AG125" s="2110"/>
      <c r="AH125" s="2111"/>
      <c r="AI125" s="2108"/>
      <c r="AJ125" s="2108"/>
      <c r="AK125" s="2038"/>
      <c r="AL125" s="2039"/>
      <c r="AM125" s="2039"/>
      <c r="AN125" s="2040"/>
      <c r="AO125" s="2008"/>
      <c r="AP125" s="2009"/>
      <c r="AQ125" s="2009"/>
      <c r="AR125" s="2010"/>
      <c r="AS125" s="651"/>
      <c r="AT125" s="652" t="str">
        <f t="shared" ref="AT125" si="1070">IF(OR(AND(D125&lt;&gt;"",OR(AND(E125&lt;&gt;"",F125&lt;&gt;"",OR(G125&lt;&gt;"",H125&lt;&gt;"")),AND(E125="",F125="バス・カメラマン等"))),AND(D125="",E125="",F125="",OR(G125="",H125=""))),"○","×")</f>
        <v>○</v>
      </c>
      <c r="AU125" s="1983" t="str">
        <f t="shared" ref="AU125" si="1071">IF(AND(E125&lt;&gt;"",E125&lt;=2),"2歳児以下","")</f>
        <v/>
      </c>
      <c r="AV125" s="1983" t="str">
        <f t="shared" ref="AV125" si="1072">IF(OR(AND(3&lt;=E125,E125&lt;=6),COUNTIF(E125, "幼*"),COUNTIF(E125, "年少"),COUNTIF(E125, "年中"),COUNTIF(E125, "年長")),"3歳-学齢前","")</f>
        <v/>
      </c>
      <c r="AW125" s="1983" t="str">
        <f t="shared" ref="AW125" si="1073">IF(OR(AND(6&lt;=E125,E125&lt;=12),COUNTIF(E125, "小*")),"小学生","")</f>
        <v/>
      </c>
      <c r="AX125" s="1983" t="str">
        <f t="shared" ref="AX125" si="1074">IF(OR(AND(12&lt;=E125,E125&lt;=15),COUNTIF(E125, "中*")),"中学生","")</f>
        <v/>
      </c>
      <c r="AY125" s="1983" t="str">
        <f t="shared" ref="AY125" si="1075">IF(OR(AND(15&lt;=E125,E125&lt;=18),COUNTIF(E125, "高*")),"高校生(～18歳)","")</f>
        <v/>
      </c>
      <c r="AZ125" s="1983" t="str">
        <f t="shared" ref="AZ125" si="1076">IF(OR(19&lt;=E125,COUNTIF(E125, "大*"),COUNTIF(E125, "*院*"),COUNTIF(E125, "*専*")),"一般(19歳～)","")</f>
        <v/>
      </c>
      <c r="BA125" s="1983" t="s">
        <v>475</v>
      </c>
      <c r="BB125" s="652" t="str">
        <f t="shared" ref="BB125" si="1077">IF(OR(AND(D125="",I125="",M125="",R125="",W125="",AB125="",AG125=""),AND(D125&lt;&gt;"",OR(I125&lt;&gt;"",M125&lt;&gt;"",R125&lt;&gt;"",W125&lt;&gt;"",AB125&lt;&gt;"",AG125&lt;&gt;""))),"○","×")</f>
        <v>○</v>
      </c>
      <c r="BC125" s="652" t="str">
        <f t="shared" ref="BC125" si="1078">IF(AND(BD125="○",BE125="○",BF125="○",BG125="○",BH125="○",BI125="○"),"○","×")</f>
        <v>○</v>
      </c>
      <c r="BD125" s="653" t="str">
        <f t="shared" ref="BD125" si="1079">IF(AND($I$7=" ",OR(I125&lt;&gt;"",K125&lt;&gt;"",L125&lt;&gt;"")),"×","○")</f>
        <v>○</v>
      </c>
      <c r="BE125" s="653" t="str">
        <f t="shared" ref="BE125" si="1080">IF(AND($M$7=" ",OR(M125&lt;&gt;"",O125&lt;&gt;"",P125&lt;&gt;"",Q125&lt;&gt;"")),"×","○")</f>
        <v>○</v>
      </c>
      <c r="BF125" s="653" t="str">
        <f t="shared" ref="BF125" si="1081">IF(AND($R$7=" ",OR(R125&lt;&gt;"",T125&lt;&gt;"",U125&lt;&gt;"",V125&lt;&gt;"")),"×","○")</f>
        <v>○</v>
      </c>
      <c r="BG125" s="653" t="str">
        <f t="shared" ref="BG125" si="1082">IF(AND($W$7=" ",OR(W125&lt;&gt;"",Y125&lt;&gt;"",Z125&lt;&gt;"",AA125&lt;&gt;"")),"×","○")</f>
        <v>○</v>
      </c>
      <c r="BH125" s="653" t="str">
        <f t="shared" ref="BH125" si="1083">IF(AND($AB$7=" ",OR(AB125&lt;&gt;"",AD125&lt;&gt;"",AE125&lt;&gt;"",AF125&lt;&gt;"")),"×","○")</f>
        <v>○</v>
      </c>
      <c r="BI125" s="653" t="str">
        <f t="shared" ref="BI125" si="1084">IF(AND($AG$7=" ",OR(AG125&lt;&gt;"",AI125&lt;&gt;"",AJ125&lt;&gt;"")),"×","○")</f>
        <v>○</v>
      </c>
      <c r="BJ125" s="2225" t="e">
        <f t="shared" ref="BJ125" si="1085">SUMPRODUCT(1/COUNTIF(I125:AH125,"宿泊"))</f>
        <v>#DIV/0!</v>
      </c>
      <c r="BK125" s="2226" t="e">
        <f t="shared" ref="BK125" si="1086">SUMPRODUCT(1/COUNTIF(I125:AH125,"日帰り"))</f>
        <v>#DIV/0!</v>
      </c>
      <c r="BL125" s="1381">
        <f t="shared" ref="BL125" si="1087">COUNT(BJ125)-COUNT(BK125)</f>
        <v>0</v>
      </c>
      <c r="BM125" s="684"/>
    </row>
    <row r="126" spans="1:65" ht="14.1" customHeight="1" x14ac:dyDescent="0.15">
      <c r="A126" s="652"/>
      <c r="B126" s="2174"/>
      <c r="C126" s="2144"/>
      <c r="D126" s="2007"/>
      <c r="E126" s="2005"/>
      <c r="F126" s="2042"/>
      <c r="G126" s="2119"/>
      <c r="H126" s="2107"/>
      <c r="I126" s="2112"/>
      <c r="J126" s="2113"/>
      <c r="K126" s="2105"/>
      <c r="L126" s="2127"/>
      <c r="M126" s="2112"/>
      <c r="N126" s="2113"/>
      <c r="O126" s="2105"/>
      <c r="P126" s="2105"/>
      <c r="Q126" s="2107"/>
      <c r="R126" s="2112"/>
      <c r="S126" s="2113"/>
      <c r="T126" s="2105"/>
      <c r="U126" s="2105"/>
      <c r="V126" s="2107"/>
      <c r="W126" s="2112"/>
      <c r="X126" s="2113"/>
      <c r="Y126" s="2105"/>
      <c r="Z126" s="2105"/>
      <c r="AA126" s="2107"/>
      <c r="AB126" s="2112"/>
      <c r="AC126" s="2113"/>
      <c r="AD126" s="2105"/>
      <c r="AE126" s="2105"/>
      <c r="AF126" s="2107"/>
      <c r="AG126" s="2112"/>
      <c r="AH126" s="2113"/>
      <c r="AI126" s="2105"/>
      <c r="AJ126" s="2105"/>
      <c r="AK126" s="2011"/>
      <c r="AL126" s="2012"/>
      <c r="AM126" s="2012"/>
      <c r="AN126" s="2013"/>
      <c r="AO126" s="2011"/>
      <c r="AP126" s="2012"/>
      <c r="AQ126" s="2012"/>
      <c r="AR126" s="2013"/>
      <c r="AS126" s="651"/>
      <c r="AT126" s="652"/>
      <c r="AU126" s="1983"/>
      <c r="AV126" s="1983"/>
      <c r="AW126" s="1983"/>
      <c r="AX126" s="1983"/>
      <c r="AY126" s="1983"/>
      <c r="AZ126" s="1983"/>
      <c r="BA126" s="1983"/>
      <c r="BB126" s="654"/>
      <c r="BC126" s="654"/>
      <c r="BD126" s="652"/>
      <c r="BE126" s="652"/>
      <c r="BF126" s="652"/>
      <c r="BG126" s="652"/>
      <c r="BH126" s="652"/>
      <c r="BI126" s="652"/>
      <c r="BJ126" s="2225"/>
      <c r="BK126" s="2226"/>
      <c r="BL126" s="1381"/>
      <c r="BM126" s="684"/>
    </row>
    <row r="127" spans="1:65" ht="14.1" customHeight="1" x14ac:dyDescent="0.15">
      <c r="A127" s="652" t="str">
        <f t="shared" ref="A127" si="1088">IF(AND(D127="",D129&lt;&gt;""),"×","○")</f>
        <v>○</v>
      </c>
      <c r="B127" s="2174" t="str">
        <f t="shared" ref="B127" si="1089">IF(AND(AT127="○",BB127="○",BC127="○",A127="○"),"○","×")</f>
        <v>○</v>
      </c>
      <c r="C127" s="2143">
        <v>57</v>
      </c>
      <c r="D127" s="2006"/>
      <c r="E127" s="2004"/>
      <c r="F127" s="2041"/>
      <c r="G127" s="2123"/>
      <c r="H127" s="2109"/>
      <c r="I127" s="2141"/>
      <c r="J127" s="2142"/>
      <c r="K127" s="2104"/>
      <c r="L127" s="2140"/>
      <c r="M127" s="2110"/>
      <c r="N127" s="2111"/>
      <c r="O127" s="2108"/>
      <c r="P127" s="2108"/>
      <c r="Q127" s="2109"/>
      <c r="R127" s="2110"/>
      <c r="S127" s="2111"/>
      <c r="T127" s="2108"/>
      <c r="U127" s="2108"/>
      <c r="V127" s="2109"/>
      <c r="W127" s="2110"/>
      <c r="X127" s="2111"/>
      <c r="Y127" s="2108"/>
      <c r="Z127" s="2108"/>
      <c r="AA127" s="2109"/>
      <c r="AB127" s="2110"/>
      <c r="AC127" s="2111"/>
      <c r="AD127" s="2108"/>
      <c r="AE127" s="2108"/>
      <c r="AF127" s="2109"/>
      <c r="AG127" s="2110"/>
      <c r="AH127" s="2111"/>
      <c r="AI127" s="2108"/>
      <c r="AJ127" s="2108"/>
      <c r="AK127" s="2038"/>
      <c r="AL127" s="2039"/>
      <c r="AM127" s="2039"/>
      <c r="AN127" s="2040"/>
      <c r="AO127" s="2008"/>
      <c r="AP127" s="2009"/>
      <c r="AQ127" s="2009"/>
      <c r="AR127" s="2010"/>
      <c r="AS127" s="651"/>
      <c r="AT127" s="652" t="str">
        <f t="shared" ref="AT127" si="1090">IF(OR(AND(D127&lt;&gt;"",OR(AND(E127&lt;&gt;"",F127&lt;&gt;"",OR(G127&lt;&gt;"",H127&lt;&gt;"")),AND(E127="",F127="バス・カメラマン等"))),AND(D127="",E127="",F127="",OR(G127="",H127=""))),"○","×")</f>
        <v>○</v>
      </c>
      <c r="AU127" s="1983" t="str">
        <f t="shared" ref="AU127" si="1091">IF(AND(E127&lt;&gt;"",E127&lt;=2),"2歳児以下","")</f>
        <v/>
      </c>
      <c r="AV127" s="1983" t="str">
        <f t="shared" ref="AV127" si="1092">IF(OR(AND(3&lt;=E127,E127&lt;=6),COUNTIF(E127, "幼*"),COUNTIF(E127, "年少"),COUNTIF(E127, "年中"),COUNTIF(E127, "年長")),"3歳-学齢前","")</f>
        <v/>
      </c>
      <c r="AW127" s="1983" t="str">
        <f t="shared" ref="AW127" si="1093">IF(OR(AND(6&lt;=E127,E127&lt;=12),COUNTIF(E127, "小*")),"小学生","")</f>
        <v/>
      </c>
      <c r="AX127" s="1983" t="str">
        <f t="shared" ref="AX127" si="1094">IF(OR(AND(12&lt;=E127,E127&lt;=15),COUNTIF(E127, "中*")),"中学生","")</f>
        <v/>
      </c>
      <c r="AY127" s="1983" t="str">
        <f t="shared" ref="AY127" si="1095">IF(OR(AND(15&lt;=E127,E127&lt;=18),COUNTIF(E127, "高*")),"高校生(～18歳)","")</f>
        <v/>
      </c>
      <c r="AZ127" s="1983" t="str">
        <f t="shared" ref="AZ127" si="1096">IF(OR(19&lt;=E127,COUNTIF(E127, "大*"),COUNTIF(E127, "*院*"),COUNTIF(E127, "*専*")),"一般(19歳～)","")</f>
        <v/>
      </c>
      <c r="BA127" s="1983" t="s">
        <v>475</v>
      </c>
      <c r="BB127" s="652" t="str">
        <f t="shared" ref="BB127" si="1097">IF(OR(AND(D127="",I127="",M127="",R127="",W127="",AB127="",AG127=""),AND(D127&lt;&gt;"",OR(I127&lt;&gt;"",M127&lt;&gt;"",R127&lt;&gt;"",W127&lt;&gt;"",AB127&lt;&gt;"",AG127&lt;&gt;""))),"○","×")</f>
        <v>○</v>
      </c>
      <c r="BC127" s="652" t="str">
        <f t="shared" ref="BC127" si="1098">IF(AND(BD127="○",BE127="○",BF127="○",BG127="○",BH127="○",BI127="○"),"○","×")</f>
        <v>○</v>
      </c>
      <c r="BD127" s="653" t="str">
        <f t="shared" ref="BD127" si="1099">IF(AND($I$7=" ",OR(I127&lt;&gt;"",K127&lt;&gt;"",L127&lt;&gt;"")),"×","○")</f>
        <v>○</v>
      </c>
      <c r="BE127" s="653" t="str">
        <f t="shared" ref="BE127" si="1100">IF(AND($M$7=" ",OR(M127&lt;&gt;"",O127&lt;&gt;"",P127&lt;&gt;"",Q127&lt;&gt;"")),"×","○")</f>
        <v>○</v>
      </c>
      <c r="BF127" s="653" t="str">
        <f t="shared" ref="BF127" si="1101">IF(AND($R$7=" ",OR(R127&lt;&gt;"",T127&lt;&gt;"",U127&lt;&gt;"",V127&lt;&gt;"")),"×","○")</f>
        <v>○</v>
      </c>
      <c r="BG127" s="653" t="str">
        <f t="shared" ref="BG127" si="1102">IF(AND($W$7=" ",OR(W127&lt;&gt;"",Y127&lt;&gt;"",Z127&lt;&gt;"",AA127&lt;&gt;"")),"×","○")</f>
        <v>○</v>
      </c>
      <c r="BH127" s="653" t="str">
        <f t="shared" ref="BH127" si="1103">IF(AND($AB$7=" ",OR(AB127&lt;&gt;"",AD127&lt;&gt;"",AE127&lt;&gt;"",AF127&lt;&gt;"")),"×","○")</f>
        <v>○</v>
      </c>
      <c r="BI127" s="653" t="str">
        <f t="shared" ref="BI127" si="1104">IF(AND($AG$7=" ",OR(AG127&lt;&gt;"",AI127&lt;&gt;"",AJ127&lt;&gt;"")),"×","○")</f>
        <v>○</v>
      </c>
      <c r="BJ127" s="2225" t="e">
        <f t="shared" ref="BJ127" si="1105">SUMPRODUCT(1/COUNTIF(I127:AH127,"宿泊"))</f>
        <v>#DIV/0!</v>
      </c>
      <c r="BK127" s="2226" t="e">
        <f t="shared" ref="BK127" si="1106">SUMPRODUCT(1/COUNTIF(I127:AH127,"日帰り"))</f>
        <v>#DIV/0!</v>
      </c>
      <c r="BL127" s="1381">
        <f t="shared" ref="BL127" si="1107">COUNT(BJ127)-COUNT(BK127)</f>
        <v>0</v>
      </c>
      <c r="BM127" s="684"/>
    </row>
    <row r="128" spans="1:65" ht="14.1" customHeight="1" x14ac:dyDescent="0.15">
      <c r="A128" s="652"/>
      <c r="B128" s="2174"/>
      <c r="C128" s="2144"/>
      <c r="D128" s="2007"/>
      <c r="E128" s="2005"/>
      <c r="F128" s="2042"/>
      <c r="G128" s="2119"/>
      <c r="H128" s="2107"/>
      <c r="I128" s="2112"/>
      <c r="J128" s="2113"/>
      <c r="K128" s="2105"/>
      <c r="L128" s="2127"/>
      <c r="M128" s="2112"/>
      <c r="N128" s="2113"/>
      <c r="O128" s="2105"/>
      <c r="P128" s="2105"/>
      <c r="Q128" s="2107"/>
      <c r="R128" s="2112"/>
      <c r="S128" s="2113"/>
      <c r="T128" s="2105"/>
      <c r="U128" s="2105"/>
      <c r="V128" s="2107"/>
      <c r="W128" s="2112"/>
      <c r="X128" s="2113"/>
      <c r="Y128" s="2105"/>
      <c r="Z128" s="2105"/>
      <c r="AA128" s="2107"/>
      <c r="AB128" s="2112"/>
      <c r="AC128" s="2113"/>
      <c r="AD128" s="2105"/>
      <c r="AE128" s="2105"/>
      <c r="AF128" s="2107"/>
      <c r="AG128" s="2112"/>
      <c r="AH128" s="2113"/>
      <c r="AI128" s="2105"/>
      <c r="AJ128" s="2105"/>
      <c r="AK128" s="2011"/>
      <c r="AL128" s="2012"/>
      <c r="AM128" s="2012"/>
      <c r="AN128" s="2013"/>
      <c r="AO128" s="2011"/>
      <c r="AP128" s="2012"/>
      <c r="AQ128" s="2012"/>
      <c r="AR128" s="2013"/>
      <c r="AS128" s="651"/>
      <c r="AT128" s="652"/>
      <c r="AU128" s="1983"/>
      <c r="AV128" s="1983"/>
      <c r="AW128" s="1983"/>
      <c r="AX128" s="1983"/>
      <c r="AY128" s="1983"/>
      <c r="AZ128" s="1983"/>
      <c r="BA128" s="1983"/>
      <c r="BB128" s="654"/>
      <c r="BC128" s="654"/>
      <c r="BD128" s="652"/>
      <c r="BE128" s="652"/>
      <c r="BF128" s="652"/>
      <c r="BG128" s="652"/>
      <c r="BH128" s="652"/>
      <c r="BI128" s="652"/>
      <c r="BJ128" s="2225"/>
      <c r="BK128" s="2226"/>
      <c r="BL128" s="1381"/>
      <c r="BM128" s="684"/>
    </row>
    <row r="129" spans="1:65" ht="14.1" customHeight="1" x14ac:dyDescent="0.15">
      <c r="A129" s="652" t="str">
        <f t="shared" ref="A129" si="1108">IF(AND(D129="",D131&lt;&gt;""),"×","○")</f>
        <v>○</v>
      </c>
      <c r="B129" s="2174" t="str">
        <f t="shared" ref="B129" si="1109">IF(AND(AT129="○",BB129="○",BC129="○",A129="○"),"○","×")</f>
        <v>○</v>
      </c>
      <c r="C129" s="2143">
        <v>58</v>
      </c>
      <c r="D129" s="2006"/>
      <c r="E129" s="2004"/>
      <c r="F129" s="2041"/>
      <c r="G129" s="2123"/>
      <c r="H129" s="2109"/>
      <c r="I129" s="2141"/>
      <c r="J129" s="2142"/>
      <c r="K129" s="2104"/>
      <c r="L129" s="2140"/>
      <c r="M129" s="2110"/>
      <c r="N129" s="2111"/>
      <c r="O129" s="2108"/>
      <c r="P129" s="2108"/>
      <c r="Q129" s="2109"/>
      <c r="R129" s="2110"/>
      <c r="S129" s="2111"/>
      <c r="T129" s="2108"/>
      <c r="U129" s="2108"/>
      <c r="V129" s="2109"/>
      <c r="W129" s="2110"/>
      <c r="X129" s="2111"/>
      <c r="Y129" s="2108"/>
      <c r="Z129" s="2108"/>
      <c r="AA129" s="2109"/>
      <c r="AB129" s="2110"/>
      <c r="AC129" s="2111"/>
      <c r="AD129" s="2108"/>
      <c r="AE129" s="2108"/>
      <c r="AF129" s="2109"/>
      <c r="AG129" s="2110"/>
      <c r="AH129" s="2111"/>
      <c r="AI129" s="2108"/>
      <c r="AJ129" s="2108"/>
      <c r="AK129" s="2038"/>
      <c r="AL129" s="2039"/>
      <c r="AM129" s="2039"/>
      <c r="AN129" s="2040"/>
      <c r="AO129" s="2008"/>
      <c r="AP129" s="2009"/>
      <c r="AQ129" s="2009"/>
      <c r="AR129" s="2010"/>
      <c r="AS129" s="651"/>
      <c r="AT129" s="652" t="str">
        <f t="shared" ref="AT129" si="1110">IF(OR(AND(D129&lt;&gt;"",OR(AND(E129&lt;&gt;"",F129&lt;&gt;"",OR(G129&lt;&gt;"",H129&lt;&gt;"")),AND(E129="",F129="バス・カメラマン等"))),AND(D129="",E129="",F129="",OR(G129="",H129=""))),"○","×")</f>
        <v>○</v>
      </c>
      <c r="AU129" s="1983" t="str">
        <f t="shared" ref="AU129" si="1111">IF(AND(E129&lt;&gt;"",E129&lt;=2),"2歳児以下","")</f>
        <v/>
      </c>
      <c r="AV129" s="1983" t="str">
        <f t="shared" ref="AV129" si="1112">IF(OR(AND(3&lt;=E129,E129&lt;=6),COUNTIF(E129, "幼*"),COUNTIF(E129, "年少"),COUNTIF(E129, "年中"),COUNTIF(E129, "年長")),"3歳-学齢前","")</f>
        <v/>
      </c>
      <c r="AW129" s="1983" t="str">
        <f t="shared" ref="AW129" si="1113">IF(OR(AND(6&lt;=E129,E129&lt;=12),COUNTIF(E129, "小*")),"小学生","")</f>
        <v/>
      </c>
      <c r="AX129" s="1983" t="str">
        <f t="shared" ref="AX129" si="1114">IF(OR(AND(12&lt;=E129,E129&lt;=15),COUNTIF(E129, "中*")),"中学生","")</f>
        <v/>
      </c>
      <c r="AY129" s="1983" t="str">
        <f t="shared" ref="AY129" si="1115">IF(OR(AND(15&lt;=E129,E129&lt;=18),COUNTIF(E129, "高*")),"高校生(～18歳)","")</f>
        <v/>
      </c>
      <c r="AZ129" s="1983" t="str">
        <f t="shared" ref="AZ129" si="1116">IF(OR(19&lt;=E129,COUNTIF(E129, "大*"),COUNTIF(E129, "*院*"),COUNTIF(E129, "*専*")),"一般(19歳～)","")</f>
        <v/>
      </c>
      <c r="BA129" s="1983" t="s">
        <v>475</v>
      </c>
      <c r="BB129" s="652" t="str">
        <f t="shared" ref="BB129" si="1117">IF(OR(AND(D129="",I129="",M129="",R129="",W129="",AB129="",AG129=""),AND(D129&lt;&gt;"",OR(I129&lt;&gt;"",M129&lt;&gt;"",R129&lt;&gt;"",W129&lt;&gt;"",AB129&lt;&gt;"",AG129&lt;&gt;""))),"○","×")</f>
        <v>○</v>
      </c>
      <c r="BC129" s="652" t="str">
        <f t="shared" ref="BC129" si="1118">IF(AND(BD129="○",BE129="○",BF129="○",BG129="○",BH129="○",BI129="○"),"○","×")</f>
        <v>○</v>
      </c>
      <c r="BD129" s="653" t="str">
        <f t="shared" ref="BD129" si="1119">IF(AND($I$7=" ",OR(I129&lt;&gt;"",K129&lt;&gt;"",L129&lt;&gt;"")),"×","○")</f>
        <v>○</v>
      </c>
      <c r="BE129" s="653" t="str">
        <f t="shared" ref="BE129" si="1120">IF(AND($M$7=" ",OR(M129&lt;&gt;"",O129&lt;&gt;"",P129&lt;&gt;"",Q129&lt;&gt;"")),"×","○")</f>
        <v>○</v>
      </c>
      <c r="BF129" s="653" t="str">
        <f t="shared" ref="BF129" si="1121">IF(AND($R$7=" ",OR(R129&lt;&gt;"",T129&lt;&gt;"",U129&lt;&gt;"",V129&lt;&gt;"")),"×","○")</f>
        <v>○</v>
      </c>
      <c r="BG129" s="653" t="str">
        <f t="shared" ref="BG129" si="1122">IF(AND($W$7=" ",OR(W129&lt;&gt;"",Y129&lt;&gt;"",Z129&lt;&gt;"",AA129&lt;&gt;"")),"×","○")</f>
        <v>○</v>
      </c>
      <c r="BH129" s="653" t="str">
        <f t="shared" ref="BH129" si="1123">IF(AND($AB$7=" ",OR(AB129&lt;&gt;"",AD129&lt;&gt;"",AE129&lt;&gt;"",AF129&lt;&gt;"")),"×","○")</f>
        <v>○</v>
      </c>
      <c r="BI129" s="653" t="str">
        <f t="shared" ref="BI129" si="1124">IF(AND($AG$7=" ",OR(AG129&lt;&gt;"",AI129&lt;&gt;"",AJ129&lt;&gt;"")),"×","○")</f>
        <v>○</v>
      </c>
      <c r="BJ129" s="2225" t="e">
        <f t="shared" ref="BJ129" si="1125">SUMPRODUCT(1/COUNTIF(I129:AH129,"宿泊"))</f>
        <v>#DIV/0!</v>
      </c>
      <c r="BK129" s="2226" t="e">
        <f t="shared" ref="BK129" si="1126">SUMPRODUCT(1/COUNTIF(I129:AH129,"日帰り"))</f>
        <v>#DIV/0!</v>
      </c>
      <c r="BL129" s="1381">
        <f t="shared" ref="BL129" si="1127">COUNT(BJ129)-COUNT(BK129)</f>
        <v>0</v>
      </c>
      <c r="BM129" s="684"/>
    </row>
    <row r="130" spans="1:65" ht="14.1" customHeight="1" x14ac:dyDescent="0.15">
      <c r="A130" s="652"/>
      <c r="B130" s="2174"/>
      <c r="C130" s="2144"/>
      <c r="D130" s="2007"/>
      <c r="E130" s="2005"/>
      <c r="F130" s="2042"/>
      <c r="G130" s="2119"/>
      <c r="H130" s="2107"/>
      <c r="I130" s="2112"/>
      <c r="J130" s="2113"/>
      <c r="K130" s="2105"/>
      <c r="L130" s="2127"/>
      <c r="M130" s="2112"/>
      <c r="N130" s="2113"/>
      <c r="O130" s="2105"/>
      <c r="P130" s="2105"/>
      <c r="Q130" s="2107"/>
      <c r="R130" s="2112"/>
      <c r="S130" s="2113"/>
      <c r="T130" s="2105"/>
      <c r="U130" s="2105"/>
      <c r="V130" s="2107"/>
      <c r="W130" s="2112"/>
      <c r="X130" s="2113"/>
      <c r="Y130" s="2105"/>
      <c r="Z130" s="2105"/>
      <c r="AA130" s="2107"/>
      <c r="AB130" s="2112"/>
      <c r="AC130" s="2113"/>
      <c r="AD130" s="2105"/>
      <c r="AE130" s="2105"/>
      <c r="AF130" s="2107"/>
      <c r="AG130" s="2112"/>
      <c r="AH130" s="2113"/>
      <c r="AI130" s="2105"/>
      <c r="AJ130" s="2105"/>
      <c r="AK130" s="2011"/>
      <c r="AL130" s="2012"/>
      <c r="AM130" s="2012"/>
      <c r="AN130" s="2013"/>
      <c r="AO130" s="2011"/>
      <c r="AP130" s="2012"/>
      <c r="AQ130" s="2012"/>
      <c r="AR130" s="2013"/>
      <c r="AS130" s="651"/>
      <c r="AT130" s="652"/>
      <c r="AU130" s="1983"/>
      <c r="AV130" s="1983"/>
      <c r="AW130" s="1983"/>
      <c r="AX130" s="1983"/>
      <c r="AY130" s="1983"/>
      <c r="AZ130" s="1983"/>
      <c r="BA130" s="1983"/>
      <c r="BB130" s="654"/>
      <c r="BC130" s="654"/>
      <c r="BD130" s="652"/>
      <c r="BE130" s="652"/>
      <c r="BF130" s="652"/>
      <c r="BG130" s="652"/>
      <c r="BH130" s="652"/>
      <c r="BI130" s="652"/>
      <c r="BJ130" s="2225"/>
      <c r="BK130" s="2226"/>
      <c r="BL130" s="1381"/>
      <c r="BM130" s="684"/>
    </row>
    <row r="131" spans="1:65" ht="14.1" customHeight="1" x14ac:dyDescent="0.15">
      <c r="A131" s="652" t="str">
        <f t="shared" ref="A131" si="1128">IF(AND(D131="",D133&lt;&gt;""),"×","○")</f>
        <v>○</v>
      </c>
      <c r="B131" s="2174" t="str">
        <f t="shared" ref="B131" si="1129">IF(AND(AT131="○",BB131="○",BC131="○",A131="○"),"○","×")</f>
        <v>○</v>
      </c>
      <c r="C131" s="2143">
        <v>59</v>
      </c>
      <c r="D131" s="2006"/>
      <c r="E131" s="2004"/>
      <c r="F131" s="2041"/>
      <c r="G131" s="2123"/>
      <c r="H131" s="2109"/>
      <c r="I131" s="2141"/>
      <c r="J131" s="2142"/>
      <c r="K131" s="2104"/>
      <c r="L131" s="2140"/>
      <c r="M131" s="2110"/>
      <c r="N131" s="2111"/>
      <c r="O131" s="2108"/>
      <c r="P131" s="2108"/>
      <c r="Q131" s="2109"/>
      <c r="R131" s="2110"/>
      <c r="S131" s="2111"/>
      <c r="T131" s="2108"/>
      <c r="U131" s="2108"/>
      <c r="V131" s="2109"/>
      <c r="W131" s="2110"/>
      <c r="X131" s="2111"/>
      <c r="Y131" s="2108"/>
      <c r="Z131" s="2108"/>
      <c r="AA131" s="2109"/>
      <c r="AB131" s="2110"/>
      <c r="AC131" s="2111"/>
      <c r="AD131" s="2108"/>
      <c r="AE131" s="2108"/>
      <c r="AF131" s="2109"/>
      <c r="AG131" s="2110"/>
      <c r="AH131" s="2111"/>
      <c r="AI131" s="2108"/>
      <c r="AJ131" s="2108"/>
      <c r="AK131" s="2038"/>
      <c r="AL131" s="2039"/>
      <c r="AM131" s="2039"/>
      <c r="AN131" s="2040"/>
      <c r="AO131" s="2008"/>
      <c r="AP131" s="2009"/>
      <c r="AQ131" s="2009"/>
      <c r="AR131" s="2010"/>
      <c r="AS131" s="651"/>
      <c r="AT131" s="652" t="str">
        <f t="shared" ref="AT131" si="1130">IF(OR(AND(D131&lt;&gt;"",OR(AND(E131&lt;&gt;"",F131&lt;&gt;"",OR(G131&lt;&gt;"",H131&lt;&gt;"")),AND(E131="",F131="バス・カメラマン等"))),AND(D131="",E131="",F131="",OR(G131="",H131=""))),"○","×")</f>
        <v>○</v>
      </c>
      <c r="AU131" s="1983" t="str">
        <f t="shared" ref="AU131" si="1131">IF(AND(E131&lt;&gt;"",E131&lt;=2),"2歳児以下","")</f>
        <v/>
      </c>
      <c r="AV131" s="1983" t="str">
        <f t="shared" ref="AV131" si="1132">IF(OR(AND(3&lt;=E131,E131&lt;=6),COUNTIF(E131, "幼*"),COUNTIF(E131, "年少"),COUNTIF(E131, "年中"),COUNTIF(E131, "年長")),"3歳-学齢前","")</f>
        <v/>
      </c>
      <c r="AW131" s="1983" t="str">
        <f t="shared" ref="AW131" si="1133">IF(OR(AND(6&lt;=E131,E131&lt;=12),COUNTIF(E131, "小*")),"小学生","")</f>
        <v/>
      </c>
      <c r="AX131" s="1983" t="str">
        <f t="shared" ref="AX131" si="1134">IF(OR(AND(12&lt;=E131,E131&lt;=15),COUNTIF(E131, "中*")),"中学生","")</f>
        <v/>
      </c>
      <c r="AY131" s="1983" t="str">
        <f t="shared" ref="AY131" si="1135">IF(OR(AND(15&lt;=E131,E131&lt;=18),COUNTIF(E131, "高*")),"高校生(～18歳)","")</f>
        <v/>
      </c>
      <c r="AZ131" s="1983" t="str">
        <f t="shared" ref="AZ131" si="1136">IF(OR(19&lt;=E131,COUNTIF(E131, "大*"),COUNTIF(E131, "*院*"),COUNTIF(E131, "*専*")),"一般(19歳～)","")</f>
        <v/>
      </c>
      <c r="BA131" s="1983" t="s">
        <v>475</v>
      </c>
      <c r="BB131" s="652" t="str">
        <f t="shared" ref="BB131" si="1137">IF(OR(AND(D131="",I131="",M131="",R131="",W131="",AB131="",AG131=""),AND(D131&lt;&gt;"",OR(I131&lt;&gt;"",M131&lt;&gt;"",R131&lt;&gt;"",W131&lt;&gt;"",AB131&lt;&gt;"",AG131&lt;&gt;""))),"○","×")</f>
        <v>○</v>
      </c>
      <c r="BC131" s="652" t="str">
        <f t="shared" ref="BC131" si="1138">IF(AND(BD131="○",BE131="○",BF131="○",BG131="○",BH131="○",BI131="○"),"○","×")</f>
        <v>○</v>
      </c>
      <c r="BD131" s="653" t="str">
        <f t="shared" ref="BD131" si="1139">IF(AND($I$7=" ",OR(I131&lt;&gt;"",K131&lt;&gt;"",L131&lt;&gt;"")),"×","○")</f>
        <v>○</v>
      </c>
      <c r="BE131" s="653" t="str">
        <f t="shared" ref="BE131" si="1140">IF(AND($M$7=" ",OR(M131&lt;&gt;"",O131&lt;&gt;"",P131&lt;&gt;"",Q131&lt;&gt;"")),"×","○")</f>
        <v>○</v>
      </c>
      <c r="BF131" s="653" t="str">
        <f t="shared" ref="BF131" si="1141">IF(AND($R$7=" ",OR(R131&lt;&gt;"",T131&lt;&gt;"",U131&lt;&gt;"",V131&lt;&gt;"")),"×","○")</f>
        <v>○</v>
      </c>
      <c r="BG131" s="653" t="str">
        <f t="shared" ref="BG131" si="1142">IF(AND($W$7=" ",OR(W131&lt;&gt;"",Y131&lt;&gt;"",Z131&lt;&gt;"",AA131&lt;&gt;"")),"×","○")</f>
        <v>○</v>
      </c>
      <c r="BH131" s="653" t="str">
        <f t="shared" ref="BH131" si="1143">IF(AND($AB$7=" ",OR(AB131&lt;&gt;"",AD131&lt;&gt;"",AE131&lt;&gt;"",AF131&lt;&gt;"")),"×","○")</f>
        <v>○</v>
      </c>
      <c r="BI131" s="653" t="str">
        <f t="shared" ref="BI131" si="1144">IF(AND($AG$7=" ",OR(AG131&lt;&gt;"",AI131&lt;&gt;"",AJ131&lt;&gt;"")),"×","○")</f>
        <v>○</v>
      </c>
      <c r="BJ131" s="2225" t="e">
        <f t="shared" ref="BJ131" si="1145">SUMPRODUCT(1/COUNTIF(I131:AH131,"宿泊"))</f>
        <v>#DIV/0!</v>
      </c>
      <c r="BK131" s="2226" t="e">
        <f t="shared" ref="BK131" si="1146">SUMPRODUCT(1/COUNTIF(I131:AH131,"日帰り"))</f>
        <v>#DIV/0!</v>
      </c>
      <c r="BL131" s="1381">
        <f t="shared" ref="BL131" si="1147">COUNT(BJ131)-COUNT(BK131)</f>
        <v>0</v>
      </c>
      <c r="BM131" s="684"/>
    </row>
    <row r="132" spans="1:65" ht="14.1" customHeight="1" x14ac:dyDescent="0.15">
      <c r="A132" s="652"/>
      <c r="B132" s="2174"/>
      <c r="C132" s="2144"/>
      <c r="D132" s="2007"/>
      <c r="E132" s="2005"/>
      <c r="F132" s="2042"/>
      <c r="G132" s="2119"/>
      <c r="H132" s="2107"/>
      <c r="I132" s="2112"/>
      <c r="J132" s="2113"/>
      <c r="K132" s="2105"/>
      <c r="L132" s="2127"/>
      <c r="M132" s="2112"/>
      <c r="N132" s="2113"/>
      <c r="O132" s="2105"/>
      <c r="P132" s="2105"/>
      <c r="Q132" s="2107"/>
      <c r="R132" s="2112"/>
      <c r="S132" s="2113"/>
      <c r="T132" s="2105"/>
      <c r="U132" s="2105"/>
      <c r="V132" s="2107"/>
      <c r="W132" s="2112"/>
      <c r="X132" s="2113"/>
      <c r="Y132" s="2105"/>
      <c r="Z132" s="2105"/>
      <c r="AA132" s="2107"/>
      <c r="AB132" s="2112"/>
      <c r="AC132" s="2113"/>
      <c r="AD132" s="2105"/>
      <c r="AE132" s="2105"/>
      <c r="AF132" s="2107"/>
      <c r="AG132" s="2112"/>
      <c r="AH132" s="2113"/>
      <c r="AI132" s="2105"/>
      <c r="AJ132" s="2105"/>
      <c r="AK132" s="2011"/>
      <c r="AL132" s="2012"/>
      <c r="AM132" s="2012"/>
      <c r="AN132" s="2013"/>
      <c r="AO132" s="2011"/>
      <c r="AP132" s="2012"/>
      <c r="AQ132" s="2012"/>
      <c r="AR132" s="2013"/>
      <c r="AS132" s="651"/>
      <c r="AT132" s="652"/>
      <c r="AU132" s="1983"/>
      <c r="AV132" s="1983"/>
      <c r="AW132" s="1983"/>
      <c r="AX132" s="1983"/>
      <c r="AY132" s="1983"/>
      <c r="AZ132" s="1983"/>
      <c r="BA132" s="1983"/>
      <c r="BB132" s="654"/>
      <c r="BC132" s="654"/>
      <c r="BD132" s="652"/>
      <c r="BE132" s="652"/>
      <c r="BF132" s="652"/>
      <c r="BG132" s="652"/>
      <c r="BH132" s="652"/>
      <c r="BI132" s="652"/>
      <c r="BJ132" s="2225"/>
      <c r="BK132" s="2226"/>
      <c r="BL132" s="1381"/>
      <c r="BM132" s="684"/>
    </row>
    <row r="133" spans="1:65" ht="14.1" customHeight="1" x14ac:dyDescent="0.15">
      <c r="A133" s="652" t="str">
        <f t="shared" ref="A133" si="1148">IF(AND(D133="",D135&lt;&gt;""),"×","○")</f>
        <v>○</v>
      </c>
      <c r="B133" s="2174" t="str">
        <f t="shared" ref="B133" si="1149">IF(AND(AT133="○",BB133="○",BC133="○",A133="○"),"○","×")</f>
        <v>○</v>
      </c>
      <c r="C133" s="2143">
        <v>60</v>
      </c>
      <c r="D133" s="2006"/>
      <c r="E133" s="2004"/>
      <c r="F133" s="2041"/>
      <c r="G133" s="2123"/>
      <c r="H133" s="2109"/>
      <c r="I133" s="2141"/>
      <c r="J133" s="2142"/>
      <c r="K133" s="2104"/>
      <c r="L133" s="2140"/>
      <c r="M133" s="2110"/>
      <c r="N133" s="2111"/>
      <c r="O133" s="2108"/>
      <c r="P133" s="2108"/>
      <c r="Q133" s="2109"/>
      <c r="R133" s="2110"/>
      <c r="S133" s="2111"/>
      <c r="T133" s="2108"/>
      <c r="U133" s="2108"/>
      <c r="V133" s="2109"/>
      <c r="W133" s="2110"/>
      <c r="X133" s="2111"/>
      <c r="Y133" s="2108"/>
      <c r="Z133" s="2108"/>
      <c r="AA133" s="2109"/>
      <c r="AB133" s="2110"/>
      <c r="AC133" s="2111"/>
      <c r="AD133" s="2108"/>
      <c r="AE133" s="2108"/>
      <c r="AF133" s="2109"/>
      <c r="AG133" s="2110"/>
      <c r="AH133" s="2111"/>
      <c r="AI133" s="2108"/>
      <c r="AJ133" s="2108"/>
      <c r="AK133" s="2038"/>
      <c r="AL133" s="2039"/>
      <c r="AM133" s="2039"/>
      <c r="AN133" s="2040"/>
      <c r="AO133" s="2008"/>
      <c r="AP133" s="2009"/>
      <c r="AQ133" s="2009"/>
      <c r="AR133" s="2010"/>
      <c r="AS133" s="651"/>
      <c r="AT133" s="652" t="str">
        <f t="shared" ref="AT133" si="1150">IF(OR(AND(D133&lt;&gt;"",OR(AND(E133&lt;&gt;"",F133&lt;&gt;"",OR(G133&lt;&gt;"",H133&lt;&gt;"")),AND(E133="",F133="バス・カメラマン等"))),AND(D133="",E133="",F133="",OR(G133="",H133=""))),"○","×")</f>
        <v>○</v>
      </c>
      <c r="AU133" s="1983" t="str">
        <f t="shared" ref="AU133" si="1151">IF(AND(E133&lt;&gt;"",E133&lt;=2),"2歳児以下","")</f>
        <v/>
      </c>
      <c r="AV133" s="1983" t="str">
        <f t="shared" ref="AV133" si="1152">IF(OR(AND(3&lt;=E133,E133&lt;=6),COUNTIF(E133, "幼*"),COUNTIF(E133, "年少"),COUNTIF(E133, "年中"),COUNTIF(E133, "年長")),"3歳-学齢前","")</f>
        <v/>
      </c>
      <c r="AW133" s="1983" t="str">
        <f t="shared" ref="AW133" si="1153">IF(OR(AND(6&lt;=E133,E133&lt;=12),COUNTIF(E133, "小*")),"小学生","")</f>
        <v/>
      </c>
      <c r="AX133" s="1983" t="str">
        <f t="shared" ref="AX133" si="1154">IF(OR(AND(12&lt;=E133,E133&lt;=15),COUNTIF(E133, "中*")),"中学生","")</f>
        <v/>
      </c>
      <c r="AY133" s="1983" t="str">
        <f t="shared" ref="AY133" si="1155">IF(OR(AND(15&lt;=E133,E133&lt;=18),COUNTIF(E133, "高*")),"高校生(～18歳)","")</f>
        <v/>
      </c>
      <c r="AZ133" s="1983" t="str">
        <f t="shared" ref="AZ133" si="1156">IF(OR(19&lt;=E133,COUNTIF(E133, "大*"),COUNTIF(E133, "*院*"),COUNTIF(E133, "*専*")),"一般(19歳～)","")</f>
        <v/>
      </c>
      <c r="BA133" s="1983" t="s">
        <v>475</v>
      </c>
      <c r="BB133" s="652" t="str">
        <f t="shared" ref="BB133" si="1157">IF(OR(AND(D133="",I133="",M133="",R133="",W133="",AB133="",AG133=""),AND(D133&lt;&gt;"",OR(I133&lt;&gt;"",M133&lt;&gt;"",R133&lt;&gt;"",W133&lt;&gt;"",AB133&lt;&gt;"",AG133&lt;&gt;""))),"○","×")</f>
        <v>○</v>
      </c>
      <c r="BC133" s="652" t="str">
        <f t="shared" ref="BC133" si="1158">IF(AND(BD133="○",BE133="○",BF133="○",BG133="○",BH133="○",BI133="○"),"○","×")</f>
        <v>○</v>
      </c>
      <c r="BD133" s="653" t="str">
        <f t="shared" ref="BD133" si="1159">IF(AND($I$7=" ",OR(I133&lt;&gt;"",K133&lt;&gt;"",L133&lt;&gt;"")),"×","○")</f>
        <v>○</v>
      </c>
      <c r="BE133" s="653" t="str">
        <f t="shared" ref="BE133" si="1160">IF(AND($M$7=" ",OR(M133&lt;&gt;"",O133&lt;&gt;"",P133&lt;&gt;"",Q133&lt;&gt;"")),"×","○")</f>
        <v>○</v>
      </c>
      <c r="BF133" s="653" t="str">
        <f t="shared" ref="BF133" si="1161">IF(AND($R$7=" ",OR(R133&lt;&gt;"",T133&lt;&gt;"",U133&lt;&gt;"",V133&lt;&gt;"")),"×","○")</f>
        <v>○</v>
      </c>
      <c r="BG133" s="653" t="str">
        <f t="shared" ref="BG133" si="1162">IF(AND($W$7=" ",OR(W133&lt;&gt;"",Y133&lt;&gt;"",Z133&lt;&gt;"",AA133&lt;&gt;"")),"×","○")</f>
        <v>○</v>
      </c>
      <c r="BH133" s="653" t="str">
        <f t="shared" ref="BH133" si="1163">IF(AND($AB$7=" ",OR(AB133&lt;&gt;"",AD133&lt;&gt;"",AE133&lt;&gt;"",AF133&lt;&gt;"")),"×","○")</f>
        <v>○</v>
      </c>
      <c r="BI133" s="653" t="str">
        <f t="shared" ref="BI133" si="1164">IF(AND($AG$7=" ",OR(AG133&lt;&gt;"",AI133&lt;&gt;"",AJ133&lt;&gt;"")),"×","○")</f>
        <v>○</v>
      </c>
      <c r="BJ133" s="2225" t="e">
        <f t="shared" ref="BJ133" si="1165">SUMPRODUCT(1/COUNTIF(I133:AH133,"宿泊"))</f>
        <v>#DIV/0!</v>
      </c>
      <c r="BK133" s="2226" t="e">
        <f t="shared" ref="BK133" si="1166">SUMPRODUCT(1/COUNTIF(I133:AH133,"日帰り"))</f>
        <v>#DIV/0!</v>
      </c>
      <c r="BL133" s="1381">
        <f t="shared" ref="BL133" si="1167">COUNT(BJ133)-COUNT(BK133)</f>
        <v>0</v>
      </c>
      <c r="BM133" s="684"/>
    </row>
    <row r="134" spans="1:65" ht="14.1" customHeight="1" x14ac:dyDescent="0.15">
      <c r="A134" s="652"/>
      <c r="B134" s="2174"/>
      <c r="C134" s="2144"/>
      <c r="D134" s="2007"/>
      <c r="E134" s="2005"/>
      <c r="F134" s="2042"/>
      <c r="G134" s="2119"/>
      <c r="H134" s="2107"/>
      <c r="I134" s="2112"/>
      <c r="J134" s="2113"/>
      <c r="K134" s="2105"/>
      <c r="L134" s="2127"/>
      <c r="M134" s="2112"/>
      <c r="N134" s="2113"/>
      <c r="O134" s="2105"/>
      <c r="P134" s="2105"/>
      <c r="Q134" s="2107"/>
      <c r="R134" s="2112"/>
      <c r="S134" s="2113"/>
      <c r="T134" s="2105"/>
      <c r="U134" s="2105"/>
      <c r="V134" s="2107"/>
      <c r="W134" s="2112"/>
      <c r="X134" s="2113"/>
      <c r="Y134" s="2105"/>
      <c r="Z134" s="2105"/>
      <c r="AA134" s="2107"/>
      <c r="AB134" s="2112"/>
      <c r="AC134" s="2113"/>
      <c r="AD134" s="2105"/>
      <c r="AE134" s="2105"/>
      <c r="AF134" s="2107"/>
      <c r="AG134" s="2112"/>
      <c r="AH134" s="2113"/>
      <c r="AI134" s="2105"/>
      <c r="AJ134" s="2105"/>
      <c r="AK134" s="2011"/>
      <c r="AL134" s="2012"/>
      <c r="AM134" s="2012"/>
      <c r="AN134" s="2013"/>
      <c r="AO134" s="2011"/>
      <c r="AP134" s="2012"/>
      <c r="AQ134" s="2012"/>
      <c r="AR134" s="2013"/>
      <c r="AS134" s="651"/>
      <c r="AT134" s="652"/>
      <c r="AU134" s="1983"/>
      <c r="AV134" s="1983"/>
      <c r="AW134" s="1983"/>
      <c r="AX134" s="1983"/>
      <c r="AY134" s="1983"/>
      <c r="AZ134" s="1983"/>
      <c r="BA134" s="1983"/>
      <c r="BB134" s="654"/>
      <c r="BC134" s="654"/>
      <c r="BD134" s="652"/>
      <c r="BE134" s="652"/>
      <c r="BF134" s="652"/>
      <c r="BG134" s="652"/>
      <c r="BH134" s="652"/>
      <c r="BI134" s="652"/>
      <c r="BJ134" s="2225"/>
      <c r="BK134" s="2226"/>
      <c r="BL134" s="1381"/>
      <c r="BM134" s="684"/>
    </row>
    <row r="135" spans="1:65" ht="14.1" customHeight="1" x14ac:dyDescent="0.15">
      <c r="A135" s="652" t="str">
        <f t="shared" ref="A135" si="1168">IF(AND(D135="",D137&lt;&gt;""),"×","○")</f>
        <v>○</v>
      </c>
      <c r="B135" s="2174" t="str">
        <f t="shared" ref="B135" si="1169">IF(AND(AT135="○",BB135="○",BC135="○",A135="○"),"○","×")</f>
        <v>○</v>
      </c>
      <c r="C135" s="2116">
        <v>61</v>
      </c>
      <c r="D135" s="2006"/>
      <c r="E135" s="2004"/>
      <c r="F135" s="2041"/>
      <c r="G135" s="2118"/>
      <c r="H135" s="2106"/>
      <c r="I135" s="2141"/>
      <c r="J135" s="2142"/>
      <c r="K135" s="2104"/>
      <c r="L135" s="2140"/>
      <c r="M135" s="2110"/>
      <c r="N135" s="2111"/>
      <c r="O135" s="2104"/>
      <c r="P135" s="2104"/>
      <c r="Q135" s="2106"/>
      <c r="R135" s="2110"/>
      <c r="S135" s="2111"/>
      <c r="T135" s="2104"/>
      <c r="U135" s="2104"/>
      <c r="V135" s="2106"/>
      <c r="W135" s="2110"/>
      <c r="X135" s="2111"/>
      <c r="Y135" s="2104"/>
      <c r="Z135" s="2104"/>
      <c r="AA135" s="2106"/>
      <c r="AB135" s="2110"/>
      <c r="AC135" s="2111"/>
      <c r="AD135" s="2104"/>
      <c r="AE135" s="2104"/>
      <c r="AF135" s="2106"/>
      <c r="AG135" s="2110"/>
      <c r="AH135" s="2111"/>
      <c r="AI135" s="2104"/>
      <c r="AJ135" s="2104"/>
      <c r="AK135" s="2038"/>
      <c r="AL135" s="2039"/>
      <c r="AM135" s="2039"/>
      <c r="AN135" s="2040"/>
      <c r="AO135" s="2008"/>
      <c r="AP135" s="2009"/>
      <c r="AQ135" s="2009"/>
      <c r="AR135" s="2010"/>
      <c r="AS135" s="651"/>
      <c r="AT135" s="652" t="str">
        <f t="shared" ref="AT135" si="1170">IF(OR(AND(D135&lt;&gt;"",OR(AND(E135&lt;&gt;"",F135&lt;&gt;"",OR(G135&lt;&gt;"",H135&lt;&gt;"")),AND(E135="",F135="バス・カメラマン等"))),AND(D135="",E135="",F135="",OR(G135="",H135=""))),"○","×")</f>
        <v>○</v>
      </c>
      <c r="AU135" s="1983" t="str">
        <f t="shared" ref="AU135" si="1171">IF(AND(E135&lt;&gt;"",E135&lt;=2),"2歳児以下","")</f>
        <v/>
      </c>
      <c r="AV135" s="1983" t="str">
        <f t="shared" ref="AV135" si="1172">IF(OR(AND(3&lt;=E135,E135&lt;=6),COUNTIF(E135, "幼*"),COUNTIF(E135, "年少"),COUNTIF(E135, "年中"),COUNTIF(E135, "年長")),"3歳-学齢前","")</f>
        <v/>
      </c>
      <c r="AW135" s="1983" t="str">
        <f t="shared" ref="AW135" si="1173">IF(OR(AND(6&lt;=E135,E135&lt;=12),COUNTIF(E135, "小*")),"小学生","")</f>
        <v/>
      </c>
      <c r="AX135" s="1983" t="str">
        <f t="shared" ref="AX135" si="1174">IF(OR(AND(12&lt;=E135,E135&lt;=15),COUNTIF(E135, "中*")),"中学生","")</f>
        <v/>
      </c>
      <c r="AY135" s="1983" t="str">
        <f t="shared" ref="AY135" si="1175">IF(OR(AND(15&lt;=E135,E135&lt;=18),COUNTIF(E135, "高*")),"高校生(～18歳)","")</f>
        <v/>
      </c>
      <c r="AZ135" s="1983" t="str">
        <f t="shared" ref="AZ135" si="1176">IF(OR(19&lt;=E135,COUNTIF(E135, "大*"),COUNTIF(E135, "*院*"),COUNTIF(E135, "*専*")),"一般(19歳～)","")</f>
        <v/>
      </c>
      <c r="BA135" s="1983" t="s">
        <v>475</v>
      </c>
      <c r="BB135" s="652" t="str">
        <f t="shared" ref="BB135" si="1177">IF(OR(AND(D135="",I135="",M135="",R135="",W135="",AB135="",AG135=""),AND(D135&lt;&gt;"",OR(I135&lt;&gt;"",M135&lt;&gt;"",R135&lt;&gt;"",W135&lt;&gt;"",AB135&lt;&gt;"",AG135&lt;&gt;""))),"○","×")</f>
        <v>○</v>
      </c>
      <c r="BC135" s="652" t="str">
        <f t="shared" ref="BC135" si="1178">IF(AND(BD135="○",BE135="○",BF135="○",BG135="○",BH135="○",BI135="○"),"○","×")</f>
        <v>○</v>
      </c>
      <c r="BD135" s="653" t="str">
        <f t="shared" ref="BD135" si="1179">IF(AND($I$7=" ",OR(I135&lt;&gt;"",K135&lt;&gt;"",L135&lt;&gt;"")),"×","○")</f>
        <v>○</v>
      </c>
      <c r="BE135" s="653" t="str">
        <f t="shared" ref="BE135" si="1180">IF(AND($M$7=" ",OR(M135&lt;&gt;"",O135&lt;&gt;"",P135&lt;&gt;"",Q135&lt;&gt;"")),"×","○")</f>
        <v>○</v>
      </c>
      <c r="BF135" s="653" t="str">
        <f t="shared" ref="BF135" si="1181">IF(AND($R$7=" ",OR(R135&lt;&gt;"",T135&lt;&gt;"",U135&lt;&gt;"",V135&lt;&gt;"")),"×","○")</f>
        <v>○</v>
      </c>
      <c r="BG135" s="653" t="str">
        <f t="shared" ref="BG135" si="1182">IF(AND($W$7=" ",OR(W135&lt;&gt;"",Y135&lt;&gt;"",Z135&lt;&gt;"",AA135&lt;&gt;"")),"×","○")</f>
        <v>○</v>
      </c>
      <c r="BH135" s="653" t="str">
        <f t="shared" ref="BH135" si="1183">IF(AND($AB$7=" ",OR(AB135&lt;&gt;"",AD135&lt;&gt;"",AE135&lt;&gt;"",AF135&lt;&gt;"")),"×","○")</f>
        <v>○</v>
      </c>
      <c r="BI135" s="653" t="str">
        <f t="shared" ref="BI135" si="1184">IF(AND($AG$7=" ",OR(AG135&lt;&gt;"",AI135&lt;&gt;"",AJ135&lt;&gt;"")),"×","○")</f>
        <v>○</v>
      </c>
      <c r="BJ135" s="2225" t="e">
        <f t="shared" ref="BJ135" si="1185">SUMPRODUCT(1/COUNTIF(I135:AH135,"宿泊"))</f>
        <v>#DIV/0!</v>
      </c>
      <c r="BK135" s="2226" t="e">
        <f t="shared" ref="BK135" si="1186">SUMPRODUCT(1/COUNTIF(I135:AH135,"日帰り"))</f>
        <v>#DIV/0!</v>
      </c>
      <c r="BL135" s="1381">
        <f t="shared" ref="BL135" si="1187">COUNT(BJ135)-COUNT(BK135)</f>
        <v>0</v>
      </c>
      <c r="BM135" s="684"/>
    </row>
    <row r="136" spans="1:65" ht="14.1" customHeight="1" x14ac:dyDescent="0.15">
      <c r="A136" s="652"/>
      <c r="B136" s="2174"/>
      <c r="C136" s="2117"/>
      <c r="D136" s="2007"/>
      <c r="E136" s="2005"/>
      <c r="F136" s="2042"/>
      <c r="G136" s="2119"/>
      <c r="H136" s="2107"/>
      <c r="I136" s="2112"/>
      <c r="J136" s="2113"/>
      <c r="K136" s="2105"/>
      <c r="L136" s="2127"/>
      <c r="M136" s="2112"/>
      <c r="N136" s="2113"/>
      <c r="O136" s="2105"/>
      <c r="P136" s="2105"/>
      <c r="Q136" s="2107"/>
      <c r="R136" s="2112"/>
      <c r="S136" s="2113"/>
      <c r="T136" s="2105"/>
      <c r="U136" s="2105"/>
      <c r="V136" s="2107"/>
      <c r="W136" s="2112"/>
      <c r="X136" s="2113"/>
      <c r="Y136" s="2105"/>
      <c r="Z136" s="2105"/>
      <c r="AA136" s="2107"/>
      <c r="AB136" s="2112"/>
      <c r="AC136" s="2113"/>
      <c r="AD136" s="2105"/>
      <c r="AE136" s="2105"/>
      <c r="AF136" s="2107"/>
      <c r="AG136" s="2112"/>
      <c r="AH136" s="2113"/>
      <c r="AI136" s="2105"/>
      <c r="AJ136" s="2105"/>
      <c r="AK136" s="2011"/>
      <c r="AL136" s="2012"/>
      <c r="AM136" s="2012"/>
      <c r="AN136" s="2013"/>
      <c r="AO136" s="2011"/>
      <c r="AP136" s="2012"/>
      <c r="AQ136" s="2012"/>
      <c r="AR136" s="2013"/>
      <c r="AS136" s="651"/>
      <c r="AT136" s="652"/>
      <c r="AU136" s="1983"/>
      <c r="AV136" s="1983"/>
      <c r="AW136" s="1983"/>
      <c r="AX136" s="1983"/>
      <c r="AY136" s="1983"/>
      <c r="AZ136" s="1983"/>
      <c r="BA136" s="1983"/>
      <c r="BB136" s="654"/>
      <c r="BC136" s="654"/>
      <c r="BD136" s="652"/>
      <c r="BE136" s="652"/>
      <c r="BF136" s="652"/>
      <c r="BG136" s="652"/>
      <c r="BH136" s="652"/>
      <c r="BI136" s="652"/>
      <c r="BJ136" s="2225"/>
      <c r="BK136" s="2226"/>
      <c r="BL136" s="1381"/>
      <c r="BM136" s="684"/>
    </row>
    <row r="137" spans="1:65" ht="14.1" customHeight="1" x14ac:dyDescent="0.15">
      <c r="A137" s="652" t="str">
        <f t="shared" ref="A137" si="1188">IF(AND(D137="",D139&lt;&gt;""),"×","○")</f>
        <v>○</v>
      </c>
      <c r="B137" s="2174" t="str">
        <f t="shared" ref="B137" si="1189">IF(AND(AT137="○",BB137="○",BC137="○",A137="○"),"○","×")</f>
        <v>○</v>
      </c>
      <c r="C137" s="2120">
        <v>62</v>
      </c>
      <c r="D137" s="2006"/>
      <c r="E137" s="2004"/>
      <c r="F137" s="2041"/>
      <c r="G137" s="2118"/>
      <c r="H137" s="2106"/>
      <c r="I137" s="2141"/>
      <c r="J137" s="2142"/>
      <c r="K137" s="2104"/>
      <c r="L137" s="2140"/>
      <c r="M137" s="2110"/>
      <c r="N137" s="2111"/>
      <c r="O137" s="2104"/>
      <c r="P137" s="2104"/>
      <c r="Q137" s="2106"/>
      <c r="R137" s="2110"/>
      <c r="S137" s="2111"/>
      <c r="T137" s="2104"/>
      <c r="U137" s="2104"/>
      <c r="V137" s="2106"/>
      <c r="W137" s="2110"/>
      <c r="X137" s="2111"/>
      <c r="Y137" s="2104"/>
      <c r="Z137" s="2104"/>
      <c r="AA137" s="2106"/>
      <c r="AB137" s="2110"/>
      <c r="AC137" s="2111"/>
      <c r="AD137" s="2104"/>
      <c r="AE137" s="2104"/>
      <c r="AF137" s="2106"/>
      <c r="AG137" s="2110"/>
      <c r="AH137" s="2111"/>
      <c r="AI137" s="2104"/>
      <c r="AJ137" s="2104"/>
      <c r="AK137" s="2038"/>
      <c r="AL137" s="2039"/>
      <c r="AM137" s="2039"/>
      <c r="AN137" s="2040"/>
      <c r="AO137" s="2008"/>
      <c r="AP137" s="2009"/>
      <c r="AQ137" s="2009"/>
      <c r="AR137" s="2010"/>
      <c r="AS137" s="651"/>
      <c r="AT137" s="652" t="str">
        <f t="shared" ref="AT137" si="1190">IF(OR(AND(D137&lt;&gt;"",OR(AND(E137&lt;&gt;"",F137&lt;&gt;"",OR(G137&lt;&gt;"",H137&lt;&gt;"")),AND(E137="",F137="バス・カメラマン等"))),AND(D137="",E137="",F137="",OR(G137="",H137=""))),"○","×")</f>
        <v>○</v>
      </c>
      <c r="AU137" s="1983" t="str">
        <f t="shared" ref="AU137" si="1191">IF(AND(E137&lt;&gt;"",E137&lt;=2),"2歳児以下","")</f>
        <v/>
      </c>
      <c r="AV137" s="1983" t="str">
        <f t="shared" ref="AV137" si="1192">IF(OR(AND(3&lt;=E137,E137&lt;=6),COUNTIF(E137, "幼*"),COUNTIF(E137, "年少"),COUNTIF(E137, "年中"),COUNTIF(E137, "年長")),"3歳-学齢前","")</f>
        <v/>
      </c>
      <c r="AW137" s="1983" t="str">
        <f t="shared" ref="AW137" si="1193">IF(OR(AND(6&lt;=E137,E137&lt;=12),COUNTIF(E137, "小*")),"小学生","")</f>
        <v/>
      </c>
      <c r="AX137" s="1983" t="str">
        <f t="shared" ref="AX137" si="1194">IF(OR(AND(12&lt;=E137,E137&lt;=15),COUNTIF(E137, "中*")),"中学生","")</f>
        <v/>
      </c>
      <c r="AY137" s="1983" t="str">
        <f t="shared" ref="AY137" si="1195">IF(OR(AND(15&lt;=E137,E137&lt;=18),COUNTIF(E137, "高*")),"高校生(～18歳)","")</f>
        <v/>
      </c>
      <c r="AZ137" s="1983" t="str">
        <f t="shared" ref="AZ137" si="1196">IF(OR(19&lt;=E137,COUNTIF(E137, "大*"),COUNTIF(E137, "*院*"),COUNTIF(E137, "*専*")),"一般(19歳～)","")</f>
        <v/>
      </c>
      <c r="BA137" s="1983" t="s">
        <v>475</v>
      </c>
      <c r="BB137" s="652" t="str">
        <f t="shared" ref="BB137" si="1197">IF(OR(AND(D137="",I137="",M137="",R137="",W137="",AB137="",AG137=""),AND(D137&lt;&gt;"",OR(I137&lt;&gt;"",M137&lt;&gt;"",R137&lt;&gt;"",W137&lt;&gt;"",AB137&lt;&gt;"",AG137&lt;&gt;""))),"○","×")</f>
        <v>○</v>
      </c>
      <c r="BC137" s="652" t="str">
        <f t="shared" ref="BC137" si="1198">IF(AND(BD137="○",BE137="○",BF137="○",BG137="○",BH137="○",BI137="○"),"○","×")</f>
        <v>○</v>
      </c>
      <c r="BD137" s="653" t="str">
        <f t="shared" ref="BD137" si="1199">IF(AND($I$7=" ",OR(I137&lt;&gt;"",K137&lt;&gt;"",L137&lt;&gt;"")),"×","○")</f>
        <v>○</v>
      </c>
      <c r="BE137" s="653" t="str">
        <f t="shared" ref="BE137" si="1200">IF(AND($M$7=" ",OR(M137&lt;&gt;"",O137&lt;&gt;"",P137&lt;&gt;"",Q137&lt;&gt;"")),"×","○")</f>
        <v>○</v>
      </c>
      <c r="BF137" s="653" t="str">
        <f t="shared" ref="BF137" si="1201">IF(AND($R$7=" ",OR(R137&lt;&gt;"",T137&lt;&gt;"",U137&lt;&gt;"",V137&lt;&gt;"")),"×","○")</f>
        <v>○</v>
      </c>
      <c r="BG137" s="653" t="str">
        <f t="shared" ref="BG137" si="1202">IF(AND($W$7=" ",OR(W137&lt;&gt;"",Y137&lt;&gt;"",Z137&lt;&gt;"",AA137&lt;&gt;"")),"×","○")</f>
        <v>○</v>
      </c>
      <c r="BH137" s="653" t="str">
        <f t="shared" ref="BH137" si="1203">IF(AND($AB$7=" ",OR(AB137&lt;&gt;"",AD137&lt;&gt;"",AE137&lt;&gt;"",AF137&lt;&gt;"")),"×","○")</f>
        <v>○</v>
      </c>
      <c r="BI137" s="653" t="str">
        <f t="shared" ref="BI137" si="1204">IF(AND($AG$7=" ",OR(AG137&lt;&gt;"",AI137&lt;&gt;"",AJ137&lt;&gt;"")),"×","○")</f>
        <v>○</v>
      </c>
      <c r="BJ137" s="2225" t="e">
        <f t="shared" ref="BJ137" si="1205">SUMPRODUCT(1/COUNTIF(I137:AH137,"宿泊"))</f>
        <v>#DIV/0!</v>
      </c>
      <c r="BK137" s="2226" t="e">
        <f t="shared" ref="BK137" si="1206">SUMPRODUCT(1/COUNTIF(I137:AH137,"日帰り"))</f>
        <v>#DIV/0!</v>
      </c>
      <c r="BL137" s="1381">
        <f t="shared" ref="BL137" si="1207">COUNT(BJ137)-COUNT(BK137)</f>
        <v>0</v>
      </c>
      <c r="BM137" s="684"/>
    </row>
    <row r="138" spans="1:65" ht="14.1" customHeight="1" x14ac:dyDescent="0.15">
      <c r="A138" s="652"/>
      <c r="B138" s="2174"/>
      <c r="C138" s="2117"/>
      <c r="D138" s="2007"/>
      <c r="E138" s="2005"/>
      <c r="F138" s="2042"/>
      <c r="G138" s="2119"/>
      <c r="H138" s="2107"/>
      <c r="I138" s="2112"/>
      <c r="J138" s="2113"/>
      <c r="K138" s="2105"/>
      <c r="L138" s="2127"/>
      <c r="M138" s="2112"/>
      <c r="N138" s="2113"/>
      <c r="O138" s="2105"/>
      <c r="P138" s="2105"/>
      <c r="Q138" s="2107"/>
      <c r="R138" s="2112"/>
      <c r="S138" s="2113"/>
      <c r="T138" s="2105"/>
      <c r="U138" s="2105"/>
      <c r="V138" s="2107"/>
      <c r="W138" s="2112"/>
      <c r="X138" s="2113"/>
      <c r="Y138" s="2105"/>
      <c r="Z138" s="2105"/>
      <c r="AA138" s="2107"/>
      <c r="AB138" s="2112"/>
      <c r="AC138" s="2113"/>
      <c r="AD138" s="2105"/>
      <c r="AE138" s="2105"/>
      <c r="AF138" s="2107"/>
      <c r="AG138" s="2112"/>
      <c r="AH138" s="2113"/>
      <c r="AI138" s="2105"/>
      <c r="AJ138" s="2105"/>
      <c r="AK138" s="2011"/>
      <c r="AL138" s="2012"/>
      <c r="AM138" s="2012"/>
      <c r="AN138" s="2013"/>
      <c r="AO138" s="2011"/>
      <c r="AP138" s="2012"/>
      <c r="AQ138" s="2012"/>
      <c r="AR138" s="2013"/>
      <c r="AS138" s="651"/>
      <c r="AT138" s="652"/>
      <c r="AU138" s="1983"/>
      <c r="AV138" s="1983"/>
      <c r="AW138" s="1983"/>
      <c r="AX138" s="1983"/>
      <c r="AY138" s="1983"/>
      <c r="AZ138" s="1983"/>
      <c r="BA138" s="1983"/>
      <c r="BB138" s="654"/>
      <c r="BC138" s="654"/>
      <c r="BD138" s="652"/>
      <c r="BE138" s="652"/>
      <c r="BF138" s="652"/>
      <c r="BG138" s="652"/>
      <c r="BH138" s="652"/>
      <c r="BI138" s="652"/>
      <c r="BJ138" s="2225"/>
      <c r="BK138" s="2226"/>
      <c r="BL138" s="1381"/>
      <c r="BM138" s="684"/>
    </row>
    <row r="139" spans="1:65" ht="14.1" customHeight="1" x14ac:dyDescent="0.15">
      <c r="A139" s="652" t="str">
        <f t="shared" ref="A139" si="1208">IF(AND(D139="",D141&lt;&gt;""),"×","○")</f>
        <v>○</v>
      </c>
      <c r="B139" s="2174" t="str">
        <f t="shared" ref="B139" si="1209">IF(AND(AT139="○",BB139="○",BC139="○",A139="○"),"○","×")</f>
        <v>○</v>
      </c>
      <c r="C139" s="2116">
        <v>63</v>
      </c>
      <c r="D139" s="2006"/>
      <c r="E139" s="2004"/>
      <c r="F139" s="2041"/>
      <c r="G139" s="2118"/>
      <c r="H139" s="2106"/>
      <c r="I139" s="2141"/>
      <c r="J139" s="2142"/>
      <c r="K139" s="2104"/>
      <c r="L139" s="2140"/>
      <c r="M139" s="2110"/>
      <c r="N139" s="2111"/>
      <c r="O139" s="2104"/>
      <c r="P139" s="2104"/>
      <c r="Q139" s="2106"/>
      <c r="R139" s="2110"/>
      <c r="S139" s="2111"/>
      <c r="T139" s="2104"/>
      <c r="U139" s="2104"/>
      <c r="V139" s="2106"/>
      <c r="W139" s="2110"/>
      <c r="X139" s="2111"/>
      <c r="Y139" s="2104"/>
      <c r="Z139" s="2104"/>
      <c r="AA139" s="2106"/>
      <c r="AB139" s="2110"/>
      <c r="AC139" s="2111"/>
      <c r="AD139" s="2104"/>
      <c r="AE139" s="2104"/>
      <c r="AF139" s="2106"/>
      <c r="AG139" s="2110"/>
      <c r="AH139" s="2111"/>
      <c r="AI139" s="2104"/>
      <c r="AJ139" s="2104"/>
      <c r="AK139" s="2038"/>
      <c r="AL139" s="2039"/>
      <c r="AM139" s="2039"/>
      <c r="AN139" s="2040"/>
      <c r="AO139" s="2008"/>
      <c r="AP139" s="2009"/>
      <c r="AQ139" s="2009"/>
      <c r="AR139" s="2010"/>
      <c r="AS139" s="651"/>
      <c r="AT139" s="652" t="str">
        <f t="shared" ref="AT139" si="1210">IF(OR(AND(D139&lt;&gt;"",OR(AND(E139&lt;&gt;"",F139&lt;&gt;"",OR(G139&lt;&gt;"",H139&lt;&gt;"")),AND(E139="",F139="バス・カメラマン等"))),AND(D139="",E139="",F139="",OR(G139="",H139=""))),"○","×")</f>
        <v>○</v>
      </c>
      <c r="AU139" s="1983" t="str">
        <f t="shared" ref="AU139" si="1211">IF(AND(E139&lt;&gt;"",E139&lt;=2),"2歳児以下","")</f>
        <v/>
      </c>
      <c r="AV139" s="1983" t="str">
        <f t="shared" ref="AV139" si="1212">IF(OR(AND(3&lt;=E139,E139&lt;=6),COUNTIF(E139, "幼*"),COUNTIF(E139, "年少"),COUNTIF(E139, "年中"),COUNTIF(E139, "年長")),"3歳-学齢前","")</f>
        <v/>
      </c>
      <c r="AW139" s="1983" t="str">
        <f t="shared" ref="AW139" si="1213">IF(OR(AND(6&lt;=E139,E139&lt;=12),COUNTIF(E139, "小*")),"小学生","")</f>
        <v/>
      </c>
      <c r="AX139" s="1983" t="str">
        <f t="shared" ref="AX139" si="1214">IF(OR(AND(12&lt;=E139,E139&lt;=15),COUNTIF(E139, "中*")),"中学生","")</f>
        <v/>
      </c>
      <c r="AY139" s="1983" t="str">
        <f t="shared" ref="AY139" si="1215">IF(OR(AND(15&lt;=E139,E139&lt;=18),COUNTIF(E139, "高*")),"高校生(～18歳)","")</f>
        <v/>
      </c>
      <c r="AZ139" s="1983" t="str">
        <f t="shared" ref="AZ139" si="1216">IF(OR(19&lt;=E139,COUNTIF(E139, "大*"),COUNTIF(E139, "*院*"),COUNTIF(E139, "*専*")),"一般(19歳～)","")</f>
        <v/>
      </c>
      <c r="BA139" s="1983" t="s">
        <v>475</v>
      </c>
      <c r="BB139" s="652" t="str">
        <f t="shared" ref="BB139" si="1217">IF(OR(AND(D139="",I139="",M139="",R139="",W139="",AB139="",AG139=""),AND(D139&lt;&gt;"",OR(I139&lt;&gt;"",M139&lt;&gt;"",R139&lt;&gt;"",W139&lt;&gt;"",AB139&lt;&gt;"",AG139&lt;&gt;""))),"○","×")</f>
        <v>○</v>
      </c>
      <c r="BC139" s="652" t="str">
        <f t="shared" ref="BC139" si="1218">IF(AND(BD139="○",BE139="○",BF139="○",BG139="○",BH139="○",BI139="○"),"○","×")</f>
        <v>○</v>
      </c>
      <c r="BD139" s="653" t="str">
        <f t="shared" ref="BD139" si="1219">IF(AND($I$7=" ",OR(I139&lt;&gt;"",K139&lt;&gt;"",L139&lt;&gt;"")),"×","○")</f>
        <v>○</v>
      </c>
      <c r="BE139" s="653" t="str">
        <f t="shared" ref="BE139" si="1220">IF(AND($M$7=" ",OR(M139&lt;&gt;"",O139&lt;&gt;"",P139&lt;&gt;"",Q139&lt;&gt;"")),"×","○")</f>
        <v>○</v>
      </c>
      <c r="BF139" s="653" t="str">
        <f t="shared" ref="BF139" si="1221">IF(AND($R$7=" ",OR(R139&lt;&gt;"",T139&lt;&gt;"",U139&lt;&gt;"",V139&lt;&gt;"")),"×","○")</f>
        <v>○</v>
      </c>
      <c r="BG139" s="653" t="str">
        <f t="shared" ref="BG139" si="1222">IF(AND($W$7=" ",OR(W139&lt;&gt;"",Y139&lt;&gt;"",Z139&lt;&gt;"",AA139&lt;&gt;"")),"×","○")</f>
        <v>○</v>
      </c>
      <c r="BH139" s="653" t="str">
        <f t="shared" ref="BH139" si="1223">IF(AND($AB$7=" ",OR(AB139&lt;&gt;"",AD139&lt;&gt;"",AE139&lt;&gt;"",AF139&lt;&gt;"")),"×","○")</f>
        <v>○</v>
      </c>
      <c r="BI139" s="653" t="str">
        <f t="shared" ref="BI139" si="1224">IF(AND($AG$7=" ",OR(AG139&lt;&gt;"",AI139&lt;&gt;"",AJ139&lt;&gt;"")),"×","○")</f>
        <v>○</v>
      </c>
      <c r="BJ139" s="2225" t="e">
        <f t="shared" ref="BJ139" si="1225">SUMPRODUCT(1/COUNTIF(I139:AH139,"宿泊"))</f>
        <v>#DIV/0!</v>
      </c>
      <c r="BK139" s="2226" t="e">
        <f t="shared" ref="BK139" si="1226">SUMPRODUCT(1/COUNTIF(I139:AH139,"日帰り"))</f>
        <v>#DIV/0!</v>
      </c>
      <c r="BL139" s="1381">
        <f t="shared" ref="BL139" si="1227">COUNT(BJ139)-COUNT(BK139)</f>
        <v>0</v>
      </c>
      <c r="BM139" s="684"/>
    </row>
    <row r="140" spans="1:65" ht="14.1" customHeight="1" x14ac:dyDescent="0.15">
      <c r="A140" s="652"/>
      <c r="B140" s="2174"/>
      <c r="C140" s="2117"/>
      <c r="D140" s="2007"/>
      <c r="E140" s="2005"/>
      <c r="F140" s="2042"/>
      <c r="G140" s="2119"/>
      <c r="H140" s="2107"/>
      <c r="I140" s="2112"/>
      <c r="J140" s="2113"/>
      <c r="K140" s="2105"/>
      <c r="L140" s="2127"/>
      <c r="M140" s="2112"/>
      <c r="N140" s="2113"/>
      <c r="O140" s="2105"/>
      <c r="P140" s="2105"/>
      <c r="Q140" s="2107"/>
      <c r="R140" s="2112"/>
      <c r="S140" s="2113"/>
      <c r="T140" s="2105"/>
      <c r="U140" s="2105"/>
      <c r="V140" s="2107"/>
      <c r="W140" s="2112"/>
      <c r="X140" s="2113"/>
      <c r="Y140" s="2105"/>
      <c r="Z140" s="2105"/>
      <c r="AA140" s="2107"/>
      <c r="AB140" s="2112"/>
      <c r="AC140" s="2113"/>
      <c r="AD140" s="2105"/>
      <c r="AE140" s="2105"/>
      <c r="AF140" s="2107"/>
      <c r="AG140" s="2112"/>
      <c r="AH140" s="2113"/>
      <c r="AI140" s="2105"/>
      <c r="AJ140" s="2105"/>
      <c r="AK140" s="2011"/>
      <c r="AL140" s="2012"/>
      <c r="AM140" s="2012"/>
      <c r="AN140" s="2013"/>
      <c r="AO140" s="2011"/>
      <c r="AP140" s="2012"/>
      <c r="AQ140" s="2012"/>
      <c r="AR140" s="2013"/>
      <c r="AS140" s="651"/>
      <c r="AT140" s="652"/>
      <c r="AU140" s="1983"/>
      <c r="AV140" s="1983"/>
      <c r="AW140" s="1983"/>
      <c r="AX140" s="1983"/>
      <c r="AY140" s="1983"/>
      <c r="AZ140" s="1983"/>
      <c r="BA140" s="1983"/>
      <c r="BB140" s="654"/>
      <c r="BC140" s="654"/>
      <c r="BD140" s="652"/>
      <c r="BE140" s="652"/>
      <c r="BF140" s="652"/>
      <c r="BG140" s="652"/>
      <c r="BH140" s="652"/>
      <c r="BI140" s="652"/>
      <c r="BJ140" s="2225"/>
      <c r="BK140" s="2226"/>
      <c r="BL140" s="1381"/>
      <c r="BM140" s="684"/>
    </row>
    <row r="141" spans="1:65" ht="14.1" customHeight="1" x14ac:dyDescent="0.15">
      <c r="A141" s="652" t="str">
        <f t="shared" ref="A141" si="1228">IF(AND(D141="",D143&lt;&gt;""),"×","○")</f>
        <v>○</v>
      </c>
      <c r="B141" s="2174" t="str">
        <f t="shared" ref="B141" si="1229">IF(AND(AT141="○",BB141="○",BC141="○",A141="○"),"○","×")</f>
        <v>○</v>
      </c>
      <c r="C141" s="2116">
        <v>64</v>
      </c>
      <c r="D141" s="2006"/>
      <c r="E141" s="2004"/>
      <c r="F141" s="2041"/>
      <c r="G141" s="2118"/>
      <c r="H141" s="2106"/>
      <c r="I141" s="2141"/>
      <c r="J141" s="2142"/>
      <c r="K141" s="2104"/>
      <c r="L141" s="2140"/>
      <c r="M141" s="2110"/>
      <c r="N141" s="2111"/>
      <c r="O141" s="2104"/>
      <c r="P141" s="2104"/>
      <c r="Q141" s="2106"/>
      <c r="R141" s="2110"/>
      <c r="S141" s="2111"/>
      <c r="T141" s="2104"/>
      <c r="U141" s="2104"/>
      <c r="V141" s="2106"/>
      <c r="W141" s="2110"/>
      <c r="X141" s="2111"/>
      <c r="Y141" s="2104"/>
      <c r="Z141" s="2104"/>
      <c r="AA141" s="2106"/>
      <c r="AB141" s="2110"/>
      <c r="AC141" s="2111"/>
      <c r="AD141" s="2104"/>
      <c r="AE141" s="2104"/>
      <c r="AF141" s="2106"/>
      <c r="AG141" s="2110"/>
      <c r="AH141" s="2111"/>
      <c r="AI141" s="2104"/>
      <c r="AJ141" s="2104"/>
      <c r="AK141" s="2038"/>
      <c r="AL141" s="2039"/>
      <c r="AM141" s="2039"/>
      <c r="AN141" s="2040"/>
      <c r="AO141" s="2008"/>
      <c r="AP141" s="2009"/>
      <c r="AQ141" s="2009"/>
      <c r="AR141" s="2010"/>
      <c r="AS141" s="651"/>
      <c r="AT141" s="652" t="str">
        <f t="shared" ref="AT141" si="1230">IF(OR(AND(D141&lt;&gt;"",OR(AND(E141&lt;&gt;"",F141&lt;&gt;"",OR(G141&lt;&gt;"",H141&lt;&gt;"")),AND(E141="",F141="バス・カメラマン等"))),AND(D141="",E141="",F141="",OR(G141="",H141=""))),"○","×")</f>
        <v>○</v>
      </c>
      <c r="AU141" s="1983" t="str">
        <f t="shared" ref="AU141" si="1231">IF(AND(E141&lt;&gt;"",E141&lt;=2),"2歳児以下","")</f>
        <v/>
      </c>
      <c r="AV141" s="1983" t="str">
        <f t="shared" ref="AV141" si="1232">IF(OR(AND(3&lt;=E141,E141&lt;=6),COUNTIF(E141, "幼*"),COUNTIF(E141, "年少"),COUNTIF(E141, "年中"),COUNTIF(E141, "年長")),"3歳-学齢前","")</f>
        <v/>
      </c>
      <c r="AW141" s="1983" t="str">
        <f t="shared" ref="AW141" si="1233">IF(OR(AND(6&lt;=E141,E141&lt;=12),COUNTIF(E141, "小*")),"小学生","")</f>
        <v/>
      </c>
      <c r="AX141" s="1983" t="str">
        <f t="shared" ref="AX141" si="1234">IF(OR(AND(12&lt;=E141,E141&lt;=15),COUNTIF(E141, "中*")),"中学生","")</f>
        <v/>
      </c>
      <c r="AY141" s="1983" t="str">
        <f t="shared" ref="AY141" si="1235">IF(OR(AND(15&lt;=E141,E141&lt;=18),COUNTIF(E141, "高*")),"高校生(～18歳)","")</f>
        <v/>
      </c>
      <c r="AZ141" s="1983" t="str">
        <f t="shared" ref="AZ141" si="1236">IF(OR(19&lt;=E141,COUNTIF(E141, "大*"),COUNTIF(E141, "*院*"),COUNTIF(E141, "*専*")),"一般(19歳～)","")</f>
        <v/>
      </c>
      <c r="BA141" s="1983" t="s">
        <v>475</v>
      </c>
      <c r="BB141" s="652" t="str">
        <f t="shared" ref="BB141" si="1237">IF(OR(AND(D141="",I141="",M141="",R141="",W141="",AB141="",AG141=""),AND(D141&lt;&gt;"",OR(I141&lt;&gt;"",M141&lt;&gt;"",R141&lt;&gt;"",W141&lt;&gt;"",AB141&lt;&gt;"",AG141&lt;&gt;""))),"○","×")</f>
        <v>○</v>
      </c>
      <c r="BC141" s="652" t="str">
        <f t="shared" ref="BC141" si="1238">IF(AND(BD141="○",BE141="○",BF141="○",BG141="○",BH141="○",BI141="○"),"○","×")</f>
        <v>○</v>
      </c>
      <c r="BD141" s="653" t="str">
        <f t="shared" ref="BD141" si="1239">IF(AND($I$7=" ",OR(I141&lt;&gt;"",K141&lt;&gt;"",L141&lt;&gt;"")),"×","○")</f>
        <v>○</v>
      </c>
      <c r="BE141" s="653" t="str">
        <f t="shared" ref="BE141" si="1240">IF(AND($M$7=" ",OR(M141&lt;&gt;"",O141&lt;&gt;"",P141&lt;&gt;"",Q141&lt;&gt;"")),"×","○")</f>
        <v>○</v>
      </c>
      <c r="BF141" s="653" t="str">
        <f t="shared" ref="BF141" si="1241">IF(AND($R$7=" ",OR(R141&lt;&gt;"",T141&lt;&gt;"",U141&lt;&gt;"",V141&lt;&gt;"")),"×","○")</f>
        <v>○</v>
      </c>
      <c r="BG141" s="653" t="str">
        <f t="shared" ref="BG141" si="1242">IF(AND($W$7=" ",OR(W141&lt;&gt;"",Y141&lt;&gt;"",Z141&lt;&gt;"",AA141&lt;&gt;"")),"×","○")</f>
        <v>○</v>
      </c>
      <c r="BH141" s="653" t="str">
        <f t="shared" ref="BH141" si="1243">IF(AND($AB$7=" ",OR(AB141&lt;&gt;"",AD141&lt;&gt;"",AE141&lt;&gt;"",AF141&lt;&gt;"")),"×","○")</f>
        <v>○</v>
      </c>
      <c r="BI141" s="653" t="str">
        <f t="shared" ref="BI141" si="1244">IF(AND($AG$7=" ",OR(AG141&lt;&gt;"",AI141&lt;&gt;"",AJ141&lt;&gt;"")),"×","○")</f>
        <v>○</v>
      </c>
      <c r="BJ141" s="2225" t="e">
        <f t="shared" ref="BJ141" si="1245">SUMPRODUCT(1/COUNTIF(I141:AH141,"宿泊"))</f>
        <v>#DIV/0!</v>
      </c>
      <c r="BK141" s="2226" t="e">
        <f t="shared" ref="BK141" si="1246">SUMPRODUCT(1/COUNTIF(I141:AH141,"日帰り"))</f>
        <v>#DIV/0!</v>
      </c>
      <c r="BL141" s="1381">
        <f t="shared" ref="BL141" si="1247">COUNT(BJ141)-COUNT(BK141)</f>
        <v>0</v>
      </c>
      <c r="BM141" s="684"/>
    </row>
    <row r="142" spans="1:65" ht="14.1" customHeight="1" x14ac:dyDescent="0.15">
      <c r="A142" s="652"/>
      <c r="B142" s="2174"/>
      <c r="C142" s="2117"/>
      <c r="D142" s="2007"/>
      <c r="E142" s="2005"/>
      <c r="F142" s="2042"/>
      <c r="G142" s="2119"/>
      <c r="H142" s="2107"/>
      <c r="I142" s="2112"/>
      <c r="J142" s="2113"/>
      <c r="K142" s="2105"/>
      <c r="L142" s="2127"/>
      <c r="M142" s="2112"/>
      <c r="N142" s="2113"/>
      <c r="O142" s="2105"/>
      <c r="P142" s="2105"/>
      <c r="Q142" s="2107"/>
      <c r="R142" s="2112"/>
      <c r="S142" s="2113"/>
      <c r="T142" s="2105"/>
      <c r="U142" s="2105"/>
      <c r="V142" s="2107"/>
      <c r="W142" s="2112"/>
      <c r="X142" s="2113"/>
      <c r="Y142" s="2105"/>
      <c r="Z142" s="2105"/>
      <c r="AA142" s="2107"/>
      <c r="AB142" s="2112"/>
      <c r="AC142" s="2113"/>
      <c r="AD142" s="2105"/>
      <c r="AE142" s="2105"/>
      <c r="AF142" s="2107"/>
      <c r="AG142" s="2112"/>
      <c r="AH142" s="2113"/>
      <c r="AI142" s="2105"/>
      <c r="AJ142" s="2105"/>
      <c r="AK142" s="2011"/>
      <c r="AL142" s="2012"/>
      <c r="AM142" s="2012"/>
      <c r="AN142" s="2013"/>
      <c r="AO142" s="2011"/>
      <c r="AP142" s="2012"/>
      <c r="AQ142" s="2012"/>
      <c r="AR142" s="2013"/>
      <c r="AS142" s="651"/>
      <c r="AT142" s="652"/>
      <c r="AU142" s="1983"/>
      <c r="AV142" s="1983"/>
      <c r="AW142" s="1983"/>
      <c r="AX142" s="1983"/>
      <c r="AY142" s="1983"/>
      <c r="AZ142" s="1983"/>
      <c r="BA142" s="1983"/>
      <c r="BB142" s="654"/>
      <c r="BC142" s="654"/>
      <c r="BD142" s="652"/>
      <c r="BE142" s="652"/>
      <c r="BF142" s="652"/>
      <c r="BG142" s="652"/>
      <c r="BH142" s="652"/>
      <c r="BI142" s="652"/>
      <c r="BJ142" s="2225"/>
      <c r="BK142" s="2226"/>
      <c r="BL142" s="1381"/>
      <c r="BM142" s="684"/>
    </row>
    <row r="143" spans="1:65" ht="14.1" customHeight="1" x14ac:dyDescent="0.15">
      <c r="A143" s="652" t="str">
        <f t="shared" ref="A143" si="1248">IF(AND(D143="",D145&lt;&gt;""),"×","○")</f>
        <v>○</v>
      </c>
      <c r="B143" s="2174" t="str">
        <f t="shared" ref="B143" si="1249">IF(AND(AT143="○",BB143="○",BC143="○",A143="○"),"○","×")</f>
        <v>○</v>
      </c>
      <c r="C143" s="2116">
        <v>65</v>
      </c>
      <c r="D143" s="2006"/>
      <c r="E143" s="2004"/>
      <c r="F143" s="2041"/>
      <c r="G143" s="2118"/>
      <c r="H143" s="2106"/>
      <c r="I143" s="2141"/>
      <c r="J143" s="2142"/>
      <c r="K143" s="2104"/>
      <c r="L143" s="2140"/>
      <c r="M143" s="2110"/>
      <c r="N143" s="2111"/>
      <c r="O143" s="2104"/>
      <c r="P143" s="2104"/>
      <c r="Q143" s="2106"/>
      <c r="R143" s="2110"/>
      <c r="S143" s="2111"/>
      <c r="T143" s="2104"/>
      <c r="U143" s="2104"/>
      <c r="V143" s="2106"/>
      <c r="W143" s="2110"/>
      <c r="X143" s="2111"/>
      <c r="Y143" s="2104"/>
      <c r="Z143" s="2104"/>
      <c r="AA143" s="2106"/>
      <c r="AB143" s="2110"/>
      <c r="AC143" s="2111"/>
      <c r="AD143" s="2104"/>
      <c r="AE143" s="2104"/>
      <c r="AF143" s="2106"/>
      <c r="AG143" s="2110"/>
      <c r="AH143" s="2111"/>
      <c r="AI143" s="2104"/>
      <c r="AJ143" s="2104"/>
      <c r="AK143" s="2038"/>
      <c r="AL143" s="2039"/>
      <c r="AM143" s="2039"/>
      <c r="AN143" s="2040"/>
      <c r="AO143" s="2008"/>
      <c r="AP143" s="2009"/>
      <c r="AQ143" s="2009"/>
      <c r="AR143" s="2010"/>
      <c r="AS143" s="651"/>
      <c r="AT143" s="652" t="str">
        <f t="shared" ref="AT143" si="1250">IF(OR(AND(D143&lt;&gt;"",OR(AND(E143&lt;&gt;"",F143&lt;&gt;"",OR(G143&lt;&gt;"",H143&lt;&gt;"")),AND(E143="",F143="バス・カメラマン等"))),AND(D143="",E143="",F143="",OR(G143="",H143=""))),"○","×")</f>
        <v>○</v>
      </c>
      <c r="AU143" s="1983" t="str">
        <f t="shared" ref="AU143" si="1251">IF(AND(E143&lt;&gt;"",E143&lt;=2),"2歳児以下","")</f>
        <v/>
      </c>
      <c r="AV143" s="1983" t="str">
        <f t="shared" ref="AV143" si="1252">IF(OR(AND(3&lt;=E143,E143&lt;=6),COUNTIF(E143, "幼*"),COUNTIF(E143, "年少"),COUNTIF(E143, "年中"),COUNTIF(E143, "年長")),"3歳-学齢前","")</f>
        <v/>
      </c>
      <c r="AW143" s="1983" t="str">
        <f t="shared" ref="AW143" si="1253">IF(OR(AND(6&lt;=E143,E143&lt;=12),COUNTIF(E143, "小*")),"小学生","")</f>
        <v/>
      </c>
      <c r="AX143" s="1983" t="str">
        <f t="shared" ref="AX143" si="1254">IF(OR(AND(12&lt;=E143,E143&lt;=15),COUNTIF(E143, "中*")),"中学生","")</f>
        <v/>
      </c>
      <c r="AY143" s="1983" t="str">
        <f t="shared" ref="AY143" si="1255">IF(OR(AND(15&lt;=E143,E143&lt;=18),COUNTIF(E143, "高*")),"高校生(～18歳)","")</f>
        <v/>
      </c>
      <c r="AZ143" s="1983" t="str">
        <f t="shared" ref="AZ143" si="1256">IF(OR(19&lt;=E143,COUNTIF(E143, "大*"),COUNTIF(E143, "*院*"),COUNTIF(E143, "*専*")),"一般(19歳～)","")</f>
        <v/>
      </c>
      <c r="BA143" s="1983" t="s">
        <v>475</v>
      </c>
      <c r="BB143" s="652" t="str">
        <f t="shared" ref="BB143" si="1257">IF(OR(AND(D143="",I143="",M143="",R143="",W143="",AB143="",AG143=""),AND(D143&lt;&gt;"",OR(I143&lt;&gt;"",M143&lt;&gt;"",R143&lt;&gt;"",W143&lt;&gt;"",AB143&lt;&gt;"",AG143&lt;&gt;""))),"○","×")</f>
        <v>○</v>
      </c>
      <c r="BC143" s="652" t="str">
        <f t="shared" ref="BC143" si="1258">IF(AND(BD143="○",BE143="○",BF143="○",BG143="○",BH143="○",BI143="○"),"○","×")</f>
        <v>○</v>
      </c>
      <c r="BD143" s="653" t="str">
        <f t="shared" ref="BD143" si="1259">IF(AND($I$7=" ",OR(I143&lt;&gt;"",K143&lt;&gt;"",L143&lt;&gt;"")),"×","○")</f>
        <v>○</v>
      </c>
      <c r="BE143" s="653" t="str">
        <f t="shared" ref="BE143" si="1260">IF(AND($M$7=" ",OR(M143&lt;&gt;"",O143&lt;&gt;"",P143&lt;&gt;"",Q143&lt;&gt;"")),"×","○")</f>
        <v>○</v>
      </c>
      <c r="BF143" s="653" t="str">
        <f t="shared" ref="BF143" si="1261">IF(AND($R$7=" ",OR(R143&lt;&gt;"",T143&lt;&gt;"",U143&lt;&gt;"",V143&lt;&gt;"")),"×","○")</f>
        <v>○</v>
      </c>
      <c r="BG143" s="653" t="str">
        <f t="shared" ref="BG143" si="1262">IF(AND($W$7=" ",OR(W143&lt;&gt;"",Y143&lt;&gt;"",Z143&lt;&gt;"",AA143&lt;&gt;"")),"×","○")</f>
        <v>○</v>
      </c>
      <c r="BH143" s="653" t="str">
        <f t="shared" ref="BH143" si="1263">IF(AND($AB$7=" ",OR(AB143&lt;&gt;"",AD143&lt;&gt;"",AE143&lt;&gt;"",AF143&lt;&gt;"")),"×","○")</f>
        <v>○</v>
      </c>
      <c r="BI143" s="653" t="str">
        <f t="shared" ref="BI143" si="1264">IF(AND($AG$7=" ",OR(AG143&lt;&gt;"",AI143&lt;&gt;"",AJ143&lt;&gt;"")),"×","○")</f>
        <v>○</v>
      </c>
      <c r="BJ143" s="2225" t="e">
        <f t="shared" ref="BJ143" si="1265">SUMPRODUCT(1/COUNTIF(I143:AH143,"宿泊"))</f>
        <v>#DIV/0!</v>
      </c>
      <c r="BK143" s="2226" t="e">
        <f t="shared" ref="BK143" si="1266">SUMPRODUCT(1/COUNTIF(I143:AH143,"日帰り"))</f>
        <v>#DIV/0!</v>
      </c>
      <c r="BL143" s="1381">
        <f t="shared" ref="BL143" si="1267">COUNT(BJ143)-COUNT(BK143)</f>
        <v>0</v>
      </c>
      <c r="BM143" s="684"/>
    </row>
    <row r="144" spans="1:65" ht="14.1" customHeight="1" x14ac:dyDescent="0.15">
      <c r="A144" s="652"/>
      <c r="B144" s="2174"/>
      <c r="C144" s="2117"/>
      <c r="D144" s="2007"/>
      <c r="E144" s="2005"/>
      <c r="F144" s="2042"/>
      <c r="G144" s="2119"/>
      <c r="H144" s="2107"/>
      <c r="I144" s="2112"/>
      <c r="J144" s="2113"/>
      <c r="K144" s="2105"/>
      <c r="L144" s="2127"/>
      <c r="M144" s="2112"/>
      <c r="N144" s="2113"/>
      <c r="O144" s="2105"/>
      <c r="P144" s="2105"/>
      <c r="Q144" s="2107"/>
      <c r="R144" s="2112"/>
      <c r="S144" s="2113"/>
      <c r="T144" s="2105"/>
      <c r="U144" s="2105"/>
      <c r="V144" s="2107"/>
      <c r="W144" s="2112"/>
      <c r="X144" s="2113"/>
      <c r="Y144" s="2105"/>
      <c r="Z144" s="2105"/>
      <c r="AA144" s="2107"/>
      <c r="AB144" s="2112"/>
      <c r="AC144" s="2113"/>
      <c r="AD144" s="2105"/>
      <c r="AE144" s="2105"/>
      <c r="AF144" s="2107"/>
      <c r="AG144" s="2112"/>
      <c r="AH144" s="2113"/>
      <c r="AI144" s="2105"/>
      <c r="AJ144" s="2105"/>
      <c r="AK144" s="2011"/>
      <c r="AL144" s="2012"/>
      <c r="AM144" s="2012"/>
      <c r="AN144" s="2013"/>
      <c r="AO144" s="2011"/>
      <c r="AP144" s="2012"/>
      <c r="AQ144" s="2012"/>
      <c r="AR144" s="2013"/>
      <c r="AS144" s="651"/>
      <c r="AT144" s="652"/>
      <c r="AU144" s="1983"/>
      <c r="AV144" s="1983"/>
      <c r="AW144" s="1983"/>
      <c r="AX144" s="1983"/>
      <c r="AY144" s="1983"/>
      <c r="AZ144" s="1983"/>
      <c r="BA144" s="1983"/>
      <c r="BB144" s="654"/>
      <c r="BC144" s="654"/>
      <c r="BD144" s="652"/>
      <c r="BE144" s="652"/>
      <c r="BF144" s="652"/>
      <c r="BG144" s="652"/>
      <c r="BH144" s="652"/>
      <c r="BI144" s="652"/>
      <c r="BJ144" s="2225"/>
      <c r="BK144" s="2226"/>
      <c r="BL144" s="1381"/>
      <c r="BM144" s="684"/>
    </row>
    <row r="145" spans="1:65" ht="14.1" customHeight="1" x14ac:dyDescent="0.15">
      <c r="A145" s="652" t="str">
        <f t="shared" ref="A145" si="1268">IF(AND(D145="",D147&lt;&gt;""),"×","○")</f>
        <v>○</v>
      </c>
      <c r="B145" s="2174" t="str">
        <f t="shared" ref="B145" si="1269">IF(AND(AT145="○",BB145="○",BC145="○",A145="○"),"○","×")</f>
        <v>○</v>
      </c>
      <c r="C145" s="2116">
        <v>66</v>
      </c>
      <c r="D145" s="2006"/>
      <c r="E145" s="2004"/>
      <c r="F145" s="2041"/>
      <c r="G145" s="2118"/>
      <c r="H145" s="2106"/>
      <c r="I145" s="2141"/>
      <c r="J145" s="2142"/>
      <c r="K145" s="2104"/>
      <c r="L145" s="2140"/>
      <c r="M145" s="2110"/>
      <c r="N145" s="2111"/>
      <c r="O145" s="2104"/>
      <c r="P145" s="2104"/>
      <c r="Q145" s="2106"/>
      <c r="R145" s="2110"/>
      <c r="S145" s="2111"/>
      <c r="T145" s="2104"/>
      <c r="U145" s="2104"/>
      <c r="V145" s="2106"/>
      <c r="W145" s="2110"/>
      <c r="X145" s="2111"/>
      <c r="Y145" s="2104"/>
      <c r="Z145" s="2104"/>
      <c r="AA145" s="2106"/>
      <c r="AB145" s="2110"/>
      <c r="AC145" s="2111"/>
      <c r="AD145" s="2104"/>
      <c r="AE145" s="2104"/>
      <c r="AF145" s="2106"/>
      <c r="AG145" s="2110"/>
      <c r="AH145" s="2111"/>
      <c r="AI145" s="2104"/>
      <c r="AJ145" s="2104"/>
      <c r="AK145" s="2038"/>
      <c r="AL145" s="2039"/>
      <c r="AM145" s="2039"/>
      <c r="AN145" s="2040"/>
      <c r="AO145" s="2008"/>
      <c r="AP145" s="2009"/>
      <c r="AQ145" s="2009"/>
      <c r="AR145" s="2010"/>
      <c r="AS145" s="651"/>
      <c r="AT145" s="652" t="str">
        <f t="shared" ref="AT145" si="1270">IF(OR(AND(D145&lt;&gt;"",OR(AND(E145&lt;&gt;"",F145&lt;&gt;"",OR(G145&lt;&gt;"",H145&lt;&gt;"")),AND(E145="",F145="バス・カメラマン等"))),AND(D145="",E145="",F145="",OR(G145="",H145=""))),"○","×")</f>
        <v>○</v>
      </c>
      <c r="AU145" s="1983" t="str">
        <f t="shared" ref="AU145" si="1271">IF(AND(E145&lt;&gt;"",E145&lt;=2),"2歳児以下","")</f>
        <v/>
      </c>
      <c r="AV145" s="1983" t="str">
        <f t="shared" ref="AV145" si="1272">IF(OR(AND(3&lt;=E145,E145&lt;=6),COUNTIF(E145, "幼*"),COUNTIF(E145, "年少"),COUNTIF(E145, "年中"),COUNTIF(E145, "年長")),"3歳-学齢前","")</f>
        <v/>
      </c>
      <c r="AW145" s="1983" t="str">
        <f t="shared" ref="AW145" si="1273">IF(OR(AND(6&lt;=E145,E145&lt;=12),COUNTIF(E145, "小*")),"小学生","")</f>
        <v/>
      </c>
      <c r="AX145" s="1983" t="str">
        <f t="shared" ref="AX145" si="1274">IF(OR(AND(12&lt;=E145,E145&lt;=15),COUNTIF(E145, "中*")),"中学生","")</f>
        <v/>
      </c>
      <c r="AY145" s="1983" t="str">
        <f t="shared" ref="AY145" si="1275">IF(OR(AND(15&lt;=E145,E145&lt;=18),COUNTIF(E145, "高*")),"高校生(～18歳)","")</f>
        <v/>
      </c>
      <c r="AZ145" s="1983" t="str">
        <f t="shared" ref="AZ145" si="1276">IF(OR(19&lt;=E145,COUNTIF(E145, "大*"),COUNTIF(E145, "*院*"),COUNTIF(E145, "*専*")),"一般(19歳～)","")</f>
        <v/>
      </c>
      <c r="BA145" s="1983" t="s">
        <v>475</v>
      </c>
      <c r="BB145" s="652" t="str">
        <f t="shared" ref="BB145" si="1277">IF(OR(AND(D145="",I145="",M145="",R145="",W145="",AB145="",AG145=""),AND(D145&lt;&gt;"",OR(I145&lt;&gt;"",M145&lt;&gt;"",R145&lt;&gt;"",W145&lt;&gt;"",AB145&lt;&gt;"",AG145&lt;&gt;""))),"○","×")</f>
        <v>○</v>
      </c>
      <c r="BC145" s="652" t="str">
        <f t="shared" ref="BC145" si="1278">IF(AND(BD145="○",BE145="○",BF145="○",BG145="○",BH145="○",BI145="○"),"○","×")</f>
        <v>○</v>
      </c>
      <c r="BD145" s="653" t="str">
        <f t="shared" ref="BD145" si="1279">IF(AND($I$7=" ",OR(I145&lt;&gt;"",K145&lt;&gt;"",L145&lt;&gt;"")),"×","○")</f>
        <v>○</v>
      </c>
      <c r="BE145" s="653" t="str">
        <f t="shared" ref="BE145" si="1280">IF(AND($M$7=" ",OR(M145&lt;&gt;"",O145&lt;&gt;"",P145&lt;&gt;"",Q145&lt;&gt;"")),"×","○")</f>
        <v>○</v>
      </c>
      <c r="BF145" s="653" t="str">
        <f t="shared" ref="BF145" si="1281">IF(AND($R$7=" ",OR(R145&lt;&gt;"",T145&lt;&gt;"",U145&lt;&gt;"",V145&lt;&gt;"")),"×","○")</f>
        <v>○</v>
      </c>
      <c r="BG145" s="653" t="str">
        <f t="shared" ref="BG145" si="1282">IF(AND($W$7=" ",OR(W145&lt;&gt;"",Y145&lt;&gt;"",Z145&lt;&gt;"",AA145&lt;&gt;"")),"×","○")</f>
        <v>○</v>
      </c>
      <c r="BH145" s="653" t="str">
        <f t="shared" ref="BH145" si="1283">IF(AND($AB$7=" ",OR(AB145&lt;&gt;"",AD145&lt;&gt;"",AE145&lt;&gt;"",AF145&lt;&gt;"")),"×","○")</f>
        <v>○</v>
      </c>
      <c r="BI145" s="653" t="str">
        <f t="shared" ref="BI145" si="1284">IF(AND($AG$7=" ",OR(AG145&lt;&gt;"",AI145&lt;&gt;"",AJ145&lt;&gt;"")),"×","○")</f>
        <v>○</v>
      </c>
      <c r="BJ145" s="2225" t="e">
        <f t="shared" ref="BJ145" si="1285">SUMPRODUCT(1/COUNTIF(I145:AH145,"宿泊"))</f>
        <v>#DIV/0!</v>
      </c>
      <c r="BK145" s="2226" t="e">
        <f t="shared" ref="BK145" si="1286">SUMPRODUCT(1/COUNTIF(I145:AH145,"日帰り"))</f>
        <v>#DIV/0!</v>
      </c>
      <c r="BL145" s="1381">
        <f t="shared" ref="BL145" si="1287">COUNT(BJ145)-COUNT(BK145)</f>
        <v>0</v>
      </c>
      <c r="BM145" s="684"/>
    </row>
    <row r="146" spans="1:65" ht="14.1" customHeight="1" x14ac:dyDescent="0.15">
      <c r="A146" s="652"/>
      <c r="B146" s="2174"/>
      <c r="C146" s="2117"/>
      <c r="D146" s="2007"/>
      <c r="E146" s="2005"/>
      <c r="F146" s="2042"/>
      <c r="G146" s="2119"/>
      <c r="H146" s="2107"/>
      <c r="I146" s="2112"/>
      <c r="J146" s="2113"/>
      <c r="K146" s="2105"/>
      <c r="L146" s="2127"/>
      <c r="M146" s="2112"/>
      <c r="N146" s="2113"/>
      <c r="O146" s="2105"/>
      <c r="P146" s="2105"/>
      <c r="Q146" s="2107"/>
      <c r="R146" s="2112"/>
      <c r="S146" s="2113"/>
      <c r="T146" s="2105"/>
      <c r="U146" s="2105"/>
      <c r="V146" s="2107"/>
      <c r="W146" s="2112"/>
      <c r="X146" s="2113"/>
      <c r="Y146" s="2105"/>
      <c r="Z146" s="2105"/>
      <c r="AA146" s="2107"/>
      <c r="AB146" s="2112"/>
      <c r="AC146" s="2113"/>
      <c r="AD146" s="2105"/>
      <c r="AE146" s="2105"/>
      <c r="AF146" s="2107"/>
      <c r="AG146" s="2112"/>
      <c r="AH146" s="2113"/>
      <c r="AI146" s="2105"/>
      <c r="AJ146" s="2105"/>
      <c r="AK146" s="2011"/>
      <c r="AL146" s="2012"/>
      <c r="AM146" s="2012"/>
      <c r="AN146" s="2013"/>
      <c r="AO146" s="2011"/>
      <c r="AP146" s="2012"/>
      <c r="AQ146" s="2012"/>
      <c r="AR146" s="2013"/>
      <c r="AS146" s="651"/>
      <c r="AT146" s="652"/>
      <c r="AU146" s="1983"/>
      <c r="AV146" s="1983"/>
      <c r="AW146" s="1983"/>
      <c r="AX146" s="1983"/>
      <c r="AY146" s="1983"/>
      <c r="AZ146" s="1983"/>
      <c r="BA146" s="1983"/>
      <c r="BB146" s="654"/>
      <c r="BC146" s="654"/>
      <c r="BD146" s="652"/>
      <c r="BE146" s="652"/>
      <c r="BF146" s="652"/>
      <c r="BG146" s="652"/>
      <c r="BH146" s="652"/>
      <c r="BI146" s="652"/>
      <c r="BJ146" s="2225"/>
      <c r="BK146" s="2226"/>
      <c r="BL146" s="1381"/>
      <c r="BM146" s="684"/>
    </row>
    <row r="147" spans="1:65" ht="14.1" customHeight="1" x14ac:dyDescent="0.15">
      <c r="A147" s="652" t="str">
        <f t="shared" ref="A147" si="1288">IF(AND(D147="",D149&lt;&gt;""),"×","○")</f>
        <v>○</v>
      </c>
      <c r="B147" s="2174" t="str">
        <f t="shared" ref="B147" si="1289">IF(AND(AT147="○",BB147="○",BC147="○",A147="○"),"○","×")</f>
        <v>○</v>
      </c>
      <c r="C147" s="2116">
        <v>67</v>
      </c>
      <c r="D147" s="2006"/>
      <c r="E147" s="2004"/>
      <c r="F147" s="2041"/>
      <c r="G147" s="2118"/>
      <c r="H147" s="2106"/>
      <c r="I147" s="2141"/>
      <c r="J147" s="2142"/>
      <c r="K147" s="2104"/>
      <c r="L147" s="2140"/>
      <c r="M147" s="2110"/>
      <c r="N147" s="2111"/>
      <c r="O147" s="2104"/>
      <c r="P147" s="2104"/>
      <c r="Q147" s="2106"/>
      <c r="R147" s="2110"/>
      <c r="S147" s="2111"/>
      <c r="T147" s="2104"/>
      <c r="U147" s="2104"/>
      <c r="V147" s="2106"/>
      <c r="W147" s="2110"/>
      <c r="X147" s="2111"/>
      <c r="Y147" s="2104"/>
      <c r="Z147" s="2104"/>
      <c r="AA147" s="2106"/>
      <c r="AB147" s="2110"/>
      <c r="AC147" s="2111"/>
      <c r="AD147" s="2104"/>
      <c r="AE147" s="2104"/>
      <c r="AF147" s="2106"/>
      <c r="AG147" s="2110"/>
      <c r="AH147" s="2111"/>
      <c r="AI147" s="2104"/>
      <c r="AJ147" s="2104"/>
      <c r="AK147" s="2038"/>
      <c r="AL147" s="2039"/>
      <c r="AM147" s="2039"/>
      <c r="AN147" s="2040"/>
      <c r="AO147" s="2008"/>
      <c r="AP147" s="2009"/>
      <c r="AQ147" s="2009"/>
      <c r="AR147" s="2010"/>
      <c r="AS147" s="651"/>
      <c r="AT147" s="652" t="str">
        <f t="shared" ref="AT147" si="1290">IF(OR(AND(D147&lt;&gt;"",OR(AND(E147&lt;&gt;"",F147&lt;&gt;"",OR(G147&lt;&gt;"",H147&lt;&gt;"")),AND(E147="",F147="バス・カメラマン等"))),AND(D147="",E147="",F147="",OR(G147="",H147=""))),"○","×")</f>
        <v>○</v>
      </c>
      <c r="AU147" s="1983" t="str">
        <f t="shared" ref="AU147" si="1291">IF(AND(E147&lt;&gt;"",E147&lt;=2),"2歳児以下","")</f>
        <v/>
      </c>
      <c r="AV147" s="1983" t="str">
        <f t="shared" ref="AV147" si="1292">IF(OR(AND(3&lt;=E147,E147&lt;=6),COUNTIF(E147, "幼*"),COUNTIF(E147, "年少"),COUNTIF(E147, "年中"),COUNTIF(E147, "年長")),"3歳-学齢前","")</f>
        <v/>
      </c>
      <c r="AW147" s="1983" t="str">
        <f t="shared" ref="AW147" si="1293">IF(OR(AND(6&lt;=E147,E147&lt;=12),COUNTIF(E147, "小*")),"小学生","")</f>
        <v/>
      </c>
      <c r="AX147" s="1983" t="str">
        <f t="shared" ref="AX147" si="1294">IF(OR(AND(12&lt;=E147,E147&lt;=15),COUNTIF(E147, "中*")),"中学生","")</f>
        <v/>
      </c>
      <c r="AY147" s="1983" t="str">
        <f t="shared" ref="AY147" si="1295">IF(OR(AND(15&lt;=E147,E147&lt;=18),COUNTIF(E147, "高*")),"高校生(～18歳)","")</f>
        <v/>
      </c>
      <c r="AZ147" s="1983" t="str">
        <f t="shared" ref="AZ147" si="1296">IF(OR(19&lt;=E147,COUNTIF(E147, "大*"),COUNTIF(E147, "*院*"),COUNTIF(E147, "*専*")),"一般(19歳～)","")</f>
        <v/>
      </c>
      <c r="BA147" s="1983" t="s">
        <v>475</v>
      </c>
      <c r="BB147" s="652" t="str">
        <f t="shared" ref="BB147" si="1297">IF(OR(AND(D147="",I147="",M147="",R147="",W147="",AB147="",AG147=""),AND(D147&lt;&gt;"",OR(I147&lt;&gt;"",M147&lt;&gt;"",R147&lt;&gt;"",W147&lt;&gt;"",AB147&lt;&gt;"",AG147&lt;&gt;""))),"○","×")</f>
        <v>○</v>
      </c>
      <c r="BC147" s="652" t="str">
        <f t="shared" ref="BC147" si="1298">IF(AND(BD147="○",BE147="○",BF147="○",BG147="○",BH147="○",BI147="○"),"○","×")</f>
        <v>○</v>
      </c>
      <c r="BD147" s="653" t="str">
        <f t="shared" ref="BD147" si="1299">IF(AND($I$7=" ",OR(I147&lt;&gt;"",K147&lt;&gt;"",L147&lt;&gt;"")),"×","○")</f>
        <v>○</v>
      </c>
      <c r="BE147" s="653" t="str">
        <f t="shared" ref="BE147" si="1300">IF(AND($M$7=" ",OR(M147&lt;&gt;"",O147&lt;&gt;"",P147&lt;&gt;"",Q147&lt;&gt;"")),"×","○")</f>
        <v>○</v>
      </c>
      <c r="BF147" s="653" t="str">
        <f t="shared" ref="BF147" si="1301">IF(AND($R$7=" ",OR(R147&lt;&gt;"",T147&lt;&gt;"",U147&lt;&gt;"",V147&lt;&gt;"")),"×","○")</f>
        <v>○</v>
      </c>
      <c r="BG147" s="653" t="str">
        <f t="shared" ref="BG147" si="1302">IF(AND($W$7=" ",OR(W147&lt;&gt;"",Y147&lt;&gt;"",Z147&lt;&gt;"",AA147&lt;&gt;"")),"×","○")</f>
        <v>○</v>
      </c>
      <c r="BH147" s="653" t="str">
        <f t="shared" ref="BH147" si="1303">IF(AND($AB$7=" ",OR(AB147&lt;&gt;"",AD147&lt;&gt;"",AE147&lt;&gt;"",AF147&lt;&gt;"")),"×","○")</f>
        <v>○</v>
      </c>
      <c r="BI147" s="653" t="str">
        <f t="shared" ref="BI147" si="1304">IF(AND($AG$7=" ",OR(AG147&lt;&gt;"",AI147&lt;&gt;"",AJ147&lt;&gt;"")),"×","○")</f>
        <v>○</v>
      </c>
      <c r="BJ147" s="2225" t="e">
        <f t="shared" ref="BJ147" si="1305">SUMPRODUCT(1/COUNTIF(I147:AH147,"宿泊"))</f>
        <v>#DIV/0!</v>
      </c>
      <c r="BK147" s="2226" t="e">
        <f t="shared" ref="BK147" si="1306">SUMPRODUCT(1/COUNTIF(I147:AH147,"日帰り"))</f>
        <v>#DIV/0!</v>
      </c>
      <c r="BL147" s="1381">
        <f t="shared" ref="BL147" si="1307">COUNT(BJ147)-COUNT(BK147)</f>
        <v>0</v>
      </c>
      <c r="BM147" s="684"/>
    </row>
    <row r="148" spans="1:65" ht="14.1" customHeight="1" x14ac:dyDescent="0.15">
      <c r="A148" s="652"/>
      <c r="B148" s="2174"/>
      <c r="C148" s="2117"/>
      <c r="D148" s="2007"/>
      <c r="E148" s="2005"/>
      <c r="F148" s="2042"/>
      <c r="G148" s="2119"/>
      <c r="H148" s="2107"/>
      <c r="I148" s="2112"/>
      <c r="J148" s="2113"/>
      <c r="K148" s="2105"/>
      <c r="L148" s="2127"/>
      <c r="M148" s="2112"/>
      <c r="N148" s="2113"/>
      <c r="O148" s="2105"/>
      <c r="P148" s="2105"/>
      <c r="Q148" s="2107"/>
      <c r="R148" s="2112"/>
      <c r="S148" s="2113"/>
      <c r="T148" s="2105"/>
      <c r="U148" s="2105"/>
      <c r="V148" s="2107"/>
      <c r="W148" s="2112"/>
      <c r="X148" s="2113"/>
      <c r="Y148" s="2105"/>
      <c r="Z148" s="2105"/>
      <c r="AA148" s="2107"/>
      <c r="AB148" s="2112"/>
      <c r="AC148" s="2113"/>
      <c r="AD148" s="2105"/>
      <c r="AE148" s="2105"/>
      <c r="AF148" s="2107"/>
      <c r="AG148" s="2112"/>
      <c r="AH148" s="2113"/>
      <c r="AI148" s="2105"/>
      <c r="AJ148" s="2105"/>
      <c r="AK148" s="2011"/>
      <c r="AL148" s="2012"/>
      <c r="AM148" s="2012"/>
      <c r="AN148" s="2013"/>
      <c r="AO148" s="2011"/>
      <c r="AP148" s="2012"/>
      <c r="AQ148" s="2012"/>
      <c r="AR148" s="2013"/>
      <c r="AS148" s="651"/>
      <c r="AT148" s="652"/>
      <c r="AU148" s="1983"/>
      <c r="AV148" s="1983"/>
      <c r="AW148" s="1983"/>
      <c r="AX148" s="1983"/>
      <c r="AY148" s="1983"/>
      <c r="AZ148" s="1983"/>
      <c r="BA148" s="1983"/>
      <c r="BB148" s="654"/>
      <c r="BC148" s="654"/>
      <c r="BD148" s="652"/>
      <c r="BE148" s="652"/>
      <c r="BF148" s="652"/>
      <c r="BG148" s="652"/>
      <c r="BH148" s="652"/>
      <c r="BI148" s="652"/>
      <c r="BJ148" s="2225"/>
      <c r="BK148" s="2226"/>
      <c r="BL148" s="1381"/>
      <c r="BM148" s="684"/>
    </row>
    <row r="149" spans="1:65" ht="14.1" customHeight="1" x14ac:dyDescent="0.15">
      <c r="A149" s="652" t="str">
        <f t="shared" ref="A149" si="1308">IF(AND(D149="",D151&lt;&gt;""),"×","○")</f>
        <v>○</v>
      </c>
      <c r="B149" s="2174" t="str">
        <f t="shared" ref="B149" si="1309">IF(AND(AT149="○",BB149="○",BC149="○",A149="○"),"○","×")</f>
        <v>○</v>
      </c>
      <c r="C149" s="2120">
        <v>68</v>
      </c>
      <c r="D149" s="2006"/>
      <c r="E149" s="2004"/>
      <c r="F149" s="2041"/>
      <c r="G149" s="2118"/>
      <c r="H149" s="2106"/>
      <c r="I149" s="2141"/>
      <c r="J149" s="2142"/>
      <c r="K149" s="2104"/>
      <c r="L149" s="2140"/>
      <c r="M149" s="2110"/>
      <c r="N149" s="2111"/>
      <c r="O149" s="2104"/>
      <c r="P149" s="2104"/>
      <c r="Q149" s="2106"/>
      <c r="R149" s="2110"/>
      <c r="S149" s="2111"/>
      <c r="T149" s="2104"/>
      <c r="U149" s="2104"/>
      <c r="V149" s="2106"/>
      <c r="W149" s="2110"/>
      <c r="X149" s="2111"/>
      <c r="Y149" s="2104"/>
      <c r="Z149" s="2104"/>
      <c r="AA149" s="2106"/>
      <c r="AB149" s="2110"/>
      <c r="AC149" s="2111"/>
      <c r="AD149" s="2104"/>
      <c r="AE149" s="2104"/>
      <c r="AF149" s="2106"/>
      <c r="AG149" s="2110"/>
      <c r="AH149" s="2111"/>
      <c r="AI149" s="2104"/>
      <c r="AJ149" s="2104"/>
      <c r="AK149" s="2038"/>
      <c r="AL149" s="2039"/>
      <c r="AM149" s="2039"/>
      <c r="AN149" s="2040"/>
      <c r="AO149" s="2008"/>
      <c r="AP149" s="2009"/>
      <c r="AQ149" s="2009"/>
      <c r="AR149" s="2010"/>
      <c r="AS149" s="651"/>
      <c r="AT149" s="652" t="str">
        <f t="shared" ref="AT149" si="1310">IF(OR(AND(D149&lt;&gt;"",OR(AND(E149&lt;&gt;"",F149&lt;&gt;"",OR(G149&lt;&gt;"",H149&lt;&gt;"")),AND(E149="",F149="バス・カメラマン等"))),AND(D149="",E149="",F149="",OR(G149="",H149=""))),"○","×")</f>
        <v>○</v>
      </c>
      <c r="AU149" s="1983" t="str">
        <f t="shared" ref="AU149" si="1311">IF(AND(E149&lt;&gt;"",E149&lt;=2),"2歳児以下","")</f>
        <v/>
      </c>
      <c r="AV149" s="1983" t="str">
        <f t="shared" ref="AV149" si="1312">IF(OR(AND(3&lt;=E149,E149&lt;=6),COUNTIF(E149, "幼*"),COUNTIF(E149, "年少"),COUNTIF(E149, "年中"),COUNTIF(E149, "年長")),"3歳-学齢前","")</f>
        <v/>
      </c>
      <c r="AW149" s="1983" t="str">
        <f t="shared" ref="AW149" si="1313">IF(OR(AND(6&lt;=E149,E149&lt;=12),COUNTIF(E149, "小*")),"小学生","")</f>
        <v/>
      </c>
      <c r="AX149" s="1983" t="str">
        <f t="shared" ref="AX149" si="1314">IF(OR(AND(12&lt;=E149,E149&lt;=15),COUNTIF(E149, "中*")),"中学生","")</f>
        <v/>
      </c>
      <c r="AY149" s="1983" t="str">
        <f t="shared" ref="AY149" si="1315">IF(OR(AND(15&lt;=E149,E149&lt;=18),COUNTIF(E149, "高*")),"高校生(～18歳)","")</f>
        <v/>
      </c>
      <c r="AZ149" s="1983" t="str">
        <f t="shared" ref="AZ149" si="1316">IF(OR(19&lt;=E149,COUNTIF(E149, "大*"),COUNTIF(E149, "*院*"),COUNTIF(E149, "*専*")),"一般(19歳～)","")</f>
        <v/>
      </c>
      <c r="BA149" s="1983" t="s">
        <v>475</v>
      </c>
      <c r="BB149" s="652" t="str">
        <f t="shared" ref="BB149" si="1317">IF(OR(AND(D149="",I149="",M149="",R149="",W149="",AB149="",AG149=""),AND(D149&lt;&gt;"",OR(I149&lt;&gt;"",M149&lt;&gt;"",R149&lt;&gt;"",W149&lt;&gt;"",AB149&lt;&gt;"",AG149&lt;&gt;""))),"○","×")</f>
        <v>○</v>
      </c>
      <c r="BC149" s="652" t="str">
        <f t="shared" ref="BC149" si="1318">IF(AND(BD149="○",BE149="○",BF149="○",BG149="○",BH149="○",BI149="○"),"○","×")</f>
        <v>○</v>
      </c>
      <c r="BD149" s="653" t="str">
        <f t="shared" ref="BD149" si="1319">IF(AND($I$7=" ",OR(I149&lt;&gt;"",K149&lt;&gt;"",L149&lt;&gt;"")),"×","○")</f>
        <v>○</v>
      </c>
      <c r="BE149" s="653" t="str">
        <f t="shared" ref="BE149" si="1320">IF(AND($M$7=" ",OR(M149&lt;&gt;"",O149&lt;&gt;"",P149&lt;&gt;"",Q149&lt;&gt;"")),"×","○")</f>
        <v>○</v>
      </c>
      <c r="BF149" s="653" t="str">
        <f t="shared" ref="BF149" si="1321">IF(AND($R$7=" ",OR(R149&lt;&gt;"",T149&lt;&gt;"",U149&lt;&gt;"",V149&lt;&gt;"")),"×","○")</f>
        <v>○</v>
      </c>
      <c r="BG149" s="653" t="str">
        <f t="shared" ref="BG149" si="1322">IF(AND($W$7=" ",OR(W149&lt;&gt;"",Y149&lt;&gt;"",Z149&lt;&gt;"",AA149&lt;&gt;"")),"×","○")</f>
        <v>○</v>
      </c>
      <c r="BH149" s="653" t="str">
        <f t="shared" ref="BH149" si="1323">IF(AND($AB$7=" ",OR(AB149&lt;&gt;"",AD149&lt;&gt;"",AE149&lt;&gt;"",AF149&lt;&gt;"")),"×","○")</f>
        <v>○</v>
      </c>
      <c r="BI149" s="653" t="str">
        <f t="shared" ref="BI149" si="1324">IF(AND($AG$7=" ",OR(AG149&lt;&gt;"",AI149&lt;&gt;"",AJ149&lt;&gt;"")),"×","○")</f>
        <v>○</v>
      </c>
      <c r="BJ149" s="2225" t="e">
        <f t="shared" ref="BJ149" si="1325">SUMPRODUCT(1/COUNTIF(I149:AH149,"宿泊"))</f>
        <v>#DIV/0!</v>
      </c>
      <c r="BK149" s="2226" t="e">
        <f t="shared" ref="BK149" si="1326">SUMPRODUCT(1/COUNTIF(I149:AH149,"日帰り"))</f>
        <v>#DIV/0!</v>
      </c>
      <c r="BL149" s="1381">
        <f t="shared" ref="BL149" si="1327">COUNT(BJ149)-COUNT(BK149)</f>
        <v>0</v>
      </c>
      <c r="BM149" s="684"/>
    </row>
    <row r="150" spans="1:65" ht="14.1" customHeight="1" x14ac:dyDescent="0.15">
      <c r="A150" s="652"/>
      <c r="B150" s="2174"/>
      <c r="C150" s="2117"/>
      <c r="D150" s="2007"/>
      <c r="E150" s="2005"/>
      <c r="F150" s="2042"/>
      <c r="G150" s="2119"/>
      <c r="H150" s="2107"/>
      <c r="I150" s="2112"/>
      <c r="J150" s="2113"/>
      <c r="K150" s="2105"/>
      <c r="L150" s="2127"/>
      <c r="M150" s="2112"/>
      <c r="N150" s="2113"/>
      <c r="O150" s="2105"/>
      <c r="P150" s="2105"/>
      <c r="Q150" s="2107"/>
      <c r="R150" s="2112"/>
      <c r="S150" s="2113"/>
      <c r="T150" s="2105"/>
      <c r="U150" s="2105"/>
      <c r="V150" s="2107"/>
      <c r="W150" s="2112"/>
      <c r="X150" s="2113"/>
      <c r="Y150" s="2105"/>
      <c r="Z150" s="2105"/>
      <c r="AA150" s="2107"/>
      <c r="AB150" s="2112"/>
      <c r="AC150" s="2113"/>
      <c r="AD150" s="2105"/>
      <c r="AE150" s="2105"/>
      <c r="AF150" s="2107"/>
      <c r="AG150" s="2112"/>
      <c r="AH150" s="2113"/>
      <c r="AI150" s="2105"/>
      <c r="AJ150" s="2105"/>
      <c r="AK150" s="2011"/>
      <c r="AL150" s="2012"/>
      <c r="AM150" s="2012"/>
      <c r="AN150" s="2013"/>
      <c r="AO150" s="2011"/>
      <c r="AP150" s="2012"/>
      <c r="AQ150" s="2012"/>
      <c r="AR150" s="2013"/>
      <c r="AS150" s="651"/>
      <c r="AT150" s="652"/>
      <c r="AU150" s="1983"/>
      <c r="AV150" s="1983"/>
      <c r="AW150" s="1983"/>
      <c r="AX150" s="1983"/>
      <c r="AY150" s="1983"/>
      <c r="AZ150" s="1983"/>
      <c r="BA150" s="1983"/>
      <c r="BB150" s="654"/>
      <c r="BC150" s="654"/>
      <c r="BD150" s="652"/>
      <c r="BE150" s="652"/>
      <c r="BF150" s="652"/>
      <c r="BG150" s="652"/>
      <c r="BH150" s="652"/>
      <c r="BI150" s="652"/>
      <c r="BJ150" s="2225"/>
      <c r="BK150" s="2226"/>
      <c r="BL150" s="1381"/>
      <c r="BM150" s="684"/>
    </row>
    <row r="151" spans="1:65" ht="14.1" customHeight="1" x14ac:dyDescent="0.15">
      <c r="A151" s="652" t="str">
        <f t="shared" ref="A151" si="1328">IF(AND(D151="",D153&lt;&gt;""),"×","○")</f>
        <v>○</v>
      </c>
      <c r="B151" s="2174" t="str">
        <f t="shared" ref="B151" si="1329">IF(AND(AT151="○",BB151="○",BC151="○",A151="○"),"○","×")</f>
        <v>○</v>
      </c>
      <c r="C151" s="2116">
        <v>69</v>
      </c>
      <c r="D151" s="2006"/>
      <c r="E151" s="2004"/>
      <c r="F151" s="2041"/>
      <c r="G151" s="2118"/>
      <c r="H151" s="2106"/>
      <c r="I151" s="2141"/>
      <c r="J151" s="2142"/>
      <c r="K151" s="2104"/>
      <c r="L151" s="2140"/>
      <c r="M151" s="2110"/>
      <c r="N151" s="2111"/>
      <c r="O151" s="2104"/>
      <c r="P151" s="2104"/>
      <c r="Q151" s="2106"/>
      <c r="R151" s="2110"/>
      <c r="S151" s="2111"/>
      <c r="T151" s="2104"/>
      <c r="U151" s="2104"/>
      <c r="V151" s="2106"/>
      <c r="W151" s="2110"/>
      <c r="X151" s="2111"/>
      <c r="Y151" s="2104"/>
      <c r="Z151" s="2104"/>
      <c r="AA151" s="2106"/>
      <c r="AB151" s="2110"/>
      <c r="AC151" s="2111"/>
      <c r="AD151" s="2104"/>
      <c r="AE151" s="2104"/>
      <c r="AF151" s="2106"/>
      <c r="AG151" s="2110"/>
      <c r="AH151" s="2111"/>
      <c r="AI151" s="2104"/>
      <c r="AJ151" s="2104"/>
      <c r="AK151" s="2038"/>
      <c r="AL151" s="2039"/>
      <c r="AM151" s="2039"/>
      <c r="AN151" s="2040"/>
      <c r="AO151" s="2008"/>
      <c r="AP151" s="2009"/>
      <c r="AQ151" s="2009"/>
      <c r="AR151" s="2010"/>
      <c r="AS151" s="651"/>
      <c r="AT151" s="652" t="str">
        <f t="shared" ref="AT151" si="1330">IF(OR(AND(D151&lt;&gt;"",OR(AND(E151&lt;&gt;"",F151&lt;&gt;"",OR(G151&lt;&gt;"",H151&lt;&gt;"")),AND(E151="",F151="バス・カメラマン等"))),AND(D151="",E151="",F151="",OR(G151="",H151=""))),"○","×")</f>
        <v>○</v>
      </c>
      <c r="AU151" s="1983" t="str">
        <f t="shared" ref="AU151" si="1331">IF(AND(E151&lt;&gt;"",E151&lt;=2),"2歳児以下","")</f>
        <v/>
      </c>
      <c r="AV151" s="1983" t="str">
        <f t="shared" ref="AV151" si="1332">IF(OR(AND(3&lt;=E151,E151&lt;=6),COUNTIF(E151, "幼*"),COUNTIF(E151, "年少"),COUNTIF(E151, "年中"),COUNTIF(E151, "年長")),"3歳-学齢前","")</f>
        <v/>
      </c>
      <c r="AW151" s="1983" t="str">
        <f t="shared" ref="AW151" si="1333">IF(OR(AND(6&lt;=E151,E151&lt;=12),COUNTIF(E151, "小*")),"小学生","")</f>
        <v/>
      </c>
      <c r="AX151" s="1983" t="str">
        <f t="shared" ref="AX151" si="1334">IF(OR(AND(12&lt;=E151,E151&lt;=15),COUNTIF(E151, "中*")),"中学生","")</f>
        <v/>
      </c>
      <c r="AY151" s="1983" t="str">
        <f t="shared" ref="AY151" si="1335">IF(OR(AND(15&lt;=E151,E151&lt;=18),COUNTIF(E151, "高*")),"高校生(～18歳)","")</f>
        <v/>
      </c>
      <c r="AZ151" s="1983" t="str">
        <f t="shared" ref="AZ151" si="1336">IF(OR(19&lt;=E151,COUNTIF(E151, "大*"),COUNTIF(E151, "*院*"),COUNTIF(E151, "*専*")),"一般(19歳～)","")</f>
        <v/>
      </c>
      <c r="BA151" s="1983" t="s">
        <v>475</v>
      </c>
      <c r="BB151" s="652" t="str">
        <f t="shared" ref="BB151" si="1337">IF(OR(AND(D151="",I151="",M151="",R151="",W151="",AB151="",AG151=""),AND(D151&lt;&gt;"",OR(I151&lt;&gt;"",M151&lt;&gt;"",R151&lt;&gt;"",W151&lt;&gt;"",AB151&lt;&gt;"",AG151&lt;&gt;""))),"○","×")</f>
        <v>○</v>
      </c>
      <c r="BC151" s="652" t="str">
        <f t="shared" ref="BC151" si="1338">IF(AND(BD151="○",BE151="○",BF151="○",BG151="○",BH151="○",BI151="○"),"○","×")</f>
        <v>○</v>
      </c>
      <c r="BD151" s="653" t="str">
        <f t="shared" ref="BD151" si="1339">IF(AND($I$7=" ",OR(I151&lt;&gt;"",K151&lt;&gt;"",L151&lt;&gt;"")),"×","○")</f>
        <v>○</v>
      </c>
      <c r="BE151" s="653" t="str">
        <f t="shared" ref="BE151" si="1340">IF(AND($M$7=" ",OR(M151&lt;&gt;"",O151&lt;&gt;"",P151&lt;&gt;"",Q151&lt;&gt;"")),"×","○")</f>
        <v>○</v>
      </c>
      <c r="BF151" s="653" t="str">
        <f t="shared" ref="BF151" si="1341">IF(AND($R$7=" ",OR(R151&lt;&gt;"",T151&lt;&gt;"",U151&lt;&gt;"",V151&lt;&gt;"")),"×","○")</f>
        <v>○</v>
      </c>
      <c r="BG151" s="653" t="str">
        <f t="shared" ref="BG151" si="1342">IF(AND($W$7=" ",OR(W151&lt;&gt;"",Y151&lt;&gt;"",Z151&lt;&gt;"",AA151&lt;&gt;"")),"×","○")</f>
        <v>○</v>
      </c>
      <c r="BH151" s="653" t="str">
        <f t="shared" ref="BH151" si="1343">IF(AND($AB$7=" ",OR(AB151&lt;&gt;"",AD151&lt;&gt;"",AE151&lt;&gt;"",AF151&lt;&gt;"")),"×","○")</f>
        <v>○</v>
      </c>
      <c r="BI151" s="653" t="str">
        <f t="shared" ref="BI151" si="1344">IF(AND($AG$7=" ",OR(AG151&lt;&gt;"",AI151&lt;&gt;"",AJ151&lt;&gt;"")),"×","○")</f>
        <v>○</v>
      </c>
      <c r="BJ151" s="2225" t="e">
        <f t="shared" ref="BJ151" si="1345">SUMPRODUCT(1/COUNTIF(I151:AH151,"宿泊"))</f>
        <v>#DIV/0!</v>
      </c>
      <c r="BK151" s="2226" t="e">
        <f t="shared" ref="BK151" si="1346">SUMPRODUCT(1/COUNTIF(I151:AH151,"日帰り"))</f>
        <v>#DIV/0!</v>
      </c>
      <c r="BL151" s="1381">
        <f t="shared" ref="BL151" si="1347">COUNT(BJ151)-COUNT(BK151)</f>
        <v>0</v>
      </c>
      <c r="BM151" s="684"/>
    </row>
    <row r="152" spans="1:65" ht="14.1" customHeight="1" x14ac:dyDescent="0.15">
      <c r="A152" s="652"/>
      <c r="B152" s="2174"/>
      <c r="C152" s="2117"/>
      <c r="D152" s="2007"/>
      <c r="E152" s="2005"/>
      <c r="F152" s="2042"/>
      <c r="G152" s="2119"/>
      <c r="H152" s="2107"/>
      <c r="I152" s="2112"/>
      <c r="J152" s="2113"/>
      <c r="K152" s="2105"/>
      <c r="L152" s="2127"/>
      <c r="M152" s="2112"/>
      <c r="N152" s="2113"/>
      <c r="O152" s="2105"/>
      <c r="P152" s="2105"/>
      <c r="Q152" s="2107"/>
      <c r="R152" s="2112"/>
      <c r="S152" s="2113"/>
      <c r="T152" s="2105"/>
      <c r="U152" s="2105"/>
      <c r="V152" s="2107"/>
      <c r="W152" s="2112"/>
      <c r="X152" s="2113"/>
      <c r="Y152" s="2105"/>
      <c r="Z152" s="2105"/>
      <c r="AA152" s="2107"/>
      <c r="AB152" s="2112"/>
      <c r="AC152" s="2113"/>
      <c r="AD152" s="2105"/>
      <c r="AE152" s="2105"/>
      <c r="AF152" s="2107"/>
      <c r="AG152" s="2112"/>
      <c r="AH152" s="2113"/>
      <c r="AI152" s="2105"/>
      <c r="AJ152" s="2105"/>
      <c r="AK152" s="2011"/>
      <c r="AL152" s="2012"/>
      <c r="AM152" s="2012"/>
      <c r="AN152" s="2013"/>
      <c r="AO152" s="2011"/>
      <c r="AP152" s="2012"/>
      <c r="AQ152" s="2012"/>
      <c r="AR152" s="2013"/>
      <c r="AS152" s="651"/>
      <c r="AT152" s="652"/>
      <c r="AU152" s="1983"/>
      <c r="AV152" s="1983"/>
      <c r="AW152" s="1983"/>
      <c r="AX152" s="1983"/>
      <c r="AY152" s="1983"/>
      <c r="AZ152" s="1983"/>
      <c r="BA152" s="1983"/>
      <c r="BB152" s="654"/>
      <c r="BC152" s="654"/>
      <c r="BD152" s="652"/>
      <c r="BE152" s="652"/>
      <c r="BF152" s="652"/>
      <c r="BG152" s="652"/>
      <c r="BH152" s="652"/>
      <c r="BI152" s="652"/>
      <c r="BJ152" s="2225"/>
      <c r="BK152" s="2226"/>
      <c r="BL152" s="1381"/>
      <c r="BM152" s="684"/>
    </row>
    <row r="153" spans="1:65" ht="14.1" customHeight="1" x14ac:dyDescent="0.15">
      <c r="A153" s="652" t="str">
        <f t="shared" ref="A153" si="1348">IF(AND(D153="",D155&lt;&gt;""),"×","○")</f>
        <v>○</v>
      </c>
      <c r="B153" s="2174" t="str">
        <f t="shared" ref="B153" si="1349">IF(AND(AT153="○",BB153="○",BC153="○",A153="○"),"○","×")</f>
        <v>○</v>
      </c>
      <c r="C153" s="2116">
        <v>70</v>
      </c>
      <c r="D153" s="2006"/>
      <c r="E153" s="2004"/>
      <c r="F153" s="2041"/>
      <c r="G153" s="2118"/>
      <c r="H153" s="2106"/>
      <c r="I153" s="2141"/>
      <c r="J153" s="2142"/>
      <c r="K153" s="2104"/>
      <c r="L153" s="2140"/>
      <c r="M153" s="2110"/>
      <c r="N153" s="2111"/>
      <c r="O153" s="2104"/>
      <c r="P153" s="2104"/>
      <c r="Q153" s="2106"/>
      <c r="R153" s="2110"/>
      <c r="S153" s="2111"/>
      <c r="T153" s="2104"/>
      <c r="U153" s="2104"/>
      <c r="V153" s="2106"/>
      <c r="W153" s="2110"/>
      <c r="X153" s="2111"/>
      <c r="Y153" s="2104"/>
      <c r="Z153" s="2104"/>
      <c r="AA153" s="2106"/>
      <c r="AB153" s="2110"/>
      <c r="AC153" s="2111"/>
      <c r="AD153" s="2104"/>
      <c r="AE153" s="2104"/>
      <c r="AF153" s="2106"/>
      <c r="AG153" s="2110"/>
      <c r="AH153" s="2111"/>
      <c r="AI153" s="2104"/>
      <c r="AJ153" s="2104"/>
      <c r="AK153" s="2038"/>
      <c r="AL153" s="2039"/>
      <c r="AM153" s="2039"/>
      <c r="AN153" s="2040"/>
      <c r="AO153" s="2008"/>
      <c r="AP153" s="2009"/>
      <c r="AQ153" s="2009"/>
      <c r="AR153" s="2010"/>
      <c r="AS153" s="651"/>
      <c r="AT153" s="652" t="str">
        <f t="shared" ref="AT153" si="1350">IF(OR(AND(D153&lt;&gt;"",OR(AND(E153&lt;&gt;"",F153&lt;&gt;"",OR(G153&lt;&gt;"",H153&lt;&gt;"")),AND(E153="",F153="バス・カメラマン等"))),AND(D153="",E153="",F153="",OR(G153="",H153=""))),"○","×")</f>
        <v>○</v>
      </c>
      <c r="AU153" s="1983" t="str">
        <f t="shared" ref="AU153" si="1351">IF(AND(E153&lt;&gt;"",E153&lt;=2),"2歳児以下","")</f>
        <v/>
      </c>
      <c r="AV153" s="1983" t="str">
        <f t="shared" ref="AV153" si="1352">IF(OR(AND(3&lt;=E153,E153&lt;=6),COUNTIF(E153, "幼*"),COUNTIF(E153, "年少"),COUNTIF(E153, "年中"),COUNTIF(E153, "年長")),"3歳-学齢前","")</f>
        <v/>
      </c>
      <c r="AW153" s="1983" t="str">
        <f t="shared" ref="AW153" si="1353">IF(OR(AND(6&lt;=E153,E153&lt;=12),COUNTIF(E153, "小*")),"小学生","")</f>
        <v/>
      </c>
      <c r="AX153" s="1983" t="str">
        <f t="shared" ref="AX153" si="1354">IF(OR(AND(12&lt;=E153,E153&lt;=15),COUNTIF(E153, "中*")),"中学生","")</f>
        <v/>
      </c>
      <c r="AY153" s="1983" t="str">
        <f t="shared" ref="AY153" si="1355">IF(OR(AND(15&lt;=E153,E153&lt;=18),COUNTIF(E153, "高*")),"高校生(～18歳)","")</f>
        <v/>
      </c>
      <c r="AZ153" s="1983" t="str">
        <f t="shared" ref="AZ153" si="1356">IF(OR(19&lt;=E153,COUNTIF(E153, "大*"),COUNTIF(E153, "*院*"),COUNTIF(E153, "*専*")),"一般(19歳～)","")</f>
        <v/>
      </c>
      <c r="BA153" s="1983" t="s">
        <v>475</v>
      </c>
      <c r="BB153" s="652" t="str">
        <f t="shared" ref="BB153" si="1357">IF(OR(AND(D153="",I153="",M153="",R153="",W153="",AB153="",AG153=""),AND(D153&lt;&gt;"",OR(I153&lt;&gt;"",M153&lt;&gt;"",R153&lt;&gt;"",W153&lt;&gt;"",AB153&lt;&gt;"",AG153&lt;&gt;""))),"○","×")</f>
        <v>○</v>
      </c>
      <c r="BC153" s="652" t="str">
        <f t="shared" ref="BC153" si="1358">IF(AND(BD153="○",BE153="○",BF153="○",BG153="○",BH153="○",BI153="○"),"○","×")</f>
        <v>○</v>
      </c>
      <c r="BD153" s="653" t="str">
        <f t="shared" ref="BD153" si="1359">IF(AND($I$7=" ",OR(I153&lt;&gt;"",K153&lt;&gt;"",L153&lt;&gt;"")),"×","○")</f>
        <v>○</v>
      </c>
      <c r="BE153" s="653" t="str">
        <f t="shared" ref="BE153" si="1360">IF(AND($M$7=" ",OR(M153&lt;&gt;"",O153&lt;&gt;"",P153&lt;&gt;"",Q153&lt;&gt;"")),"×","○")</f>
        <v>○</v>
      </c>
      <c r="BF153" s="653" t="str">
        <f t="shared" ref="BF153" si="1361">IF(AND($R$7=" ",OR(R153&lt;&gt;"",T153&lt;&gt;"",U153&lt;&gt;"",V153&lt;&gt;"")),"×","○")</f>
        <v>○</v>
      </c>
      <c r="BG153" s="653" t="str">
        <f t="shared" ref="BG153" si="1362">IF(AND($W$7=" ",OR(W153&lt;&gt;"",Y153&lt;&gt;"",Z153&lt;&gt;"",AA153&lt;&gt;"")),"×","○")</f>
        <v>○</v>
      </c>
      <c r="BH153" s="653" t="str">
        <f t="shared" ref="BH153" si="1363">IF(AND($AB$7=" ",OR(AB153&lt;&gt;"",AD153&lt;&gt;"",AE153&lt;&gt;"",AF153&lt;&gt;"")),"×","○")</f>
        <v>○</v>
      </c>
      <c r="BI153" s="653" t="str">
        <f t="shared" ref="BI153" si="1364">IF(AND($AG$7=" ",OR(AG153&lt;&gt;"",AI153&lt;&gt;"",AJ153&lt;&gt;"")),"×","○")</f>
        <v>○</v>
      </c>
      <c r="BJ153" s="2225" t="e">
        <f t="shared" ref="BJ153" si="1365">SUMPRODUCT(1/COUNTIF(I153:AH153,"宿泊"))</f>
        <v>#DIV/0!</v>
      </c>
      <c r="BK153" s="2226" t="e">
        <f t="shared" ref="BK153" si="1366">SUMPRODUCT(1/COUNTIF(I153:AH153,"日帰り"))</f>
        <v>#DIV/0!</v>
      </c>
      <c r="BL153" s="1381">
        <f t="shared" ref="BL153" si="1367">COUNT(BJ153)-COUNT(BK153)</f>
        <v>0</v>
      </c>
      <c r="BM153" s="684"/>
    </row>
    <row r="154" spans="1:65" ht="14.1" customHeight="1" x14ac:dyDescent="0.15">
      <c r="A154" s="652"/>
      <c r="B154" s="2174"/>
      <c r="C154" s="2117"/>
      <c r="D154" s="2007"/>
      <c r="E154" s="2005"/>
      <c r="F154" s="2042"/>
      <c r="G154" s="2119"/>
      <c r="H154" s="2107"/>
      <c r="I154" s="2112"/>
      <c r="J154" s="2113"/>
      <c r="K154" s="2105"/>
      <c r="L154" s="2127"/>
      <c r="M154" s="2112"/>
      <c r="N154" s="2113"/>
      <c r="O154" s="2105"/>
      <c r="P154" s="2105"/>
      <c r="Q154" s="2107"/>
      <c r="R154" s="2112"/>
      <c r="S154" s="2113"/>
      <c r="T154" s="2105"/>
      <c r="U154" s="2105"/>
      <c r="V154" s="2107"/>
      <c r="W154" s="2112"/>
      <c r="X154" s="2113"/>
      <c r="Y154" s="2105"/>
      <c r="Z154" s="2105"/>
      <c r="AA154" s="2107"/>
      <c r="AB154" s="2112"/>
      <c r="AC154" s="2113"/>
      <c r="AD154" s="2105"/>
      <c r="AE154" s="2105"/>
      <c r="AF154" s="2107"/>
      <c r="AG154" s="2112"/>
      <c r="AH154" s="2113"/>
      <c r="AI154" s="2105"/>
      <c r="AJ154" s="2105"/>
      <c r="AK154" s="2011"/>
      <c r="AL154" s="2012"/>
      <c r="AM154" s="2012"/>
      <c r="AN154" s="2013"/>
      <c r="AO154" s="2011"/>
      <c r="AP154" s="2012"/>
      <c r="AQ154" s="2012"/>
      <c r="AR154" s="2013"/>
      <c r="AS154" s="651"/>
      <c r="AT154" s="652"/>
      <c r="AU154" s="1983"/>
      <c r="AV154" s="1983"/>
      <c r="AW154" s="1983"/>
      <c r="AX154" s="1983"/>
      <c r="AY154" s="1983"/>
      <c r="AZ154" s="1983"/>
      <c r="BA154" s="1983"/>
      <c r="BB154" s="654"/>
      <c r="BC154" s="654"/>
      <c r="BD154" s="652"/>
      <c r="BE154" s="652"/>
      <c r="BF154" s="652"/>
      <c r="BG154" s="652"/>
      <c r="BH154" s="652"/>
      <c r="BI154" s="652"/>
      <c r="BJ154" s="2225"/>
      <c r="BK154" s="2226"/>
      <c r="BL154" s="1381"/>
      <c r="BM154" s="684"/>
    </row>
    <row r="155" spans="1:65" ht="14.1" customHeight="1" x14ac:dyDescent="0.15">
      <c r="A155" s="652" t="str">
        <f t="shared" ref="A155" si="1368">IF(AND(D155="",D157&lt;&gt;""),"×","○")</f>
        <v>○</v>
      </c>
      <c r="B155" s="2174" t="str">
        <f t="shared" ref="B155" si="1369">IF(AND(AT155="○",BB155="○",BC155="○",A155="○"),"○","×")</f>
        <v>○</v>
      </c>
      <c r="C155" s="2116">
        <v>71</v>
      </c>
      <c r="D155" s="2006"/>
      <c r="E155" s="2004"/>
      <c r="F155" s="2041"/>
      <c r="G155" s="2118"/>
      <c r="H155" s="2106"/>
      <c r="I155" s="2141"/>
      <c r="J155" s="2142"/>
      <c r="K155" s="2104"/>
      <c r="L155" s="2140"/>
      <c r="M155" s="2110"/>
      <c r="N155" s="2111"/>
      <c r="O155" s="2104"/>
      <c r="P155" s="2104"/>
      <c r="Q155" s="2106"/>
      <c r="R155" s="2110"/>
      <c r="S155" s="2111"/>
      <c r="T155" s="2104"/>
      <c r="U155" s="2104"/>
      <c r="V155" s="2106"/>
      <c r="W155" s="2110"/>
      <c r="X155" s="2111"/>
      <c r="Y155" s="2104"/>
      <c r="Z155" s="2104"/>
      <c r="AA155" s="2106"/>
      <c r="AB155" s="2110"/>
      <c r="AC155" s="2111"/>
      <c r="AD155" s="2104"/>
      <c r="AE155" s="2104"/>
      <c r="AF155" s="2106"/>
      <c r="AG155" s="2110"/>
      <c r="AH155" s="2111"/>
      <c r="AI155" s="2104"/>
      <c r="AJ155" s="2104"/>
      <c r="AK155" s="2038"/>
      <c r="AL155" s="2039"/>
      <c r="AM155" s="2039"/>
      <c r="AN155" s="2040"/>
      <c r="AO155" s="2008"/>
      <c r="AP155" s="2009"/>
      <c r="AQ155" s="2009"/>
      <c r="AR155" s="2010"/>
      <c r="AS155" s="651"/>
      <c r="AT155" s="652" t="str">
        <f t="shared" ref="AT155" si="1370">IF(OR(AND(D155&lt;&gt;"",OR(AND(E155&lt;&gt;"",F155&lt;&gt;"",OR(G155&lt;&gt;"",H155&lt;&gt;"")),AND(E155="",F155="バス・カメラマン等"))),AND(D155="",E155="",F155="",OR(G155="",H155=""))),"○","×")</f>
        <v>○</v>
      </c>
      <c r="AU155" s="1983" t="str">
        <f t="shared" ref="AU155" si="1371">IF(AND(E155&lt;&gt;"",E155&lt;=2),"2歳児以下","")</f>
        <v/>
      </c>
      <c r="AV155" s="1983" t="str">
        <f t="shared" ref="AV155" si="1372">IF(OR(AND(3&lt;=E155,E155&lt;=6),COUNTIF(E155, "幼*"),COUNTIF(E155, "年少"),COUNTIF(E155, "年中"),COUNTIF(E155, "年長")),"3歳-学齢前","")</f>
        <v/>
      </c>
      <c r="AW155" s="1983" t="str">
        <f t="shared" ref="AW155" si="1373">IF(OR(AND(6&lt;=E155,E155&lt;=12),COUNTIF(E155, "小*")),"小学生","")</f>
        <v/>
      </c>
      <c r="AX155" s="1983" t="str">
        <f t="shared" ref="AX155" si="1374">IF(OR(AND(12&lt;=E155,E155&lt;=15),COUNTIF(E155, "中*")),"中学生","")</f>
        <v/>
      </c>
      <c r="AY155" s="1983" t="str">
        <f t="shared" ref="AY155" si="1375">IF(OR(AND(15&lt;=E155,E155&lt;=18),COUNTIF(E155, "高*")),"高校生(～18歳)","")</f>
        <v/>
      </c>
      <c r="AZ155" s="1983" t="str">
        <f t="shared" ref="AZ155" si="1376">IF(OR(19&lt;=E155,COUNTIF(E155, "大*"),COUNTIF(E155, "*院*"),COUNTIF(E155, "*専*")),"一般(19歳～)","")</f>
        <v/>
      </c>
      <c r="BA155" s="1983" t="s">
        <v>475</v>
      </c>
      <c r="BB155" s="652" t="str">
        <f t="shared" ref="BB155" si="1377">IF(OR(AND(D155="",I155="",M155="",R155="",W155="",AB155="",AG155=""),AND(D155&lt;&gt;"",OR(I155&lt;&gt;"",M155&lt;&gt;"",R155&lt;&gt;"",W155&lt;&gt;"",AB155&lt;&gt;"",AG155&lt;&gt;""))),"○","×")</f>
        <v>○</v>
      </c>
      <c r="BC155" s="652" t="str">
        <f t="shared" ref="BC155" si="1378">IF(AND(BD155="○",BE155="○",BF155="○",BG155="○",BH155="○",BI155="○"),"○","×")</f>
        <v>○</v>
      </c>
      <c r="BD155" s="653" t="str">
        <f t="shared" ref="BD155" si="1379">IF(AND($I$7=" ",OR(I155&lt;&gt;"",K155&lt;&gt;"",L155&lt;&gt;"")),"×","○")</f>
        <v>○</v>
      </c>
      <c r="BE155" s="653" t="str">
        <f t="shared" ref="BE155" si="1380">IF(AND($M$7=" ",OR(M155&lt;&gt;"",O155&lt;&gt;"",P155&lt;&gt;"",Q155&lt;&gt;"")),"×","○")</f>
        <v>○</v>
      </c>
      <c r="BF155" s="653" t="str">
        <f t="shared" ref="BF155" si="1381">IF(AND($R$7=" ",OR(R155&lt;&gt;"",T155&lt;&gt;"",U155&lt;&gt;"",V155&lt;&gt;"")),"×","○")</f>
        <v>○</v>
      </c>
      <c r="BG155" s="653" t="str">
        <f t="shared" ref="BG155" si="1382">IF(AND($W$7=" ",OR(W155&lt;&gt;"",Y155&lt;&gt;"",Z155&lt;&gt;"",AA155&lt;&gt;"")),"×","○")</f>
        <v>○</v>
      </c>
      <c r="BH155" s="653" t="str">
        <f t="shared" ref="BH155" si="1383">IF(AND($AB$7=" ",OR(AB155&lt;&gt;"",AD155&lt;&gt;"",AE155&lt;&gt;"",AF155&lt;&gt;"")),"×","○")</f>
        <v>○</v>
      </c>
      <c r="BI155" s="653" t="str">
        <f t="shared" ref="BI155" si="1384">IF(AND($AG$7=" ",OR(AG155&lt;&gt;"",AI155&lt;&gt;"",AJ155&lt;&gt;"")),"×","○")</f>
        <v>○</v>
      </c>
      <c r="BJ155" s="2225" t="e">
        <f t="shared" ref="BJ155" si="1385">SUMPRODUCT(1/COUNTIF(I155:AH155,"宿泊"))</f>
        <v>#DIV/0!</v>
      </c>
      <c r="BK155" s="2226" t="e">
        <f t="shared" ref="BK155" si="1386">SUMPRODUCT(1/COUNTIF(I155:AH155,"日帰り"))</f>
        <v>#DIV/0!</v>
      </c>
      <c r="BL155" s="1381">
        <f t="shared" ref="BL155" si="1387">COUNT(BJ155)-COUNT(BK155)</f>
        <v>0</v>
      </c>
      <c r="BM155" s="684"/>
    </row>
    <row r="156" spans="1:65" ht="14.1" customHeight="1" x14ac:dyDescent="0.15">
      <c r="A156" s="652"/>
      <c r="B156" s="2174"/>
      <c r="C156" s="2117"/>
      <c r="D156" s="2007"/>
      <c r="E156" s="2005"/>
      <c r="F156" s="2042"/>
      <c r="G156" s="2119"/>
      <c r="H156" s="2107"/>
      <c r="I156" s="2112"/>
      <c r="J156" s="2113"/>
      <c r="K156" s="2105"/>
      <c r="L156" s="2127"/>
      <c r="M156" s="2112"/>
      <c r="N156" s="2113"/>
      <c r="O156" s="2105"/>
      <c r="P156" s="2105"/>
      <c r="Q156" s="2107"/>
      <c r="R156" s="2112"/>
      <c r="S156" s="2113"/>
      <c r="T156" s="2105"/>
      <c r="U156" s="2105"/>
      <c r="V156" s="2107"/>
      <c r="W156" s="2112"/>
      <c r="X156" s="2113"/>
      <c r="Y156" s="2105"/>
      <c r="Z156" s="2105"/>
      <c r="AA156" s="2107"/>
      <c r="AB156" s="2112"/>
      <c r="AC156" s="2113"/>
      <c r="AD156" s="2105"/>
      <c r="AE156" s="2105"/>
      <c r="AF156" s="2107"/>
      <c r="AG156" s="2112"/>
      <c r="AH156" s="2113"/>
      <c r="AI156" s="2105"/>
      <c r="AJ156" s="2105"/>
      <c r="AK156" s="2011"/>
      <c r="AL156" s="2012"/>
      <c r="AM156" s="2012"/>
      <c r="AN156" s="2013"/>
      <c r="AO156" s="2011"/>
      <c r="AP156" s="2012"/>
      <c r="AQ156" s="2012"/>
      <c r="AR156" s="2013"/>
      <c r="AS156" s="651"/>
      <c r="AT156" s="652"/>
      <c r="AU156" s="1983"/>
      <c r="AV156" s="1983"/>
      <c r="AW156" s="1983"/>
      <c r="AX156" s="1983"/>
      <c r="AY156" s="1983"/>
      <c r="AZ156" s="1983"/>
      <c r="BA156" s="1983"/>
      <c r="BB156" s="654"/>
      <c r="BC156" s="654"/>
      <c r="BD156" s="652"/>
      <c r="BE156" s="652"/>
      <c r="BF156" s="652"/>
      <c r="BG156" s="652"/>
      <c r="BH156" s="652"/>
      <c r="BI156" s="652"/>
      <c r="BJ156" s="2225"/>
      <c r="BK156" s="2226"/>
      <c r="BL156" s="1381"/>
      <c r="BM156" s="684"/>
    </row>
    <row r="157" spans="1:65" ht="14.1" customHeight="1" x14ac:dyDescent="0.15">
      <c r="A157" s="652" t="str">
        <f t="shared" ref="A157" si="1388">IF(AND(D157="",D159&lt;&gt;""),"×","○")</f>
        <v>○</v>
      </c>
      <c r="B157" s="2174" t="str">
        <f t="shared" ref="B157" si="1389">IF(AND(AT157="○",BB157="○",BC157="○",A157="○"),"○","×")</f>
        <v>○</v>
      </c>
      <c r="C157" s="2116">
        <v>72</v>
      </c>
      <c r="D157" s="2006"/>
      <c r="E157" s="2004"/>
      <c r="F157" s="2041"/>
      <c r="G157" s="2118"/>
      <c r="H157" s="2106"/>
      <c r="I157" s="2141"/>
      <c r="J157" s="2142"/>
      <c r="K157" s="2104"/>
      <c r="L157" s="2140"/>
      <c r="M157" s="2110"/>
      <c r="N157" s="2111"/>
      <c r="O157" s="2104"/>
      <c r="P157" s="2104"/>
      <c r="Q157" s="2106"/>
      <c r="R157" s="2110"/>
      <c r="S157" s="2111"/>
      <c r="T157" s="2104"/>
      <c r="U157" s="2104"/>
      <c r="V157" s="2106"/>
      <c r="W157" s="2110"/>
      <c r="X157" s="2111"/>
      <c r="Y157" s="2104"/>
      <c r="Z157" s="2104"/>
      <c r="AA157" s="2106"/>
      <c r="AB157" s="2110"/>
      <c r="AC157" s="2111"/>
      <c r="AD157" s="2104"/>
      <c r="AE157" s="2104"/>
      <c r="AF157" s="2106"/>
      <c r="AG157" s="2110"/>
      <c r="AH157" s="2111"/>
      <c r="AI157" s="2104"/>
      <c r="AJ157" s="2104"/>
      <c r="AK157" s="2038"/>
      <c r="AL157" s="2039"/>
      <c r="AM157" s="2039"/>
      <c r="AN157" s="2040"/>
      <c r="AO157" s="2008"/>
      <c r="AP157" s="2009"/>
      <c r="AQ157" s="2009"/>
      <c r="AR157" s="2010"/>
      <c r="AS157" s="651"/>
      <c r="AT157" s="652" t="str">
        <f t="shared" ref="AT157" si="1390">IF(OR(AND(D157&lt;&gt;"",OR(AND(E157&lt;&gt;"",F157&lt;&gt;"",OR(G157&lt;&gt;"",H157&lt;&gt;"")),AND(E157="",F157="バス・カメラマン等"))),AND(D157="",E157="",F157="",OR(G157="",H157=""))),"○","×")</f>
        <v>○</v>
      </c>
      <c r="AU157" s="1983" t="str">
        <f t="shared" ref="AU157" si="1391">IF(AND(E157&lt;&gt;"",E157&lt;=2),"2歳児以下","")</f>
        <v/>
      </c>
      <c r="AV157" s="1983" t="str">
        <f t="shared" ref="AV157" si="1392">IF(OR(AND(3&lt;=E157,E157&lt;=6),COUNTIF(E157, "幼*"),COUNTIF(E157, "年少"),COUNTIF(E157, "年中"),COUNTIF(E157, "年長")),"3歳-学齢前","")</f>
        <v/>
      </c>
      <c r="AW157" s="1983" t="str">
        <f t="shared" ref="AW157" si="1393">IF(OR(AND(6&lt;=E157,E157&lt;=12),COUNTIF(E157, "小*")),"小学生","")</f>
        <v/>
      </c>
      <c r="AX157" s="1983" t="str">
        <f t="shared" ref="AX157" si="1394">IF(OR(AND(12&lt;=E157,E157&lt;=15),COUNTIF(E157, "中*")),"中学生","")</f>
        <v/>
      </c>
      <c r="AY157" s="1983" t="str">
        <f t="shared" ref="AY157" si="1395">IF(OR(AND(15&lt;=E157,E157&lt;=18),COUNTIF(E157, "高*")),"高校生(～18歳)","")</f>
        <v/>
      </c>
      <c r="AZ157" s="1983" t="str">
        <f t="shared" ref="AZ157" si="1396">IF(OR(19&lt;=E157,COUNTIF(E157, "大*"),COUNTIF(E157, "*院*"),COUNTIF(E157, "*専*")),"一般(19歳～)","")</f>
        <v/>
      </c>
      <c r="BA157" s="1983" t="s">
        <v>475</v>
      </c>
      <c r="BB157" s="652" t="str">
        <f t="shared" ref="BB157" si="1397">IF(OR(AND(D157="",I157="",M157="",R157="",W157="",AB157="",AG157=""),AND(D157&lt;&gt;"",OR(I157&lt;&gt;"",M157&lt;&gt;"",R157&lt;&gt;"",W157&lt;&gt;"",AB157&lt;&gt;"",AG157&lt;&gt;""))),"○","×")</f>
        <v>○</v>
      </c>
      <c r="BC157" s="652" t="str">
        <f t="shared" ref="BC157" si="1398">IF(AND(BD157="○",BE157="○",BF157="○",BG157="○",BH157="○",BI157="○"),"○","×")</f>
        <v>○</v>
      </c>
      <c r="BD157" s="653" t="str">
        <f t="shared" ref="BD157" si="1399">IF(AND($I$7=" ",OR(I157&lt;&gt;"",K157&lt;&gt;"",L157&lt;&gt;"")),"×","○")</f>
        <v>○</v>
      </c>
      <c r="BE157" s="653" t="str">
        <f t="shared" ref="BE157" si="1400">IF(AND($M$7=" ",OR(M157&lt;&gt;"",O157&lt;&gt;"",P157&lt;&gt;"",Q157&lt;&gt;"")),"×","○")</f>
        <v>○</v>
      </c>
      <c r="BF157" s="653" t="str">
        <f t="shared" ref="BF157" si="1401">IF(AND($R$7=" ",OR(R157&lt;&gt;"",T157&lt;&gt;"",U157&lt;&gt;"",V157&lt;&gt;"")),"×","○")</f>
        <v>○</v>
      </c>
      <c r="BG157" s="653" t="str">
        <f t="shared" ref="BG157" si="1402">IF(AND($W$7=" ",OR(W157&lt;&gt;"",Y157&lt;&gt;"",Z157&lt;&gt;"",AA157&lt;&gt;"")),"×","○")</f>
        <v>○</v>
      </c>
      <c r="BH157" s="653" t="str">
        <f t="shared" ref="BH157" si="1403">IF(AND($AB$7=" ",OR(AB157&lt;&gt;"",AD157&lt;&gt;"",AE157&lt;&gt;"",AF157&lt;&gt;"")),"×","○")</f>
        <v>○</v>
      </c>
      <c r="BI157" s="653" t="str">
        <f t="shared" ref="BI157" si="1404">IF(AND($AG$7=" ",OR(AG157&lt;&gt;"",AI157&lt;&gt;"",AJ157&lt;&gt;"")),"×","○")</f>
        <v>○</v>
      </c>
      <c r="BJ157" s="2225" t="e">
        <f t="shared" ref="BJ157" si="1405">SUMPRODUCT(1/COUNTIF(I157:AH157,"宿泊"))</f>
        <v>#DIV/0!</v>
      </c>
      <c r="BK157" s="2226" t="e">
        <f t="shared" ref="BK157" si="1406">SUMPRODUCT(1/COUNTIF(I157:AH157,"日帰り"))</f>
        <v>#DIV/0!</v>
      </c>
      <c r="BL157" s="1381">
        <f t="shared" ref="BL157" si="1407">COUNT(BJ157)-COUNT(BK157)</f>
        <v>0</v>
      </c>
      <c r="BM157" s="684"/>
    </row>
    <row r="158" spans="1:65" ht="14.1" customHeight="1" x14ac:dyDescent="0.15">
      <c r="A158" s="652"/>
      <c r="B158" s="2174"/>
      <c r="C158" s="2117"/>
      <c r="D158" s="2007"/>
      <c r="E158" s="2005"/>
      <c r="F158" s="2042"/>
      <c r="G158" s="2119"/>
      <c r="H158" s="2107"/>
      <c r="I158" s="2112"/>
      <c r="J158" s="2113"/>
      <c r="K158" s="2105"/>
      <c r="L158" s="2127"/>
      <c r="M158" s="2112"/>
      <c r="N158" s="2113"/>
      <c r="O158" s="2105"/>
      <c r="P158" s="2105"/>
      <c r="Q158" s="2107"/>
      <c r="R158" s="2112"/>
      <c r="S158" s="2113"/>
      <c r="T158" s="2105"/>
      <c r="U158" s="2105"/>
      <c r="V158" s="2107"/>
      <c r="W158" s="2112"/>
      <c r="X158" s="2113"/>
      <c r="Y158" s="2105"/>
      <c r="Z158" s="2105"/>
      <c r="AA158" s="2107"/>
      <c r="AB158" s="2112"/>
      <c r="AC158" s="2113"/>
      <c r="AD158" s="2105"/>
      <c r="AE158" s="2105"/>
      <c r="AF158" s="2107"/>
      <c r="AG158" s="2112"/>
      <c r="AH158" s="2113"/>
      <c r="AI158" s="2105"/>
      <c r="AJ158" s="2105"/>
      <c r="AK158" s="2011"/>
      <c r="AL158" s="2012"/>
      <c r="AM158" s="2012"/>
      <c r="AN158" s="2013"/>
      <c r="AO158" s="2011"/>
      <c r="AP158" s="2012"/>
      <c r="AQ158" s="2012"/>
      <c r="AR158" s="2013"/>
      <c r="AS158" s="651"/>
      <c r="AT158" s="652"/>
      <c r="AU158" s="1983"/>
      <c r="AV158" s="1983"/>
      <c r="AW158" s="1983"/>
      <c r="AX158" s="1983"/>
      <c r="AY158" s="1983"/>
      <c r="AZ158" s="1983"/>
      <c r="BA158" s="1983"/>
      <c r="BB158" s="654"/>
      <c r="BC158" s="654"/>
      <c r="BD158" s="652"/>
      <c r="BE158" s="652"/>
      <c r="BF158" s="652"/>
      <c r="BG158" s="652"/>
      <c r="BH158" s="652"/>
      <c r="BI158" s="652"/>
      <c r="BJ158" s="2225"/>
      <c r="BK158" s="2226"/>
      <c r="BL158" s="1381"/>
      <c r="BM158" s="684"/>
    </row>
    <row r="159" spans="1:65" ht="14.1" customHeight="1" x14ac:dyDescent="0.15">
      <c r="A159" s="652" t="str">
        <f t="shared" ref="A159" si="1408">IF(AND(D159="",D161&lt;&gt;""),"×","○")</f>
        <v>○</v>
      </c>
      <c r="B159" s="2174" t="str">
        <f t="shared" ref="B159" si="1409">IF(AND(AT159="○",BB159="○",BC159="○",A159="○"),"○","×")</f>
        <v>○</v>
      </c>
      <c r="C159" s="2116">
        <v>73</v>
      </c>
      <c r="D159" s="2006"/>
      <c r="E159" s="2004"/>
      <c r="F159" s="2041"/>
      <c r="G159" s="2118"/>
      <c r="H159" s="2106"/>
      <c r="I159" s="2141"/>
      <c r="J159" s="2142"/>
      <c r="K159" s="2104"/>
      <c r="L159" s="2140"/>
      <c r="M159" s="2110"/>
      <c r="N159" s="2111"/>
      <c r="O159" s="2104"/>
      <c r="P159" s="2104"/>
      <c r="Q159" s="2106"/>
      <c r="R159" s="2110"/>
      <c r="S159" s="2111"/>
      <c r="T159" s="2104"/>
      <c r="U159" s="2104"/>
      <c r="V159" s="2106"/>
      <c r="W159" s="2110"/>
      <c r="X159" s="2111"/>
      <c r="Y159" s="2104"/>
      <c r="Z159" s="2104"/>
      <c r="AA159" s="2106"/>
      <c r="AB159" s="2110"/>
      <c r="AC159" s="2111"/>
      <c r="AD159" s="2104"/>
      <c r="AE159" s="2104"/>
      <c r="AF159" s="2106"/>
      <c r="AG159" s="2110"/>
      <c r="AH159" s="2111"/>
      <c r="AI159" s="2104"/>
      <c r="AJ159" s="2104"/>
      <c r="AK159" s="2038"/>
      <c r="AL159" s="2039"/>
      <c r="AM159" s="2039"/>
      <c r="AN159" s="2040"/>
      <c r="AO159" s="2008"/>
      <c r="AP159" s="2009"/>
      <c r="AQ159" s="2009"/>
      <c r="AR159" s="2010"/>
      <c r="AS159" s="651"/>
      <c r="AT159" s="652" t="str">
        <f t="shared" ref="AT159" si="1410">IF(OR(AND(D159&lt;&gt;"",OR(AND(E159&lt;&gt;"",F159&lt;&gt;"",OR(G159&lt;&gt;"",H159&lt;&gt;"")),AND(E159="",F159="バス・カメラマン等"))),AND(D159="",E159="",F159="",OR(G159="",H159=""))),"○","×")</f>
        <v>○</v>
      </c>
      <c r="AU159" s="1983" t="str">
        <f t="shared" ref="AU159" si="1411">IF(AND(E159&lt;&gt;"",E159&lt;=2),"2歳児以下","")</f>
        <v/>
      </c>
      <c r="AV159" s="1983" t="str">
        <f t="shared" ref="AV159" si="1412">IF(OR(AND(3&lt;=E159,E159&lt;=6),COUNTIF(E159, "幼*"),COUNTIF(E159, "年少"),COUNTIF(E159, "年中"),COUNTIF(E159, "年長")),"3歳-学齢前","")</f>
        <v/>
      </c>
      <c r="AW159" s="1983" t="str">
        <f t="shared" ref="AW159" si="1413">IF(OR(AND(6&lt;=E159,E159&lt;=12),COUNTIF(E159, "小*")),"小学生","")</f>
        <v/>
      </c>
      <c r="AX159" s="1983" t="str">
        <f t="shared" ref="AX159" si="1414">IF(OR(AND(12&lt;=E159,E159&lt;=15),COUNTIF(E159, "中*")),"中学生","")</f>
        <v/>
      </c>
      <c r="AY159" s="1983" t="str">
        <f t="shared" ref="AY159" si="1415">IF(OR(AND(15&lt;=E159,E159&lt;=18),COUNTIF(E159, "高*")),"高校生(～18歳)","")</f>
        <v/>
      </c>
      <c r="AZ159" s="1983" t="str">
        <f t="shared" ref="AZ159" si="1416">IF(OR(19&lt;=E159,COUNTIF(E159, "大*"),COUNTIF(E159, "*院*"),COUNTIF(E159, "*専*")),"一般(19歳～)","")</f>
        <v/>
      </c>
      <c r="BA159" s="1983" t="s">
        <v>475</v>
      </c>
      <c r="BB159" s="652" t="str">
        <f t="shared" ref="BB159" si="1417">IF(OR(AND(D159="",I159="",M159="",R159="",W159="",AB159="",AG159=""),AND(D159&lt;&gt;"",OR(I159&lt;&gt;"",M159&lt;&gt;"",R159&lt;&gt;"",W159&lt;&gt;"",AB159&lt;&gt;"",AG159&lt;&gt;""))),"○","×")</f>
        <v>○</v>
      </c>
      <c r="BC159" s="652" t="str">
        <f t="shared" ref="BC159" si="1418">IF(AND(BD159="○",BE159="○",BF159="○",BG159="○",BH159="○",BI159="○"),"○","×")</f>
        <v>○</v>
      </c>
      <c r="BD159" s="653" t="str">
        <f t="shared" ref="BD159" si="1419">IF(AND($I$7=" ",OR(I159&lt;&gt;"",K159&lt;&gt;"",L159&lt;&gt;"")),"×","○")</f>
        <v>○</v>
      </c>
      <c r="BE159" s="653" t="str">
        <f t="shared" ref="BE159" si="1420">IF(AND($M$7=" ",OR(M159&lt;&gt;"",O159&lt;&gt;"",P159&lt;&gt;"",Q159&lt;&gt;"")),"×","○")</f>
        <v>○</v>
      </c>
      <c r="BF159" s="653" t="str">
        <f t="shared" ref="BF159" si="1421">IF(AND($R$7=" ",OR(R159&lt;&gt;"",T159&lt;&gt;"",U159&lt;&gt;"",V159&lt;&gt;"")),"×","○")</f>
        <v>○</v>
      </c>
      <c r="BG159" s="653" t="str">
        <f t="shared" ref="BG159" si="1422">IF(AND($W$7=" ",OR(W159&lt;&gt;"",Y159&lt;&gt;"",Z159&lt;&gt;"",AA159&lt;&gt;"")),"×","○")</f>
        <v>○</v>
      </c>
      <c r="BH159" s="653" t="str">
        <f t="shared" ref="BH159" si="1423">IF(AND($AB$7=" ",OR(AB159&lt;&gt;"",AD159&lt;&gt;"",AE159&lt;&gt;"",AF159&lt;&gt;"")),"×","○")</f>
        <v>○</v>
      </c>
      <c r="BI159" s="653" t="str">
        <f t="shared" ref="BI159" si="1424">IF(AND($AG$7=" ",OR(AG159&lt;&gt;"",AI159&lt;&gt;"",AJ159&lt;&gt;"")),"×","○")</f>
        <v>○</v>
      </c>
      <c r="BJ159" s="2225" t="e">
        <f t="shared" ref="BJ159" si="1425">SUMPRODUCT(1/COUNTIF(I159:AH159,"宿泊"))</f>
        <v>#DIV/0!</v>
      </c>
      <c r="BK159" s="2226" t="e">
        <f t="shared" ref="BK159" si="1426">SUMPRODUCT(1/COUNTIF(I159:AH159,"日帰り"))</f>
        <v>#DIV/0!</v>
      </c>
      <c r="BL159" s="1381">
        <f t="shared" ref="BL159" si="1427">COUNT(BJ159)-COUNT(BK159)</f>
        <v>0</v>
      </c>
      <c r="BM159" s="684"/>
    </row>
    <row r="160" spans="1:65" ht="14.1" customHeight="1" x14ac:dyDescent="0.15">
      <c r="A160" s="652"/>
      <c r="B160" s="2174"/>
      <c r="C160" s="2117"/>
      <c r="D160" s="2007"/>
      <c r="E160" s="2005"/>
      <c r="F160" s="2042"/>
      <c r="G160" s="2119"/>
      <c r="H160" s="2107"/>
      <c r="I160" s="2112"/>
      <c r="J160" s="2113"/>
      <c r="K160" s="2105"/>
      <c r="L160" s="2127"/>
      <c r="M160" s="2112"/>
      <c r="N160" s="2113"/>
      <c r="O160" s="2105"/>
      <c r="P160" s="2105"/>
      <c r="Q160" s="2107"/>
      <c r="R160" s="2112"/>
      <c r="S160" s="2113"/>
      <c r="T160" s="2105"/>
      <c r="U160" s="2105"/>
      <c r="V160" s="2107"/>
      <c r="W160" s="2112"/>
      <c r="X160" s="2113"/>
      <c r="Y160" s="2105"/>
      <c r="Z160" s="2105"/>
      <c r="AA160" s="2107"/>
      <c r="AB160" s="2112"/>
      <c r="AC160" s="2113"/>
      <c r="AD160" s="2105"/>
      <c r="AE160" s="2105"/>
      <c r="AF160" s="2107"/>
      <c r="AG160" s="2112"/>
      <c r="AH160" s="2113"/>
      <c r="AI160" s="2105"/>
      <c r="AJ160" s="2105"/>
      <c r="AK160" s="2011"/>
      <c r="AL160" s="2012"/>
      <c r="AM160" s="2012"/>
      <c r="AN160" s="2013"/>
      <c r="AO160" s="2011"/>
      <c r="AP160" s="2012"/>
      <c r="AQ160" s="2012"/>
      <c r="AR160" s="2013"/>
      <c r="AS160" s="651"/>
      <c r="AT160" s="652"/>
      <c r="AU160" s="1983"/>
      <c r="AV160" s="1983"/>
      <c r="AW160" s="1983"/>
      <c r="AX160" s="1983"/>
      <c r="AY160" s="1983"/>
      <c r="AZ160" s="1983"/>
      <c r="BA160" s="1983"/>
      <c r="BB160" s="654"/>
      <c r="BC160" s="654"/>
      <c r="BD160" s="652"/>
      <c r="BE160" s="652"/>
      <c r="BF160" s="652"/>
      <c r="BG160" s="652"/>
      <c r="BH160" s="652"/>
      <c r="BI160" s="652"/>
      <c r="BJ160" s="2225"/>
      <c r="BK160" s="2226"/>
      <c r="BL160" s="1381"/>
      <c r="BM160" s="684"/>
    </row>
    <row r="161" spans="1:65" ht="14.1" customHeight="1" x14ac:dyDescent="0.15">
      <c r="A161" s="652" t="str">
        <f t="shared" ref="A161" si="1428">IF(AND(D161="",D163&lt;&gt;""),"×","○")</f>
        <v>○</v>
      </c>
      <c r="B161" s="2174" t="str">
        <f t="shared" ref="B161" si="1429">IF(AND(AT161="○",BB161="○",BC161="○",A161="○"),"○","×")</f>
        <v>○</v>
      </c>
      <c r="C161" s="2120">
        <v>74</v>
      </c>
      <c r="D161" s="2006"/>
      <c r="E161" s="2004"/>
      <c r="F161" s="2041"/>
      <c r="G161" s="2118"/>
      <c r="H161" s="2106"/>
      <c r="I161" s="2141"/>
      <c r="J161" s="2142"/>
      <c r="K161" s="2104"/>
      <c r="L161" s="2140"/>
      <c r="M161" s="2110"/>
      <c r="N161" s="2111"/>
      <c r="O161" s="2104"/>
      <c r="P161" s="2104"/>
      <c r="Q161" s="2106"/>
      <c r="R161" s="2110"/>
      <c r="S161" s="2111"/>
      <c r="T161" s="2104"/>
      <c r="U161" s="2104"/>
      <c r="V161" s="2106"/>
      <c r="W161" s="2110"/>
      <c r="X161" s="2111"/>
      <c r="Y161" s="2104"/>
      <c r="Z161" s="2104"/>
      <c r="AA161" s="2106"/>
      <c r="AB161" s="2110"/>
      <c r="AC161" s="2111"/>
      <c r="AD161" s="2104"/>
      <c r="AE161" s="2104"/>
      <c r="AF161" s="2106"/>
      <c r="AG161" s="2110"/>
      <c r="AH161" s="2111"/>
      <c r="AI161" s="2104"/>
      <c r="AJ161" s="2104"/>
      <c r="AK161" s="2038"/>
      <c r="AL161" s="2039"/>
      <c r="AM161" s="2039"/>
      <c r="AN161" s="2040"/>
      <c r="AO161" s="2008"/>
      <c r="AP161" s="2009"/>
      <c r="AQ161" s="2009"/>
      <c r="AR161" s="2010"/>
      <c r="AS161" s="651"/>
      <c r="AT161" s="652" t="str">
        <f t="shared" ref="AT161" si="1430">IF(OR(AND(D161&lt;&gt;"",OR(AND(E161&lt;&gt;"",F161&lt;&gt;"",OR(G161&lt;&gt;"",H161&lt;&gt;"")),AND(E161="",F161="バス・カメラマン等"))),AND(D161="",E161="",F161="",OR(G161="",H161=""))),"○","×")</f>
        <v>○</v>
      </c>
      <c r="AU161" s="1983" t="str">
        <f t="shared" ref="AU161" si="1431">IF(AND(E161&lt;&gt;"",E161&lt;=2),"2歳児以下","")</f>
        <v/>
      </c>
      <c r="AV161" s="1983" t="str">
        <f t="shared" ref="AV161" si="1432">IF(OR(AND(3&lt;=E161,E161&lt;=6),COUNTIF(E161, "幼*"),COUNTIF(E161, "年少"),COUNTIF(E161, "年中"),COUNTIF(E161, "年長")),"3歳-学齢前","")</f>
        <v/>
      </c>
      <c r="AW161" s="1983" t="str">
        <f t="shared" ref="AW161" si="1433">IF(OR(AND(6&lt;=E161,E161&lt;=12),COUNTIF(E161, "小*")),"小学生","")</f>
        <v/>
      </c>
      <c r="AX161" s="1983" t="str">
        <f t="shared" ref="AX161" si="1434">IF(OR(AND(12&lt;=E161,E161&lt;=15),COUNTIF(E161, "中*")),"中学生","")</f>
        <v/>
      </c>
      <c r="AY161" s="1983" t="str">
        <f t="shared" ref="AY161" si="1435">IF(OR(AND(15&lt;=E161,E161&lt;=18),COUNTIF(E161, "高*")),"高校生(～18歳)","")</f>
        <v/>
      </c>
      <c r="AZ161" s="1983" t="str">
        <f t="shared" ref="AZ161" si="1436">IF(OR(19&lt;=E161,COUNTIF(E161, "大*"),COUNTIF(E161, "*院*"),COUNTIF(E161, "*専*")),"一般(19歳～)","")</f>
        <v/>
      </c>
      <c r="BA161" s="1983" t="s">
        <v>475</v>
      </c>
      <c r="BB161" s="652" t="str">
        <f t="shared" ref="BB161" si="1437">IF(OR(AND(D161="",I161="",M161="",R161="",W161="",AB161="",AG161=""),AND(D161&lt;&gt;"",OR(I161&lt;&gt;"",M161&lt;&gt;"",R161&lt;&gt;"",W161&lt;&gt;"",AB161&lt;&gt;"",AG161&lt;&gt;""))),"○","×")</f>
        <v>○</v>
      </c>
      <c r="BC161" s="652" t="str">
        <f t="shared" ref="BC161" si="1438">IF(AND(BD161="○",BE161="○",BF161="○",BG161="○",BH161="○",BI161="○"),"○","×")</f>
        <v>○</v>
      </c>
      <c r="BD161" s="653" t="str">
        <f t="shared" ref="BD161" si="1439">IF(AND($I$7=" ",OR(I161&lt;&gt;"",K161&lt;&gt;"",L161&lt;&gt;"")),"×","○")</f>
        <v>○</v>
      </c>
      <c r="BE161" s="653" t="str">
        <f t="shared" ref="BE161" si="1440">IF(AND($M$7=" ",OR(M161&lt;&gt;"",O161&lt;&gt;"",P161&lt;&gt;"",Q161&lt;&gt;"")),"×","○")</f>
        <v>○</v>
      </c>
      <c r="BF161" s="653" t="str">
        <f t="shared" ref="BF161" si="1441">IF(AND($R$7=" ",OR(R161&lt;&gt;"",T161&lt;&gt;"",U161&lt;&gt;"",V161&lt;&gt;"")),"×","○")</f>
        <v>○</v>
      </c>
      <c r="BG161" s="653" t="str">
        <f t="shared" ref="BG161" si="1442">IF(AND($W$7=" ",OR(W161&lt;&gt;"",Y161&lt;&gt;"",Z161&lt;&gt;"",AA161&lt;&gt;"")),"×","○")</f>
        <v>○</v>
      </c>
      <c r="BH161" s="653" t="str">
        <f t="shared" ref="BH161" si="1443">IF(AND($AB$7=" ",OR(AB161&lt;&gt;"",AD161&lt;&gt;"",AE161&lt;&gt;"",AF161&lt;&gt;"")),"×","○")</f>
        <v>○</v>
      </c>
      <c r="BI161" s="653" t="str">
        <f t="shared" ref="BI161" si="1444">IF(AND($AG$7=" ",OR(AG161&lt;&gt;"",AI161&lt;&gt;"",AJ161&lt;&gt;"")),"×","○")</f>
        <v>○</v>
      </c>
      <c r="BJ161" s="2225" t="e">
        <f t="shared" ref="BJ161" si="1445">SUMPRODUCT(1/COUNTIF(I161:AH161,"宿泊"))</f>
        <v>#DIV/0!</v>
      </c>
      <c r="BK161" s="2226" t="e">
        <f t="shared" ref="BK161" si="1446">SUMPRODUCT(1/COUNTIF(I161:AH161,"日帰り"))</f>
        <v>#DIV/0!</v>
      </c>
      <c r="BL161" s="1381">
        <f t="shared" ref="BL161" si="1447">COUNT(BJ161)-COUNT(BK161)</f>
        <v>0</v>
      </c>
      <c r="BM161" s="684"/>
    </row>
    <row r="162" spans="1:65" ht="14.1" customHeight="1" x14ac:dyDescent="0.15">
      <c r="A162" s="652"/>
      <c r="B162" s="2174"/>
      <c r="C162" s="2117"/>
      <c r="D162" s="2007"/>
      <c r="E162" s="2005"/>
      <c r="F162" s="2042"/>
      <c r="G162" s="2119"/>
      <c r="H162" s="2107"/>
      <c r="I162" s="2112"/>
      <c r="J162" s="2113"/>
      <c r="K162" s="2105"/>
      <c r="L162" s="2127"/>
      <c r="M162" s="2112"/>
      <c r="N162" s="2113"/>
      <c r="O162" s="2105"/>
      <c r="P162" s="2105"/>
      <c r="Q162" s="2107"/>
      <c r="R162" s="2112"/>
      <c r="S162" s="2113"/>
      <c r="T162" s="2105"/>
      <c r="U162" s="2105"/>
      <c r="V162" s="2107"/>
      <c r="W162" s="2112"/>
      <c r="X162" s="2113"/>
      <c r="Y162" s="2105"/>
      <c r="Z162" s="2105"/>
      <c r="AA162" s="2107"/>
      <c r="AB162" s="2112"/>
      <c r="AC162" s="2113"/>
      <c r="AD162" s="2105"/>
      <c r="AE162" s="2105"/>
      <c r="AF162" s="2107"/>
      <c r="AG162" s="2112"/>
      <c r="AH162" s="2113"/>
      <c r="AI162" s="2105"/>
      <c r="AJ162" s="2105"/>
      <c r="AK162" s="2011"/>
      <c r="AL162" s="2012"/>
      <c r="AM162" s="2012"/>
      <c r="AN162" s="2013"/>
      <c r="AO162" s="2011"/>
      <c r="AP162" s="2012"/>
      <c r="AQ162" s="2012"/>
      <c r="AR162" s="2013"/>
      <c r="AS162" s="651"/>
      <c r="AT162" s="652"/>
      <c r="AU162" s="1983"/>
      <c r="AV162" s="1983"/>
      <c r="AW162" s="1983"/>
      <c r="AX162" s="1983"/>
      <c r="AY162" s="1983"/>
      <c r="AZ162" s="1983"/>
      <c r="BA162" s="1983"/>
      <c r="BB162" s="654"/>
      <c r="BC162" s="654"/>
      <c r="BD162" s="652"/>
      <c r="BE162" s="652"/>
      <c r="BF162" s="652"/>
      <c r="BG162" s="652"/>
      <c r="BH162" s="652"/>
      <c r="BI162" s="652"/>
      <c r="BJ162" s="2225"/>
      <c r="BK162" s="2226"/>
      <c r="BL162" s="1381"/>
      <c r="BM162" s="684"/>
    </row>
    <row r="163" spans="1:65" ht="14.1" customHeight="1" x14ac:dyDescent="0.15">
      <c r="A163" s="652" t="str">
        <f t="shared" ref="A163" si="1448">IF(AND(D163="",D165&lt;&gt;""),"×","○")</f>
        <v>○</v>
      </c>
      <c r="B163" s="2174" t="str">
        <f t="shared" ref="B163" si="1449">IF(AND(AT163="○",BB163="○",BC163="○",A163="○"),"○","×")</f>
        <v>○</v>
      </c>
      <c r="C163" s="2116">
        <v>75</v>
      </c>
      <c r="D163" s="2006"/>
      <c r="E163" s="2004"/>
      <c r="F163" s="2041"/>
      <c r="G163" s="2118"/>
      <c r="H163" s="2106"/>
      <c r="I163" s="2141"/>
      <c r="J163" s="2142"/>
      <c r="K163" s="2104"/>
      <c r="L163" s="2140"/>
      <c r="M163" s="2110"/>
      <c r="N163" s="2111"/>
      <c r="O163" s="2104"/>
      <c r="P163" s="2104"/>
      <c r="Q163" s="2106"/>
      <c r="R163" s="2110"/>
      <c r="S163" s="2111"/>
      <c r="T163" s="2104"/>
      <c r="U163" s="2104"/>
      <c r="V163" s="2106"/>
      <c r="W163" s="2110"/>
      <c r="X163" s="2111"/>
      <c r="Y163" s="2104"/>
      <c r="Z163" s="2104"/>
      <c r="AA163" s="2106"/>
      <c r="AB163" s="2110"/>
      <c r="AC163" s="2111"/>
      <c r="AD163" s="2104"/>
      <c r="AE163" s="2104"/>
      <c r="AF163" s="2106"/>
      <c r="AG163" s="2110"/>
      <c r="AH163" s="2111"/>
      <c r="AI163" s="2104"/>
      <c r="AJ163" s="2104"/>
      <c r="AK163" s="2038"/>
      <c r="AL163" s="2039"/>
      <c r="AM163" s="2039"/>
      <c r="AN163" s="2040"/>
      <c r="AO163" s="2008"/>
      <c r="AP163" s="2009"/>
      <c r="AQ163" s="2009"/>
      <c r="AR163" s="2010"/>
      <c r="AS163" s="651"/>
      <c r="AT163" s="652" t="str">
        <f t="shared" ref="AT163" si="1450">IF(OR(AND(D163&lt;&gt;"",OR(AND(E163&lt;&gt;"",F163&lt;&gt;"",OR(G163&lt;&gt;"",H163&lt;&gt;"")),AND(E163="",F163="バス・カメラマン等"))),AND(D163="",E163="",F163="",OR(G163="",H163=""))),"○","×")</f>
        <v>○</v>
      </c>
      <c r="AU163" s="1983" t="str">
        <f t="shared" ref="AU163" si="1451">IF(AND(E163&lt;&gt;"",E163&lt;=2),"2歳児以下","")</f>
        <v/>
      </c>
      <c r="AV163" s="1983" t="str">
        <f t="shared" ref="AV163" si="1452">IF(OR(AND(3&lt;=E163,E163&lt;=6),COUNTIF(E163, "幼*"),COUNTIF(E163, "年少"),COUNTIF(E163, "年中"),COUNTIF(E163, "年長")),"3歳-学齢前","")</f>
        <v/>
      </c>
      <c r="AW163" s="1983" t="str">
        <f t="shared" ref="AW163" si="1453">IF(OR(AND(6&lt;=E163,E163&lt;=12),COUNTIF(E163, "小*")),"小学生","")</f>
        <v/>
      </c>
      <c r="AX163" s="1983" t="str">
        <f t="shared" ref="AX163" si="1454">IF(OR(AND(12&lt;=E163,E163&lt;=15),COUNTIF(E163, "中*")),"中学生","")</f>
        <v/>
      </c>
      <c r="AY163" s="1983" t="str">
        <f t="shared" ref="AY163" si="1455">IF(OR(AND(15&lt;=E163,E163&lt;=18),COUNTIF(E163, "高*")),"高校生(～18歳)","")</f>
        <v/>
      </c>
      <c r="AZ163" s="1983" t="str">
        <f t="shared" ref="AZ163" si="1456">IF(OR(19&lt;=E163,COUNTIF(E163, "大*"),COUNTIF(E163, "*院*"),COUNTIF(E163, "*専*")),"一般(19歳～)","")</f>
        <v/>
      </c>
      <c r="BA163" s="1983" t="s">
        <v>475</v>
      </c>
      <c r="BB163" s="652" t="str">
        <f t="shared" ref="BB163" si="1457">IF(OR(AND(D163="",I163="",M163="",R163="",W163="",AB163="",AG163=""),AND(D163&lt;&gt;"",OR(I163&lt;&gt;"",M163&lt;&gt;"",R163&lt;&gt;"",W163&lt;&gt;"",AB163&lt;&gt;"",AG163&lt;&gt;""))),"○","×")</f>
        <v>○</v>
      </c>
      <c r="BC163" s="652" t="str">
        <f t="shared" ref="BC163" si="1458">IF(AND(BD163="○",BE163="○",BF163="○",BG163="○",BH163="○",BI163="○"),"○","×")</f>
        <v>○</v>
      </c>
      <c r="BD163" s="653" t="str">
        <f t="shared" ref="BD163" si="1459">IF(AND($I$7=" ",OR(I163&lt;&gt;"",K163&lt;&gt;"",L163&lt;&gt;"")),"×","○")</f>
        <v>○</v>
      </c>
      <c r="BE163" s="653" t="str">
        <f t="shared" ref="BE163" si="1460">IF(AND($M$7=" ",OR(M163&lt;&gt;"",O163&lt;&gt;"",P163&lt;&gt;"",Q163&lt;&gt;"")),"×","○")</f>
        <v>○</v>
      </c>
      <c r="BF163" s="653" t="str">
        <f t="shared" ref="BF163" si="1461">IF(AND($R$7=" ",OR(R163&lt;&gt;"",T163&lt;&gt;"",U163&lt;&gt;"",V163&lt;&gt;"")),"×","○")</f>
        <v>○</v>
      </c>
      <c r="BG163" s="653" t="str">
        <f t="shared" ref="BG163" si="1462">IF(AND($W$7=" ",OR(W163&lt;&gt;"",Y163&lt;&gt;"",Z163&lt;&gt;"",AA163&lt;&gt;"")),"×","○")</f>
        <v>○</v>
      </c>
      <c r="BH163" s="653" t="str">
        <f t="shared" ref="BH163" si="1463">IF(AND($AB$7=" ",OR(AB163&lt;&gt;"",AD163&lt;&gt;"",AE163&lt;&gt;"",AF163&lt;&gt;"")),"×","○")</f>
        <v>○</v>
      </c>
      <c r="BI163" s="653" t="str">
        <f t="shared" ref="BI163" si="1464">IF(AND($AG$7=" ",OR(AG163&lt;&gt;"",AI163&lt;&gt;"",AJ163&lt;&gt;"")),"×","○")</f>
        <v>○</v>
      </c>
      <c r="BJ163" s="2225" t="e">
        <f t="shared" ref="BJ163" si="1465">SUMPRODUCT(1/COUNTIF(I163:AH163,"宿泊"))</f>
        <v>#DIV/0!</v>
      </c>
      <c r="BK163" s="2226" t="e">
        <f t="shared" ref="BK163" si="1466">SUMPRODUCT(1/COUNTIF(I163:AH163,"日帰り"))</f>
        <v>#DIV/0!</v>
      </c>
      <c r="BL163" s="1381">
        <f t="shared" ref="BL163" si="1467">COUNT(BJ163)-COUNT(BK163)</f>
        <v>0</v>
      </c>
      <c r="BM163" s="684"/>
    </row>
    <row r="164" spans="1:65" ht="14.1" customHeight="1" x14ac:dyDescent="0.15">
      <c r="A164" s="652"/>
      <c r="B164" s="2174"/>
      <c r="C164" s="2117"/>
      <c r="D164" s="2007"/>
      <c r="E164" s="2005"/>
      <c r="F164" s="2042"/>
      <c r="G164" s="2119"/>
      <c r="H164" s="2107"/>
      <c r="I164" s="2112"/>
      <c r="J164" s="2113"/>
      <c r="K164" s="2105"/>
      <c r="L164" s="2127"/>
      <c r="M164" s="2112"/>
      <c r="N164" s="2113"/>
      <c r="O164" s="2105"/>
      <c r="P164" s="2105"/>
      <c r="Q164" s="2107"/>
      <c r="R164" s="2112"/>
      <c r="S164" s="2113"/>
      <c r="T164" s="2105"/>
      <c r="U164" s="2105"/>
      <c r="V164" s="2107"/>
      <c r="W164" s="2112"/>
      <c r="X164" s="2113"/>
      <c r="Y164" s="2105"/>
      <c r="Z164" s="2105"/>
      <c r="AA164" s="2107"/>
      <c r="AB164" s="2112"/>
      <c r="AC164" s="2113"/>
      <c r="AD164" s="2105"/>
      <c r="AE164" s="2105"/>
      <c r="AF164" s="2107"/>
      <c r="AG164" s="2112"/>
      <c r="AH164" s="2113"/>
      <c r="AI164" s="2105"/>
      <c r="AJ164" s="2105"/>
      <c r="AK164" s="2011"/>
      <c r="AL164" s="2012"/>
      <c r="AM164" s="2012"/>
      <c r="AN164" s="2013"/>
      <c r="AO164" s="2011"/>
      <c r="AP164" s="2012"/>
      <c r="AQ164" s="2012"/>
      <c r="AR164" s="2013"/>
      <c r="AS164" s="651"/>
      <c r="AT164" s="652"/>
      <c r="AU164" s="1983"/>
      <c r="AV164" s="1983"/>
      <c r="AW164" s="1983"/>
      <c r="AX164" s="1983"/>
      <c r="AY164" s="1983"/>
      <c r="AZ164" s="1983"/>
      <c r="BA164" s="1983"/>
      <c r="BB164" s="654"/>
      <c r="BC164" s="654"/>
      <c r="BD164" s="652"/>
      <c r="BE164" s="652"/>
      <c r="BF164" s="652"/>
      <c r="BG164" s="652"/>
      <c r="BH164" s="652"/>
      <c r="BI164" s="652"/>
      <c r="BJ164" s="2225"/>
      <c r="BK164" s="2226"/>
      <c r="BL164" s="1381"/>
      <c r="BM164" s="684"/>
    </row>
    <row r="165" spans="1:65" ht="14.1" customHeight="1" x14ac:dyDescent="0.15">
      <c r="A165" s="652" t="str">
        <f t="shared" ref="A165" si="1468">IF(AND(D165="",D167&lt;&gt;""),"×","○")</f>
        <v>○</v>
      </c>
      <c r="B165" s="2174" t="str">
        <f t="shared" ref="B165" si="1469">IF(AND(AT165="○",BB165="○",BC165="○",A165="○"),"○","×")</f>
        <v>○</v>
      </c>
      <c r="C165" s="2145">
        <v>76</v>
      </c>
      <c r="D165" s="2006"/>
      <c r="E165" s="2004"/>
      <c r="F165" s="2041"/>
      <c r="G165" s="2123"/>
      <c r="H165" s="2109"/>
      <c r="I165" s="2141"/>
      <c r="J165" s="2142"/>
      <c r="K165" s="2104"/>
      <c r="L165" s="2140"/>
      <c r="M165" s="2110"/>
      <c r="N165" s="2111"/>
      <c r="O165" s="2108"/>
      <c r="P165" s="2108"/>
      <c r="Q165" s="2109"/>
      <c r="R165" s="2110"/>
      <c r="S165" s="2111"/>
      <c r="T165" s="2108"/>
      <c r="U165" s="2108"/>
      <c r="V165" s="2109"/>
      <c r="W165" s="2110"/>
      <c r="X165" s="2111"/>
      <c r="Y165" s="2108"/>
      <c r="Z165" s="2108"/>
      <c r="AA165" s="2109"/>
      <c r="AB165" s="2110"/>
      <c r="AC165" s="2111"/>
      <c r="AD165" s="2108"/>
      <c r="AE165" s="2108"/>
      <c r="AF165" s="2109"/>
      <c r="AG165" s="2110"/>
      <c r="AH165" s="2111"/>
      <c r="AI165" s="2108"/>
      <c r="AJ165" s="2108"/>
      <c r="AK165" s="2038"/>
      <c r="AL165" s="2039"/>
      <c r="AM165" s="2039"/>
      <c r="AN165" s="2040"/>
      <c r="AO165" s="2008"/>
      <c r="AP165" s="2009"/>
      <c r="AQ165" s="2009"/>
      <c r="AR165" s="2010"/>
      <c r="AS165" s="651"/>
      <c r="AT165" s="652" t="str">
        <f t="shared" ref="AT165" si="1470">IF(OR(AND(D165&lt;&gt;"",OR(AND(E165&lt;&gt;"",F165&lt;&gt;"",OR(G165&lt;&gt;"",H165&lt;&gt;"")),AND(E165="",F165="バス・カメラマン等"))),AND(D165="",E165="",F165="",OR(G165="",H165=""))),"○","×")</f>
        <v>○</v>
      </c>
      <c r="AU165" s="1983" t="str">
        <f t="shared" ref="AU165" si="1471">IF(AND(E165&lt;&gt;"",E165&lt;=2),"2歳児以下","")</f>
        <v/>
      </c>
      <c r="AV165" s="1983" t="str">
        <f t="shared" ref="AV165" si="1472">IF(OR(AND(3&lt;=E165,E165&lt;=6),COUNTIF(E165, "幼*"),COUNTIF(E165, "年少"),COUNTIF(E165, "年中"),COUNTIF(E165, "年長")),"3歳-学齢前","")</f>
        <v/>
      </c>
      <c r="AW165" s="1983" t="str">
        <f t="shared" ref="AW165" si="1473">IF(OR(AND(6&lt;=E165,E165&lt;=12),COUNTIF(E165, "小*")),"小学生","")</f>
        <v/>
      </c>
      <c r="AX165" s="1983" t="str">
        <f t="shared" ref="AX165" si="1474">IF(OR(AND(12&lt;=E165,E165&lt;=15),COUNTIF(E165, "中*")),"中学生","")</f>
        <v/>
      </c>
      <c r="AY165" s="1983" t="str">
        <f t="shared" ref="AY165" si="1475">IF(OR(AND(15&lt;=E165,E165&lt;=18),COUNTIF(E165, "高*")),"高校生(～18歳)","")</f>
        <v/>
      </c>
      <c r="AZ165" s="1983" t="str">
        <f t="shared" ref="AZ165" si="1476">IF(OR(19&lt;=E165,COUNTIF(E165, "大*"),COUNTIF(E165, "*院*"),COUNTIF(E165, "*専*")),"一般(19歳～)","")</f>
        <v/>
      </c>
      <c r="BA165" s="1983" t="s">
        <v>475</v>
      </c>
      <c r="BB165" s="652" t="str">
        <f t="shared" ref="BB165" si="1477">IF(OR(AND(D165="",I165="",M165="",R165="",W165="",AB165="",AG165=""),AND(D165&lt;&gt;"",OR(I165&lt;&gt;"",M165&lt;&gt;"",R165&lt;&gt;"",W165&lt;&gt;"",AB165&lt;&gt;"",AG165&lt;&gt;""))),"○","×")</f>
        <v>○</v>
      </c>
      <c r="BC165" s="652" t="str">
        <f t="shared" ref="BC165" si="1478">IF(AND(BD165="○",BE165="○",BF165="○",BG165="○",BH165="○",BI165="○"),"○","×")</f>
        <v>○</v>
      </c>
      <c r="BD165" s="653" t="str">
        <f t="shared" ref="BD165" si="1479">IF(AND($I$7=" ",OR(I165&lt;&gt;"",K165&lt;&gt;"",L165&lt;&gt;"")),"×","○")</f>
        <v>○</v>
      </c>
      <c r="BE165" s="653" t="str">
        <f t="shared" ref="BE165" si="1480">IF(AND($M$7=" ",OR(M165&lt;&gt;"",O165&lt;&gt;"",P165&lt;&gt;"",Q165&lt;&gt;"")),"×","○")</f>
        <v>○</v>
      </c>
      <c r="BF165" s="653" t="str">
        <f t="shared" ref="BF165" si="1481">IF(AND($R$7=" ",OR(R165&lt;&gt;"",T165&lt;&gt;"",U165&lt;&gt;"",V165&lt;&gt;"")),"×","○")</f>
        <v>○</v>
      </c>
      <c r="BG165" s="653" t="str">
        <f t="shared" ref="BG165" si="1482">IF(AND($W$7=" ",OR(W165&lt;&gt;"",Y165&lt;&gt;"",Z165&lt;&gt;"",AA165&lt;&gt;"")),"×","○")</f>
        <v>○</v>
      </c>
      <c r="BH165" s="653" t="str">
        <f t="shared" ref="BH165" si="1483">IF(AND($AB$7=" ",OR(AB165&lt;&gt;"",AD165&lt;&gt;"",AE165&lt;&gt;"",AF165&lt;&gt;"")),"×","○")</f>
        <v>○</v>
      </c>
      <c r="BI165" s="653" t="str">
        <f t="shared" ref="BI165" si="1484">IF(AND($AG$7=" ",OR(AG165&lt;&gt;"",AI165&lt;&gt;"",AJ165&lt;&gt;"")),"×","○")</f>
        <v>○</v>
      </c>
      <c r="BJ165" s="2225" t="e">
        <f t="shared" ref="BJ165" si="1485">SUMPRODUCT(1/COUNTIF(I165:AH165,"宿泊"))</f>
        <v>#DIV/0!</v>
      </c>
      <c r="BK165" s="2226" t="e">
        <f t="shared" ref="BK165" si="1486">SUMPRODUCT(1/COUNTIF(I165:AH165,"日帰り"))</f>
        <v>#DIV/0!</v>
      </c>
      <c r="BL165" s="1381">
        <f t="shared" ref="BL165" si="1487">COUNT(BJ165)-COUNT(BK165)</f>
        <v>0</v>
      </c>
      <c r="BM165" s="684"/>
    </row>
    <row r="166" spans="1:65" ht="14.1" customHeight="1" x14ac:dyDescent="0.15">
      <c r="A166" s="652"/>
      <c r="B166" s="2174"/>
      <c r="C166" s="2144"/>
      <c r="D166" s="2007"/>
      <c r="E166" s="2005"/>
      <c r="F166" s="2042"/>
      <c r="G166" s="2119"/>
      <c r="H166" s="2107"/>
      <c r="I166" s="2112"/>
      <c r="J166" s="2113"/>
      <c r="K166" s="2105"/>
      <c r="L166" s="2127"/>
      <c r="M166" s="2112"/>
      <c r="N166" s="2113"/>
      <c r="O166" s="2105"/>
      <c r="P166" s="2105"/>
      <c r="Q166" s="2107"/>
      <c r="R166" s="2112"/>
      <c r="S166" s="2113"/>
      <c r="T166" s="2105"/>
      <c r="U166" s="2105"/>
      <c r="V166" s="2107"/>
      <c r="W166" s="2112"/>
      <c r="X166" s="2113"/>
      <c r="Y166" s="2105"/>
      <c r="Z166" s="2105"/>
      <c r="AA166" s="2107"/>
      <c r="AB166" s="2112"/>
      <c r="AC166" s="2113"/>
      <c r="AD166" s="2105"/>
      <c r="AE166" s="2105"/>
      <c r="AF166" s="2107"/>
      <c r="AG166" s="2112"/>
      <c r="AH166" s="2113"/>
      <c r="AI166" s="2105"/>
      <c r="AJ166" s="2105"/>
      <c r="AK166" s="2011"/>
      <c r="AL166" s="2012"/>
      <c r="AM166" s="2012"/>
      <c r="AN166" s="2013"/>
      <c r="AO166" s="2011"/>
      <c r="AP166" s="2012"/>
      <c r="AQ166" s="2012"/>
      <c r="AR166" s="2013"/>
      <c r="AS166" s="651"/>
      <c r="AT166" s="652"/>
      <c r="AU166" s="1983"/>
      <c r="AV166" s="1983"/>
      <c r="AW166" s="1983"/>
      <c r="AX166" s="1983"/>
      <c r="AY166" s="1983"/>
      <c r="AZ166" s="1983"/>
      <c r="BA166" s="1983"/>
      <c r="BB166" s="654"/>
      <c r="BC166" s="654"/>
      <c r="BD166" s="652"/>
      <c r="BE166" s="652"/>
      <c r="BF166" s="652"/>
      <c r="BG166" s="652"/>
      <c r="BH166" s="652"/>
      <c r="BI166" s="652"/>
      <c r="BJ166" s="2225"/>
      <c r="BK166" s="2226"/>
      <c r="BL166" s="1381"/>
      <c r="BM166" s="684"/>
    </row>
    <row r="167" spans="1:65" ht="14.1" customHeight="1" x14ac:dyDescent="0.15">
      <c r="A167" s="652" t="str">
        <f t="shared" ref="A167" si="1488">IF(AND(D167="",D169&lt;&gt;""),"×","○")</f>
        <v>○</v>
      </c>
      <c r="B167" s="2174" t="str">
        <f t="shared" ref="B167" si="1489">IF(AND(AT167="○",BB167="○",BC167="○",A167="○"),"○","×")</f>
        <v>○</v>
      </c>
      <c r="C167" s="2143">
        <v>77</v>
      </c>
      <c r="D167" s="2006"/>
      <c r="E167" s="2004"/>
      <c r="F167" s="2041"/>
      <c r="G167" s="2118"/>
      <c r="H167" s="2106"/>
      <c r="I167" s="2141"/>
      <c r="J167" s="2142"/>
      <c r="K167" s="2104"/>
      <c r="L167" s="2140"/>
      <c r="M167" s="2110"/>
      <c r="N167" s="2111"/>
      <c r="O167" s="2104"/>
      <c r="P167" s="2104"/>
      <c r="Q167" s="2106"/>
      <c r="R167" s="2110"/>
      <c r="S167" s="2111"/>
      <c r="T167" s="2104"/>
      <c r="U167" s="2104"/>
      <c r="V167" s="2106"/>
      <c r="W167" s="2110"/>
      <c r="X167" s="2111"/>
      <c r="Y167" s="2104"/>
      <c r="Z167" s="2104"/>
      <c r="AA167" s="2106"/>
      <c r="AB167" s="2110"/>
      <c r="AC167" s="2111"/>
      <c r="AD167" s="2104"/>
      <c r="AE167" s="2104"/>
      <c r="AF167" s="2106"/>
      <c r="AG167" s="2110"/>
      <c r="AH167" s="2111"/>
      <c r="AI167" s="2104"/>
      <c r="AJ167" s="2104"/>
      <c r="AK167" s="2038"/>
      <c r="AL167" s="2039"/>
      <c r="AM167" s="2039"/>
      <c r="AN167" s="2040"/>
      <c r="AO167" s="2008"/>
      <c r="AP167" s="2009"/>
      <c r="AQ167" s="2009"/>
      <c r="AR167" s="2010"/>
      <c r="AS167" s="651"/>
      <c r="AT167" s="652" t="str">
        <f t="shared" ref="AT167" si="1490">IF(OR(AND(D167&lt;&gt;"",OR(AND(E167&lt;&gt;"",F167&lt;&gt;"",OR(G167&lt;&gt;"",H167&lt;&gt;"")),AND(E167="",F167="バス・カメラマン等"))),AND(D167="",E167="",F167="",OR(G167="",H167=""))),"○","×")</f>
        <v>○</v>
      </c>
      <c r="AU167" s="1983" t="str">
        <f t="shared" ref="AU167" si="1491">IF(AND(E167&lt;&gt;"",E167&lt;=2),"2歳児以下","")</f>
        <v/>
      </c>
      <c r="AV167" s="1983" t="str">
        <f t="shared" ref="AV167" si="1492">IF(OR(AND(3&lt;=E167,E167&lt;=6),COUNTIF(E167, "幼*"),COUNTIF(E167, "年少"),COUNTIF(E167, "年中"),COUNTIF(E167, "年長")),"3歳-学齢前","")</f>
        <v/>
      </c>
      <c r="AW167" s="1983" t="str">
        <f t="shared" ref="AW167" si="1493">IF(OR(AND(6&lt;=E167,E167&lt;=12),COUNTIF(E167, "小*")),"小学生","")</f>
        <v/>
      </c>
      <c r="AX167" s="1983" t="str">
        <f t="shared" ref="AX167" si="1494">IF(OR(AND(12&lt;=E167,E167&lt;=15),COUNTIF(E167, "中*")),"中学生","")</f>
        <v/>
      </c>
      <c r="AY167" s="1983" t="str">
        <f t="shared" ref="AY167" si="1495">IF(OR(AND(15&lt;=E167,E167&lt;=18),COUNTIF(E167, "高*")),"高校生(～18歳)","")</f>
        <v/>
      </c>
      <c r="AZ167" s="1983" t="str">
        <f t="shared" ref="AZ167" si="1496">IF(OR(19&lt;=E167,COUNTIF(E167, "大*"),COUNTIF(E167, "*院*"),COUNTIF(E167, "*専*")),"一般(19歳～)","")</f>
        <v/>
      </c>
      <c r="BA167" s="1983" t="s">
        <v>475</v>
      </c>
      <c r="BB167" s="652" t="str">
        <f t="shared" ref="BB167" si="1497">IF(OR(AND(D167="",I167="",M167="",R167="",W167="",AB167="",AG167=""),AND(D167&lt;&gt;"",OR(I167&lt;&gt;"",M167&lt;&gt;"",R167&lt;&gt;"",W167&lt;&gt;"",AB167&lt;&gt;"",AG167&lt;&gt;""))),"○","×")</f>
        <v>○</v>
      </c>
      <c r="BC167" s="652" t="str">
        <f t="shared" ref="BC167" si="1498">IF(AND(BD167="○",BE167="○",BF167="○",BG167="○",BH167="○",BI167="○"),"○","×")</f>
        <v>○</v>
      </c>
      <c r="BD167" s="653" t="str">
        <f t="shared" ref="BD167" si="1499">IF(AND($I$7=" ",OR(I167&lt;&gt;"",K167&lt;&gt;"",L167&lt;&gt;"")),"×","○")</f>
        <v>○</v>
      </c>
      <c r="BE167" s="653" t="str">
        <f t="shared" ref="BE167" si="1500">IF(AND($M$7=" ",OR(M167&lt;&gt;"",O167&lt;&gt;"",P167&lt;&gt;"",Q167&lt;&gt;"")),"×","○")</f>
        <v>○</v>
      </c>
      <c r="BF167" s="653" t="str">
        <f t="shared" ref="BF167" si="1501">IF(AND($R$7=" ",OR(R167&lt;&gt;"",T167&lt;&gt;"",U167&lt;&gt;"",V167&lt;&gt;"")),"×","○")</f>
        <v>○</v>
      </c>
      <c r="BG167" s="653" t="str">
        <f t="shared" ref="BG167" si="1502">IF(AND($W$7=" ",OR(W167&lt;&gt;"",Y167&lt;&gt;"",Z167&lt;&gt;"",AA167&lt;&gt;"")),"×","○")</f>
        <v>○</v>
      </c>
      <c r="BH167" s="653" t="str">
        <f t="shared" ref="BH167" si="1503">IF(AND($AB$7=" ",OR(AB167&lt;&gt;"",AD167&lt;&gt;"",AE167&lt;&gt;"",AF167&lt;&gt;"")),"×","○")</f>
        <v>○</v>
      </c>
      <c r="BI167" s="653" t="str">
        <f t="shared" ref="BI167" si="1504">IF(AND($AG$7=" ",OR(AG167&lt;&gt;"",AI167&lt;&gt;"",AJ167&lt;&gt;"")),"×","○")</f>
        <v>○</v>
      </c>
      <c r="BJ167" s="2225" t="e">
        <f t="shared" ref="BJ167" si="1505">SUMPRODUCT(1/COUNTIF(I167:AH167,"宿泊"))</f>
        <v>#DIV/0!</v>
      </c>
      <c r="BK167" s="2226" t="e">
        <f t="shared" ref="BK167" si="1506">SUMPRODUCT(1/COUNTIF(I167:AH167,"日帰り"))</f>
        <v>#DIV/0!</v>
      </c>
      <c r="BL167" s="1381">
        <f t="shared" ref="BL167" si="1507">COUNT(BJ167)-COUNT(BK167)</f>
        <v>0</v>
      </c>
      <c r="BM167" s="684"/>
    </row>
    <row r="168" spans="1:65" ht="14.1" customHeight="1" x14ac:dyDescent="0.15">
      <c r="A168" s="652"/>
      <c r="B168" s="2174"/>
      <c r="C168" s="2144"/>
      <c r="D168" s="2007"/>
      <c r="E168" s="2005"/>
      <c r="F168" s="2042"/>
      <c r="G168" s="2119"/>
      <c r="H168" s="2107"/>
      <c r="I168" s="2112"/>
      <c r="J168" s="2113"/>
      <c r="K168" s="2105"/>
      <c r="L168" s="2127"/>
      <c r="M168" s="2112"/>
      <c r="N168" s="2113"/>
      <c r="O168" s="2105"/>
      <c r="P168" s="2105"/>
      <c r="Q168" s="2107"/>
      <c r="R168" s="2112"/>
      <c r="S168" s="2113"/>
      <c r="T168" s="2105"/>
      <c r="U168" s="2105"/>
      <c r="V168" s="2107"/>
      <c r="W168" s="2112"/>
      <c r="X168" s="2113"/>
      <c r="Y168" s="2105"/>
      <c r="Z168" s="2105"/>
      <c r="AA168" s="2107"/>
      <c r="AB168" s="2112"/>
      <c r="AC168" s="2113"/>
      <c r="AD168" s="2105"/>
      <c r="AE168" s="2105"/>
      <c r="AF168" s="2107"/>
      <c r="AG168" s="2112"/>
      <c r="AH168" s="2113"/>
      <c r="AI168" s="2105"/>
      <c r="AJ168" s="2105"/>
      <c r="AK168" s="2011"/>
      <c r="AL168" s="2012"/>
      <c r="AM168" s="2012"/>
      <c r="AN168" s="2013"/>
      <c r="AO168" s="2011"/>
      <c r="AP168" s="2012"/>
      <c r="AQ168" s="2012"/>
      <c r="AR168" s="2013"/>
      <c r="AS168" s="651"/>
      <c r="AT168" s="652"/>
      <c r="AU168" s="1983"/>
      <c r="AV168" s="1983"/>
      <c r="AW168" s="1983"/>
      <c r="AX168" s="1983"/>
      <c r="AY168" s="1983"/>
      <c r="AZ168" s="1983"/>
      <c r="BA168" s="1983"/>
      <c r="BB168" s="654"/>
      <c r="BC168" s="654"/>
      <c r="BD168" s="652"/>
      <c r="BE168" s="652"/>
      <c r="BF168" s="652"/>
      <c r="BG168" s="652"/>
      <c r="BH168" s="652"/>
      <c r="BI168" s="652"/>
      <c r="BJ168" s="2225"/>
      <c r="BK168" s="2226"/>
      <c r="BL168" s="1381"/>
      <c r="BM168" s="684"/>
    </row>
    <row r="169" spans="1:65" ht="14.1" customHeight="1" x14ac:dyDescent="0.15">
      <c r="A169" s="652" t="str">
        <f t="shared" ref="A169" si="1508">IF(AND(D169="",D171&lt;&gt;""),"×","○")</f>
        <v>○</v>
      </c>
      <c r="B169" s="2174" t="str">
        <f t="shared" ref="B169" si="1509">IF(AND(AT169="○",BB169="○",BC169="○",A169="○"),"○","×")</f>
        <v>○</v>
      </c>
      <c r="C169" s="2143">
        <v>78</v>
      </c>
      <c r="D169" s="2006"/>
      <c r="E169" s="2004"/>
      <c r="F169" s="2041"/>
      <c r="G169" s="2118"/>
      <c r="H169" s="2106"/>
      <c r="I169" s="2141"/>
      <c r="J169" s="2142"/>
      <c r="K169" s="2104"/>
      <c r="L169" s="2140"/>
      <c r="M169" s="2110"/>
      <c r="N169" s="2111"/>
      <c r="O169" s="2104"/>
      <c r="P169" s="2104"/>
      <c r="Q169" s="2106"/>
      <c r="R169" s="2110"/>
      <c r="S169" s="2111"/>
      <c r="T169" s="2104"/>
      <c r="U169" s="2104"/>
      <c r="V169" s="2106"/>
      <c r="W169" s="2110"/>
      <c r="X169" s="2111"/>
      <c r="Y169" s="2104"/>
      <c r="Z169" s="2104"/>
      <c r="AA169" s="2106"/>
      <c r="AB169" s="2110"/>
      <c r="AC169" s="2111"/>
      <c r="AD169" s="2104"/>
      <c r="AE169" s="2104"/>
      <c r="AF169" s="2106"/>
      <c r="AG169" s="2110"/>
      <c r="AH169" s="2111"/>
      <c r="AI169" s="2104"/>
      <c r="AJ169" s="2104"/>
      <c r="AK169" s="2038"/>
      <c r="AL169" s="2039"/>
      <c r="AM169" s="2039"/>
      <c r="AN169" s="2040"/>
      <c r="AO169" s="2008"/>
      <c r="AP169" s="2009"/>
      <c r="AQ169" s="2009"/>
      <c r="AR169" s="2010"/>
      <c r="AS169" s="651"/>
      <c r="AT169" s="652" t="str">
        <f t="shared" ref="AT169" si="1510">IF(OR(AND(D169&lt;&gt;"",OR(AND(E169&lt;&gt;"",F169&lt;&gt;"",OR(G169&lt;&gt;"",H169&lt;&gt;"")),AND(E169="",F169="バス・カメラマン等"))),AND(D169="",E169="",F169="",OR(G169="",H169=""))),"○","×")</f>
        <v>○</v>
      </c>
      <c r="AU169" s="1983" t="str">
        <f t="shared" ref="AU169" si="1511">IF(AND(E169&lt;&gt;"",E169&lt;=2),"2歳児以下","")</f>
        <v/>
      </c>
      <c r="AV169" s="1983" t="str">
        <f t="shared" ref="AV169" si="1512">IF(OR(AND(3&lt;=E169,E169&lt;=6),COUNTIF(E169, "幼*"),COUNTIF(E169, "年少"),COUNTIF(E169, "年中"),COUNTIF(E169, "年長")),"3歳-学齢前","")</f>
        <v/>
      </c>
      <c r="AW169" s="1983" t="str">
        <f t="shared" ref="AW169" si="1513">IF(OR(AND(6&lt;=E169,E169&lt;=12),COUNTIF(E169, "小*")),"小学生","")</f>
        <v/>
      </c>
      <c r="AX169" s="1983" t="str">
        <f t="shared" ref="AX169" si="1514">IF(OR(AND(12&lt;=E169,E169&lt;=15),COUNTIF(E169, "中*")),"中学生","")</f>
        <v/>
      </c>
      <c r="AY169" s="1983" t="str">
        <f t="shared" ref="AY169" si="1515">IF(OR(AND(15&lt;=E169,E169&lt;=18),COUNTIF(E169, "高*")),"高校生(～18歳)","")</f>
        <v/>
      </c>
      <c r="AZ169" s="1983" t="str">
        <f t="shared" ref="AZ169" si="1516">IF(OR(19&lt;=E169,COUNTIF(E169, "大*"),COUNTIF(E169, "*院*"),COUNTIF(E169, "*専*")),"一般(19歳～)","")</f>
        <v/>
      </c>
      <c r="BA169" s="1983" t="s">
        <v>475</v>
      </c>
      <c r="BB169" s="652" t="str">
        <f t="shared" ref="BB169" si="1517">IF(OR(AND(D169="",I169="",M169="",R169="",W169="",AB169="",AG169=""),AND(D169&lt;&gt;"",OR(I169&lt;&gt;"",M169&lt;&gt;"",R169&lt;&gt;"",W169&lt;&gt;"",AB169&lt;&gt;"",AG169&lt;&gt;""))),"○","×")</f>
        <v>○</v>
      </c>
      <c r="BC169" s="652" t="str">
        <f t="shared" ref="BC169" si="1518">IF(AND(BD169="○",BE169="○",BF169="○",BG169="○",BH169="○",BI169="○"),"○","×")</f>
        <v>○</v>
      </c>
      <c r="BD169" s="653" t="str">
        <f t="shared" ref="BD169" si="1519">IF(AND($I$7=" ",OR(I169&lt;&gt;"",K169&lt;&gt;"",L169&lt;&gt;"")),"×","○")</f>
        <v>○</v>
      </c>
      <c r="BE169" s="653" t="str">
        <f t="shared" ref="BE169" si="1520">IF(AND($M$7=" ",OR(M169&lt;&gt;"",O169&lt;&gt;"",P169&lt;&gt;"",Q169&lt;&gt;"")),"×","○")</f>
        <v>○</v>
      </c>
      <c r="BF169" s="653" t="str">
        <f t="shared" ref="BF169" si="1521">IF(AND($R$7=" ",OR(R169&lt;&gt;"",T169&lt;&gt;"",U169&lt;&gt;"",V169&lt;&gt;"")),"×","○")</f>
        <v>○</v>
      </c>
      <c r="BG169" s="653" t="str">
        <f t="shared" ref="BG169" si="1522">IF(AND($W$7=" ",OR(W169&lt;&gt;"",Y169&lt;&gt;"",Z169&lt;&gt;"",AA169&lt;&gt;"")),"×","○")</f>
        <v>○</v>
      </c>
      <c r="BH169" s="653" t="str">
        <f t="shared" ref="BH169" si="1523">IF(AND($AB$7=" ",OR(AB169&lt;&gt;"",AD169&lt;&gt;"",AE169&lt;&gt;"",AF169&lt;&gt;"")),"×","○")</f>
        <v>○</v>
      </c>
      <c r="BI169" s="653" t="str">
        <f t="shared" ref="BI169" si="1524">IF(AND($AG$7=" ",OR(AG169&lt;&gt;"",AI169&lt;&gt;"",AJ169&lt;&gt;"")),"×","○")</f>
        <v>○</v>
      </c>
      <c r="BJ169" s="2225" t="e">
        <f t="shared" ref="BJ169" si="1525">SUMPRODUCT(1/COUNTIF(I169:AH169,"宿泊"))</f>
        <v>#DIV/0!</v>
      </c>
      <c r="BK169" s="2226" t="e">
        <f t="shared" ref="BK169" si="1526">SUMPRODUCT(1/COUNTIF(I169:AH169,"日帰り"))</f>
        <v>#DIV/0!</v>
      </c>
      <c r="BL169" s="1381">
        <f t="shared" ref="BL169" si="1527">COUNT(BJ169)-COUNT(BK169)</f>
        <v>0</v>
      </c>
      <c r="BM169" s="684"/>
    </row>
    <row r="170" spans="1:65" ht="14.1" customHeight="1" x14ac:dyDescent="0.15">
      <c r="A170" s="652"/>
      <c r="B170" s="2174"/>
      <c r="C170" s="2144"/>
      <c r="D170" s="2007"/>
      <c r="E170" s="2005"/>
      <c r="F170" s="2042"/>
      <c r="G170" s="2119"/>
      <c r="H170" s="2107"/>
      <c r="I170" s="2112"/>
      <c r="J170" s="2113"/>
      <c r="K170" s="2105"/>
      <c r="L170" s="2127"/>
      <c r="M170" s="2112"/>
      <c r="N170" s="2113"/>
      <c r="O170" s="2105"/>
      <c r="P170" s="2105"/>
      <c r="Q170" s="2107"/>
      <c r="R170" s="2112"/>
      <c r="S170" s="2113"/>
      <c r="T170" s="2105"/>
      <c r="U170" s="2105"/>
      <c r="V170" s="2107"/>
      <c r="W170" s="2112"/>
      <c r="X170" s="2113"/>
      <c r="Y170" s="2105"/>
      <c r="Z170" s="2105"/>
      <c r="AA170" s="2107"/>
      <c r="AB170" s="2112"/>
      <c r="AC170" s="2113"/>
      <c r="AD170" s="2105"/>
      <c r="AE170" s="2105"/>
      <c r="AF170" s="2107"/>
      <c r="AG170" s="2112"/>
      <c r="AH170" s="2113"/>
      <c r="AI170" s="2105"/>
      <c r="AJ170" s="2105"/>
      <c r="AK170" s="2011"/>
      <c r="AL170" s="2012"/>
      <c r="AM170" s="2012"/>
      <c r="AN170" s="2013"/>
      <c r="AO170" s="2011"/>
      <c r="AP170" s="2012"/>
      <c r="AQ170" s="2012"/>
      <c r="AR170" s="2013"/>
      <c r="AS170" s="651"/>
      <c r="AT170" s="652"/>
      <c r="AU170" s="1983"/>
      <c r="AV170" s="1983"/>
      <c r="AW170" s="1983"/>
      <c r="AX170" s="1983"/>
      <c r="AY170" s="1983"/>
      <c r="AZ170" s="1983"/>
      <c r="BA170" s="1983"/>
      <c r="BB170" s="654"/>
      <c r="BC170" s="654"/>
      <c r="BD170" s="652"/>
      <c r="BE170" s="652"/>
      <c r="BF170" s="652"/>
      <c r="BG170" s="652"/>
      <c r="BH170" s="652"/>
      <c r="BI170" s="652"/>
      <c r="BJ170" s="2225"/>
      <c r="BK170" s="2226"/>
      <c r="BL170" s="1381"/>
      <c r="BM170" s="684"/>
    </row>
    <row r="171" spans="1:65" ht="14.1" customHeight="1" x14ac:dyDescent="0.15">
      <c r="A171" s="652" t="str">
        <f t="shared" ref="A171" si="1528">IF(AND(D171="",D173&lt;&gt;""),"×","○")</f>
        <v>○</v>
      </c>
      <c r="B171" s="2174" t="str">
        <f t="shared" ref="B171" si="1529">IF(AND(AT171="○",BB171="○",BC171="○",A171="○"),"○","×")</f>
        <v>○</v>
      </c>
      <c r="C171" s="2143">
        <v>79</v>
      </c>
      <c r="D171" s="2006"/>
      <c r="E171" s="2004"/>
      <c r="F171" s="2041"/>
      <c r="G171" s="2118"/>
      <c r="H171" s="2106"/>
      <c r="I171" s="2141"/>
      <c r="J171" s="2142"/>
      <c r="K171" s="2104"/>
      <c r="L171" s="2140"/>
      <c r="M171" s="2110"/>
      <c r="N171" s="2111"/>
      <c r="O171" s="2104"/>
      <c r="P171" s="2104"/>
      <c r="Q171" s="2106"/>
      <c r="R171" s="2110"/>
      <c r="S171" s="2111"/>
      <c r="T171" s="2104"/>
      <c r="U171" s="2104"/>
      <c r="V171" s="2106"/>
      <c r="W171" s="2110"/>
      <c r="X171" s="2111"/>
      <c r="Y171" s="2104"/>
      <c r="Z171" s="2104"/>
      <c r="AA171" s="2106"/>
      <c r="AB171" s="2110"/>
      <c r="AC171" s="2111"/>
      <c r="AD171" s="2104"/>
      <c r="AE171" s="2104"/>
      <c r="AF171" s="2106"/>
      <c r="AG171" s="2110"/>
      <c r="AH171" s="2111"/>
      <c r="AI171" s="2104"/>
      <c r="AJ171" s="2104"/>
      <c r="AK171" s="2038"/>
      <c r="AL171" s="2039"/>
      <c r="AM171" s="2039"/>
      <c r="AN171" s="2040"/>
      <c r="AO171" s="2008"/>
      <c r="AP171" s="2009"/>
      <c r="AQ171" s="2009"/>
      <c r="AR171" s="2010"/>
      <c r="AS171" s="651"/>
      <c r="AT171" s="652" t="str">
        <f t="shared" ref="AT171" si="1530">IF(OR(AND(D171&lt;&gt;"",OR(AND(E171&lt;&gt;"",F171&lt;&gt;"",OR(G171&lt;&gt;"",H171&lt;&gt;"")),AND(E171="",F171="バス・カメラマン等"))),AND(D171="",E171="",F171="",OR(G171="",H171=""))),"○","×")</f>
        <v>○</v>
      </c>
      <c r="AU171" s="1983" t="str">
        <f t="shared" ref="AU171" si="1531">IF(AND(E171&lt;&gt;"",E171&lt;=2),"2歳児以下","")</f>
        <v/>
      </c>
      <c r="AV171" s="1983" t="str">
        <f t="shared" ref="AV171" si="1532">IF(OR(AND(3&lt;=E171,E171&lt;=6),COUNTIF(E171, "幼*"),COUNTIF(E171, "年少"),COUNTIF(E171, "年中"),COUNTIF(E171, "年長")),"3歳-学齢前","")</f>
        <v/>
      </c>
      <c r="AW171" s="1983" t="str">
        <f t="shared" ref="AW171" si="1533">IF(OR(AND(6&lt;=E171,E171&lt;=12),COUNTIF(E171, "小*")),"小学生","")</f>
        <v/>
      </c>
      <c r="AX171" s="1983" t="str">
        <f t="shared" ref="AX171" si="1534">IF(OR(AND(12&lt;=E171,E171&lt;=15),COUNTIF(E171, "中*")),"中学生","")</f>
        <v/>
      </c>
      <c r="AY171" s="1983" t="str">
        <f t="shared" ref="AY171" si="1535">IF(OR(AND(15&lt;=E171,E171&lt;=18),COUNTIF(E171, "高*")),"高校生(～18歳)","")</f>
        <v/>
      </c>
      <c r="AZ171" s="1983" t="str">
        <f t="shared" ref="AZ171" si="1536">IF(OR(19&lt;=E171,COUNTIF(E171, "大*"),COUNTIF(E171, "*院*"),COUNTIF(E171, "*専*")),"一般(19歳～)","")</f>
        <v/>
      </c>
      <c r="BA171" s="1983" t="s">
        <v>475</v>
      </c>
      <c r="BB171" s="652" t="str">
        <f t="shared" ref="BB171" si="1537">IF(OR(AND(D171="",I171="",M171="",R171="",W171="",AB171="",AG171=""),AND(D171&lt;&gt;"",OR(I171&lt;&gt;"",M171&lt;&gt;"",R171&lt;&gt;"",W171&lt;&gt;"",AB171&lt;&gt;"",AG171&lt;&gt;""))),"○","×")</f>
        <v>○</v>
      </c>
      <c r="BC171" s="652" t="str">
        <f t="shared" ref="BC171" si="1538">IF(AND(BD171="○",BE171="○",BF171="○",BG171="○",BH171="○",BI171="○"),"○","×")</f>
        <v>○</v>
      </c>
      <c r="BD171" s="653" t="str">
        <f t="shared" ref="BD171" si="1539">IF(AND($I$7=" ",OR(I171&lt;&gt;"",K171&lt;&gt;"",L171&lt;&gt;"")),"×","○")</f>
        <v>○</v>
      </c>
      <c r="BE171" s="653" t="str">
        <f t="shared" ref="BE171" si="1540">IF(AND($M$7=" ",OR(M171&lt;&gt;"",O171&lt;&gt;"",P171&lt;&gt;"",Q171&lt;&gt;"")),"×","○")</f>
        <v>○</v>
      </c>
      <c r="BF171" s="653" t="str">
        <f t="shared" ref="BF171" si="1541">IF(AND($R$7=" ",OR(R171&lt;&gt;"",T171&lt;&gt;"",U171&lt;&gt;"",V171&lt;&gt;"")),"×","○")</f>
        <v>○</v>
      </c>
      <c r="BG171" s="653" t="str">
        <f t="shared" ref="BG171" si="1542">IF(AND($W$7=" ",OR(W171&lt;&gt;"",Y171&lt;&gt;"",Z171&lt;&gt;"",AA171&lt;&gt;"")),"×","○")</f>
        <v>○</v>
      </c>
      <c r="BH171" s="653" t="str">
        <f t="shared" ref="BH171" si="1543">IF(AND($AB$7=" ",OR(AB171&lt;&gt;"",AD171&lt;&gt;"",AE171&lt;&gt;"",AF171&lt;&gt;"")),"×","○")</f>
        <v>○</v>
      </c>
      <c r="BI171" s="653" t="str">
        <f t="shared" ref="BI171" si="1544">IF(AND($AG$7=" ",OR(AG171&lt;&gt;"",AI171&lt;&gt;"",AJ171&lt;&gt;"")),"×","○")</f>
        <v>○</v>
      </c>
      <c r="BJ171" s="2225" t="e">
        <f t="shared" ref="BJ171" si="1545">SUMPRODUCT(1/COUNTIF(I171:AH171,"宿泊"))</f>
        <v>#DIV/0!</v>
      </c>
      <c r="BK171" s="2226" t="e">
        <f t="shared" ref="BK171" si="1546">SUMPRODUCT(1/COUNTIF(I171:AH171,"日帰り"))</f>
        <v>#DIV/0!</v>
      </c>
      <c r="BL171" s="1381">
        <f t="shared" ref="BL171" si="1547">COUNT(BJ171)-COUNT(BK171)</f>
        <v>0</v>
      </c>
      <c r="BM171" s="684"/>
    </row>
    <row r="172" spans="1:65" ht="14.1" customHeight="1" x14ac:dyDescent="0.15">
      <c r="A172" s="652"/>
      <c r="B172" s="2174"/>
      <c r="C172" s="2144"/>
      <c r="D172" s="2007"/>
      <c r="E172" s="2005"/>
      <c r="F172" s="2042"/>
      <c r="G172" s="2119"/>
      <c r="H172" s="2107"/>
      <c r="I172" s="2112"/>
      <c r="J172" s="2113"/>
      <c r="K172" s="2105"/>
      <c r="L172" s="2127"/>
      <c r="M172" s="2112"/>
      <c r="N172" s="2113"/>
      <c r="O172" s="2105"/>
      <c r="P172" s="2105"/>
      <c r="Q172" s="2107"/>
      <c r="R172" s="2112"/>
      <c r="S172" s="2113"/>
      <c r="T172" s="2105"/>
      <c r="U172" s="2105"/>
      <c r="V172" s="2107"/>
      <c r="W172" s="2112"/>
      <c r="X172" s="2113"/>
      <c r="Y172" s="2105"/>
      <c r="Z172" s="2105"/>
      <c r="AA172" s="2107"/>
      <c r="AB172" s="2112"/>
      <c r="AC172" s="2113"/>
      <c r="AD172" s="2105"/>
      <c r="AE172" s="2105"/>
      <c r="AF172" s="2107"/>
      <c r="AG172" s="2112"/>
      <c r="AH172" s="2113"/>
      <c r="AI172" s="2105"/>
      <c r="AJ172" s="2105"/>
      <c r="AK172" s="2011"/>
      <c r="AL172" s="2012"/>
      <c r="AM172" s="2012"/>
      <c r="AN172" s="2013"/>
      <c r="AO172" s="2011"/>
      <c r="AP172" s="2012"/>
      <c r="AQ172" s="2012"/>
      <c r="AR172" s="2013"/>
      <c r="AS172" s="651"/>
      <c r="AT172" s="652"/>
      <c r="AU172" s="1983"/>
      <c r="AV172" s="1983"/>
      <c r="AW172" s="1983"/>
      <c r="AX172" s="1983"/>
      <c r="AY172" s="1983"/>
      <c r="AZ172" s="1983"/>
      <c r="BA172" s="1983"/>
      <c r="BB172" s="654"/>
      <c r="BC172" s="654"/>
      <c r="BD172" s="652"/>
      <c r="BE172" s="652"/>
      <c r="BF172" s="652"/>
      <c r="BG172" s="652"/>
      <c r="BH172" s="652"/>
      <c r="BI172" s="652"/>
      <c r="BJ172" s="2225"/>
      <c r="BK172" s="2226"/>
      <c r="BL172" s="1381"/>
      <c r="BM172" s="684"/>
    </row>
    <row r="173" spans="1:65" ht="14.1" customHeight="1" x14ac:dyDescent="0.15">
      <c r="A173" s="652" t="str">
        <f t="shared" ref="A173" si="1548">IF(AND(D173="",D175&lt;&gt;""),"×","○")</f>
        <v>○</v>
      </c>
      <c r="B173" s="2174" t="str">
        <f t="shared" ref="B173" si="1549">IF(AND(AT173="○",BB173="○",BC173="○",A173="○"),"○","×")</f>
        <v>○</v>
      </c>
      <c r="C173" s="2145">
        <v>80</v>
      </c>
      <c r="D173" s="2006"/>
      <c r="E173" s="2004"/>
      <c r="F173" s="2041"/>
      <c r="G173" s="2118"/>
      <c r="H173" s="2106"/>
      <c r="I173" s="2141"/>
      <c r="J173" s="2142"/>
      <c r="K173" s="2104"/>
      <c r="L173" s="2140"/>
      <c r="M173" s="2110"/>
      <c r="N173" s="2111"/>
      <c r="O173" s="2104"/>
      <c r="P173" s="2104"/>
      <c r="Q173" s="2106"/>
      <c r="R173" s="2110"/>
      <c r="S173" s="2111"/>
      <c r="T173" s="2104"/>
      <c r="U173" s="2104"/>
      <c r="V173" s="2106"/>
      <c r="W173" s="2110"/>
      <c r="X173" s="2111"/>
      <c r="Y173" s="2104"/>
      <c r="Z173" s="2104"/>
      <c r="AA173" s="2106"/>
      <c r="AB173" s="2110"/>
      <c r="AC173" s="2111"/>
      <c r="AD173" s="2104"/>
      <c r="AE173" s="2104"/>
      <c r="AF173" s="2106"/>
      <c r="AG173" s="2110"/>
      <c r="AH173" s="2111"/>
      <c r="AI173" s="2104"/>
      <c r="AJ173" s="2104"/>
      <c r="AK173" s="2038"/>
      <c r="AL173" s="2039"/>
      <c r="AM173" s="2039"/>
      <c r="AN173" s="2040"/>
      <c r="AO173" s="2008"/>
      <c r="AP173" s="2009"/>
      <c r="AQ173" s="2009"/>
      <c r="AR173" s="2010"/>
      <c r="AS173" s="651"/>
      <c r="AT173" s="652" t="str">
        <f t="shared" ref="AT173" si="1550">IF(OR(AND(D173&lt;&gt;"",OR(AND(E173&lt;&gt;"",F173&lt;&gt;"",OR(G173&lt;&gt;"",H173&lt;&gt;"")),AND(E173="",F173="バス・カメラマン等"))),AND(D173="",E173="",F173="",OR(G173="",H173=""))),"○","×")</f>
        <v>○</v>
      </c>
      <c r="AU173" s="1983" t="str">
        <f t="shared" ref="AU173" si="1551">IF(AND(E173&lt;&gt;"",E173&lt;=2),"2歳児以下","")</f>
        <v/>
      </c>
      <c r="AV173" s="1983" t="str">
        <f t="shared" ref="AV173" si="1552">IF(OR(AND(3&lt;=E173,E173&lt;=6),COUNTIF(E173, "幼*"),COUNTIF(E173, "年少"),COUNTIF(E173, "年中"),COUNTIF(E173, "年長")),"3歳-学齢前","")</f>
        <v/>
      </c>
      <c r="AW173" s="1983" t="str">
        <f t="shared" ref="AW173" si="1553">IF(OR(AND(6&lt;=E173,E173&lt;=12),COUNTIF(E173, "小*")),"小学生","")</f>
        <v/>
      </c>
      <c r="AX173" s="1983" t="str">
        <f t="shared" ref="AX173" si="1554">IF(OR(AND(12&lt;=E173,E173&lt;=15),COUNTIF(E173, "中*")),"中学生","")</f>
        <v/>
      </c>
      <c r="AY173" s="1983" t="str">
        <f t="shared" ref="AY173" si="1555">IF(OR(AND(15&lt;=E173,E173&lt;=18),COUNTIF(E173, "高*")),"高校生(～18歳)","")</f>
        <v/>
      </c>
      <c r="AZ173" s="1983" t="str">
        <f t="shared" ref="AZ173" si="1556">IF(OR(19&lt;=E173,COUNTIF(E173, "大*"),COUNTIF(E173, "*院*"),COUNTIF(E173, "*専*")),"一般(19歳～)","")</f>
        <v/>
      </c>
      <c r="BA173" s="1983" t="s">
        <v>475</v>
      </c>
      <c r="BB173" s="652" t="str">
        <f t="shared" ref="BB173" si="1557">IF(OR(AND(D173="",I173="",M173="",R173="",W173="",AB173="",AG173=""),AND(D173&lt;&gt;"",OR(I173&lt;&gt;"",M173&lt;&gt;"",R173&lt;&gt;"",W173&lt;&gt;"",AB173&lt;&gt;"",AG173&lt;&gt;""))),"○","×")</f>
        <v>○</v>
      </c>
      <c r="BC173" s="652" t="str">
        <f t="shared" ref="BC173" si="1558">IF(AND(BD173="○",BE173="○",BF173="○",BG173="○",BH173="○",BI173="○"),"○","×")</f>
        <v>○</v>
      </c>
      <c r="BD173" s="653" t="str">
        <f t="shared" ref="BD173" si="1559">IF(AND($I$7=" ",OR(I173&lt;&gt;"",K173&lt;&gt;"",L173&lt;&gt;"")),"×","○")</f>
        <v>○</v>
      </c>
      <c r="BE173" s="653" t="str">
        <f t="shared" ref="BE173" si="1560">IF(AND($M$7=" ",OR(M173&lt;&gt;"",O173&lt;&gt;"",P173&lt;&gt;"",Q173&lt;&gt;"")),"×","○")</f>
        <v>○</v>
      </c>
      <c r="BF173" s="653" t="str">
        <f t="shared" ref="BF173" si="1561">IF(AND($R$7=" ",OR(R173&lt;&gt;"",T173&lt;&gt;"",U173&lt;&gt;"",V173&lt;&gt;"")),"×","○")</f>
        <v>○</v>
      </c>
      <c r="BG173" s="653" t="str">
        <f t="shared" ref="BG173" si="1562">IF(AND($W$7=" ",OR(W173&lt;&gt;"",Y173&lt;&gt;"",Z173&lt;&gt;"",AA173&lt;&gt;"")),"×","○")</f>
        <v>○</v>
      </c>
      <c r="BH173" s="653" t="str">
        <f t="shared" ref="BH173" si="1563">IF(AND($AB$7=" ",OR(AB173&lt;&gt;"",AD173&lt;&gt;"",AE173&lt;&gt;"",AF173&lt;&gt;"")),"×","○")</f>
        <v>○</v>
      </c>
      <c r="BI173" s="653" t="str">
        <f t="shared" ref="BI173" si="1564">IF(AND($AG$7=" ",OR(AG173&lt;&gt;"",AI173&lt;&gt;"",AJ173&lt;&gt;"")),"×","○")</f>
        <v>○</v>
      </c>
      <c r="BJ173" s="2225" t="e">
        <f t="shared" ref="BJ173" si="1565">SUMPRODUCT(1/COUNTIF(I173:AH173,"宿泊"))</f>
        <v>#DIV/0!</v>
      </c>
      <c r="BK173" s="2226" t="e">
        <f t="shared" ref="BK173" si="1566">SUMPRODUCT(1/COUNTIF(I173:AH173,"日帰り"))</f>
        <v>#DIV/0!</v>
      </c>
      <c r="BL173" s="1381">
        <f t="shared" ref="BL173" si="1567">COUNT(BJ173)-COUNT(BK173)</f>
        <v>0</v>
      </c>
      <c r="BM173" s="684"/>
    </row>
    <row r="174" spans="1:65" ht="14.1" customHeight="1" x14ac:dyDescent="0.15">
      <c r="A174" s="652"/>
      <c r="B174" s="2174"/>
      <c r="C174" s="2144"/>
      <c r="D174" s="2007"/>
      <c r="E174" s="2005"/>
      <c r="F174" s="2042"/>
      <c r="G174" s="2119"/>
      <c r="H174" s="2107"/>
      <c r="I174" s="2112"/>
      <c r="J174" s="2113"/>
      <c r="K174" s="2105"/>
      <c r="L174" s="2127"/>
      <c r="M174" s="2112"/>
      <c r="N174" s="2113"/>
      <c r="O174" s="2105"/>
      <c r="P174" s="2105"/>
      <c r="Q174" s="2107"/>
      <c r="R174" s="2112"/>
      <c r="S174" s="2113"/>
      <c r="T174" s="2105"/>
      <c r="U174" s="2105"/>
      <c r="V174" s="2107"/>
      <c r="W174" s="2112"/>
      <c r="X174" s="2113"/>
      <c r="Y174" s="2105"/>
      <c r="Z174" s="2105"/>
      <c r="AA174" s="2107"/>
      <c r="AB174" s="2112"/>
      <c r="AC174" s="2113"/>
      <c r="AD174" s="2105"/>
      <c r="AE174" s="2105"/>
      <c r="AF174" s="2107"/>
      <c r="AG174" s="2112"/>
      <c r="AH174" s="2113"/>
      <c r="AI174" s="2105"/>
      <c r="AJ174" s="2105"/>
      <c r="AK174" s="2011"/>
      <c r="AL174" s="2012"/>
      <c r="AM174" s="2012"/>
      <c r="AN174" s="2013"/>
      <c r="AO174" s="2011"/>
      <c r="AP174" s="2012"/>
      <c r="AQ174" s="2012"/>
      <c r="AR174" s="2013"/>
      <c r="AS174" s="651"/>
      <c r="AT174" s="652"/>
      <c r="AU174" s="1983"/>
      <c r="AV174" s="1983"/>
      <c r="AW174" s="1983"/>
      <c r="AX174" s="1983"/>
      <c r="AY174" s="1983"/>
      <c r="AZ174" s="1983"/>
      <c r="BA174" s="1983"/>
      <c r="BB174" s="654"/>
      <c r="BC174" s="654"/>
      <c r="BD174" s="652"/>
      <c r="BE174" s="652"/>
      <c r="BF174" s="652"/>
      <c r="BG174" s="652"/>
      <c r="BH174" s="652"/>
      <c r="BI174" s="652"/>
      <c r="BJ174" s="2225"/>
      <c r="BK174" s="2226"/>
      <c r="BL174" s="1381"/>
      <c r="BM174" s="684"/>
    </row>
    <row r="175" spans="1:65" ht="14.1" customHeight="1" x14ac:dyDescent="0.15">
      <c r="A175" s="652" t="str">
        <f t="shared" ref="A175" si="1568">IF(AND(D175="",D177&lt;&gt;""),"×","○")</f>
        <v>○</v>
      </c>
      <c r="B175" s="2174" t="str">
        <f t="shared" ref="B175" si="1569">IF(AND(AT175="○",BB175="○",BC175="○",A175="○"),"○","×")</f>
        <v>○</v>
      </c>
      <c r="C175" s="2143">
        <v>81</v>
      </c>
      <c r="D175" s="2006"/>
      <c r="E175" s="2004"/>
      <c r="F175" s="2041"/>
      <c r="G175" s="2123"/>
      <c r="H175" s="2109"/>
      <c r="I175" s="2141"/>
      <c r="J175" s="2142"/>
      <c r="K175" s="2104"/>
      <c r="L175" s="2140"/>
      <c r="M175" s="2110"/>
      <c r="N175" s="2111"/>
      <c r="O175" s="2108"/>
      <c r="P175" s="2108"/>
      <c r="Q175" s="2109"/>
      <c r="R175" s="2110"/>
      <c r="S175" s="2111"/>
      <c r="T175" s="2108"/>
      <c r="U175" s="2108"/>
      <c r="V175" s="2109"/>
      <c r="W175" s="2110"/>
      <c r="X175" s="2111"/>
      <c r="Y175" s="2108"/>
      <c r="Z175" s="2108"/>
      <c r="AA175" s="2109"/>
      <c r="AB175" s="2110"/>
      <c r="AC175" s="2111"/>
      <c r="AD175" s="2108"/>
      <c r="AE175" s="2108"/>
      <c r="AF175" s="2109"/>
      <c r="AG175" s="2110"/>
      <c r="AH175" s="2111"/>
      <c r="AI175" s="2108"/>
      <c r="AJ175" s="2108"/>
      <c r="AK175" s="2038"/>
      <c r="AL175" s="2039"/>
      <c r="AM175" s="2039"/>
      <c r="AN175" s="2040"/>
      <c r="AO175" s="2008"/>
      <c r="AP175" s="2009"/>
      <c r="AQ175" s="2009"/>
      <c r="AR175" s="2010"/>
      <c r="AS175" s="651"/>
      <c r="AT175" s="652" t="str">
        <f t="shared" ref="AT175" si="1570">IF(OR(AND(D175&lt;&gt;"",OR(AND(E175&lt;&gt;"",F175&lt;&gt;"",OR(G175&lt;&gt;"",H175&lt;&gt;"")),AND(E175="",F175="バス・カメラマン等"))),AND(D175="",E175="",F175="",OR(G175="",H175=""))),"○","×")</f>
        <v>○</v>
      </c>
      <c r="AU175" s="1983" t="str">
        <f t="shared" ref="AU175" si="1571">IF(AND(E175&lt;&gt;"",E175&lt;=2),"2歳児以下","")</f>
        <v/>
      </c>
      <c r="AV175" s="1983" t="str">
        <f t="shared" ref="AV175" si="1572">IF(OR(AND(3&lt;=E175,E175&lt;=6),COUNTIF(E175, "幼*"),COUNTIF(E175, "年少"),COUNTIF(E175, "年中"),COUNTIF(E175, "年長")),"3歳-学齢前","")</f>
        <v/>
      </c>
      <c r="AW175" s="1983" t="str">
        <f t="shared" ref="AW175" si="1573">IF(OR(AND(6&lt;=E175,E175&lt;=12),COUNTIF(E175, "小*")),"小学生","")</f>
        <v/>
      </c>
      <c r="AX175" s="1983" t="str">
        <f t="shared" ref="AX175" si="1574">IF(OR(AND(12&lt;=E175,E175&lt;=15),COUNTIF(E175, "中*")),"中学生","")</f>
        <v/>
      </c>
      <c r="AY175" s="1983" t="str">
        <f t="shared" ref="AY175" si="1575">IF(OR(AND(15&lt;=E175,E175&lt;=18),COUNTIF(E175, "高*")),"高校生(～18歳)","")</f>
        <v/>
      </c>
      <c r="AZ175" s="1983" t="str">
        <f t="shared" ref="AZ175" si="1576">IF(OR(19&lt;=E175,COUNTIF(E175, "大*"),COUNTIF(E175, "*院*"),COUNTIF(E175, "*専*")),"一般(19歳～)","")</f>
        <v/>
      </c>
      <c r="BA175" s="1983" t="s">
        <v>475</v>
      </c>
      <c r="BB175" s="652" t="str">
        <f t="shared" ref="BB175" si="1577">IF(OR(AND(D175="",I175="",M175="",R175="",W175="",AB175="",AG175=""),AND(D175&lt;&gt;"",OR(I175&lt;&gt;"",M175&lt;&gt;"",R175&lt;&gt;"",W175&lt;&gt;"",AB175&lt;&gt;"",AG175&lt;&gt;""))),"○","×")</f>
        <v>○</v>
      </c>
      <c r="BC175" s="652" t="str">
        <f t="shared" ref="BC175" si="1578">IF(AND(BD175="○",BE175="○",BF175="○",BG175="○",BH175="○",BI175="○"),"○","×")</f>
        <v>○</v>
      </c>
      <c r="BD175" s="653" t="str">
        <f t="shared" ref="BD175" si="1579">IF(AND($I$7=" ",OR(I175&lt;&gt;"",K175&lt;&gt;"",L175&lt;&gt;"")),"×","○")</f>
        <v>○</v>
      </c>
      <c r="BE175" s="653" t="str">
        <f t="shared" ref="BE175" si="1580">IF(AND($M$7=" ",OR(M175&lt;&gt;"",O175&lt;&gt;"",P175&lt;&gt;"",Q175&lt;&gt;"")),"×","○")</f>
        <v>○</v>
      </c>
      <c r="BF175" s="653" t="str">
        <f t="shared" ref="BF175" si="1581">IF(AND($R$7=" ",OR(R175&lt;&gt;"",T175&lt;&gt;"",U175&lt;&gt;"",V175&lt;&gt;"")),"×","○")</f>
        <v>○</v>
      </c>
      <c r="BG175" s="653" t="str">
        <f t="shared" ref="BG175" si="1582">IF(AND($W$7=" ",OR(W175&lt;&gt;"",Y175&lt;&gt;"",Z175&lt;&gt;"",AA175&lt;&gt;"")),"×","○")</f>
        <v>○</v>
      </c>
      <c r="BH175" s="653" t="str">
        <f t="shared" ref="BH175" si="1583">IF(AND($AB$7=" ",OR(AB175&lt;&gt;"",AD175&lt;&gt;"",AE175&lt;&gt;"",AF175&lt;&gt;"")),"×","○")</f>
        <v>○</v>
      </c>
      <c r="BI175" s="653" t="str">
        <f t="shared" ref="BI175" si="1584">IF(AND($AG$7=" ",OR(AG175&lt;&gt;"",AI175&lt;&gt;"",AJ175&lt;&gt;"")),"×","○")</f>
        <v>○</v>
      </c>
      <c r="BJ175" s="2225" t="e">
        <f t="shared" ref="BJ175" si="1585">SUMPRODUCT(1/COUNTIF(I175:AH175,"宿泊"))</f>
        <v>#DIV/0!</v>
      </c>
      <c r="BK175" s="2226" t="e">
        <f t="shared" ref="BK175" si="1586">SUMPRODUCT(1/COUNTIF(I175:AH175,"日帰り"))</f>
        <v>#DIV/0!</v>
      </c>
      <c r="BL175" s="1381">
        <f t="shared" ref="BL175" si="1587">COUNT(BJ175)-COUNT(BK175)</f>
        <v>0</v>
      </c>
      <c r="BM175" s="684"/>
    </row>
    <row r="176" spans="1:65" ht="14.1" customHeight="1" x14ac:dyDescent="0.15">
      <c r="A176" s="652"/>
      <c r="B176" s="2174"/>
      <c r="C176" s="2144"/>
      <c r="D176" s="2007"/>
      <c r="E176" s="2005"/>
      <c r="F176" s="2042"/>
      <c r="G176" s="2119"/>
      <c r="H176" s="2107"/>
      <c r="I176" s="2112"/>
      <c r="J176" s="2113"/>
      <c r="K176" s="2105"/>
      <c r="L176" s="2127"/>
      <c r="M176" s="2112"/>
      <c r="N176" s="2113"/>
      <c r="O176" s="2105"/>
      <c r="P176" s="2105"/>
      <c r="Q176" s="2107"/>
      <c r="R176" s="2112"/>
      <c r="S176" s="2113"/>
      <c r="T176" s="2105"/>
      <c r="U176" s="2105"/>
      <c r="V176" s="2107"/>
      <c r="W176" s="2112"/>
      <c r="X176" s="2113"/>
      <c r="Y176" s="2105"/>
      <c r="Z176" s="2105"/>
      <c r="AA176" s="2107"/>
      <c r="AB176" s="2112"/>
      <c r="AC176" s="2113"/>
      <c r="AD176" s="2105"/>
      <c r="AE176" s="2105"/>
      <c r="AF176" s="2107"/>
      <c r="AG176" s="2112"/>
      <c r="AH176" s="2113"/>
      <c r="AI176" s="2105"/>
      <c r="AJ176" s="2105"/>
      <c r="AK176" s="2011"/>
      <c r="AL176" s="2012"/>
      <c r="AM176" s="2012"/>
      <c r="AN176" s="2013"/>
      <c r="AO176" s="2011"/>
      <c r="AP176" s="2012"/>
      <c r="AQ176" s="2012"/>
      <c r="AR176" s="2013"/>
      <c r="AS176" s="651"/>
      <c r="AT176" s="652"/>
      <c r="AU176" s="1983"/>
      <c r="AV176" s="1983"/>
      <c r="AW176" s="1983"/>
      <c r="AX176" s="1983"/>
      <c r="AY176" s="1983"/>
      <c r="AZ176" s="1983"/>
      <c r="BA176" s="1983"/>
      <c r="BB176" s="654"/>
      <c r="BC176" s="654"/>
      <c r="BD176" s="652"/>
      <c r="BE176" s="652"/>
      <c r="BF176" s="652"/>
      <c r="BG176" s="652"/>
      <c r="BH176" s="652"/>
      <c r="BI176" s="652"/>
      <c r="BJ176" s="2225"/>
      <c r="BK176" s="2226"/>
      <c r="BL176" s="1381"/>
      <c r="BM176" s="684"/>
    </row>
    <row r="177" spans="1:65" ht="14.1" customHeight="1" x14ac:dyDescent="0.15">
      <c r="A177" s="652" t="str">
        <f t="shared" ref="A177" si="1588">IF(AND(D177="",D179&lt;&gt;""),"×","○")</f>
        <v>○</v>
      </c>
      <c r="B177" s="2174" t="str">
        <f t="shared" ref="B177" si="1589">IF(AND(AT177="○",BB177="○",BC177="○",A177="○"),"○","×")</f>
        <v>○</v>
      </c>
      <c r="C177" s="2143">
        <v>82</v>
      </c>
      <c r="D177" s="2006"/>
      <c r="E177" s="2004"/>
      <c r="F177" s="2041"/>
      <c r="G177" s="2123"/>
      <c r="H177" s="2109"/>
      <c r="I177" s="2141"/>
      <c r="J177" s="2142"/>
      <c r="K177" s="2104"/>
      <c r="L177" s="2140"/>
      <c r="M177" s="2110"/>
      <c r="N177" s="2111"/>
      <c r="O177" s="2108"/>
      <c r="P177" s="2108"/>
      <c r="Q177" s="2109"/>
      <c r="R177" s="2110"/>
      <c r="S177" s="2111"/>
      <c r="T177" s="2108"/>
      <c r="U177" s="2108"/>
      <c r="V177" s="2109"/>
      <c r="W177" s="2110"/>
      <c r="X177" s="2111"/>
      <c r="Y177" s="2108"/>
      <c r="Z177" s="2108"/>
      <c r="AA177" s="2109"/>
      <c r="AB177" s="2110"/>
      <c r="AC177" s="2111"/>
      <c r="AD177" s="2108"/>
      <c r="AE177" s="2108"/>
      <c r="AF177" s="2109"/>
      <c r="AG177" s="2110"/>
      <c r="AH177" s="2111"/>
      <c r="AI177" s="2108"/>
      <c r="AJ177" s="2108"/>
      <c r="AK177" s="2038"/>
      <c r="AL177" s="2039"/>
      <c r="AM177" s="2039"/>
      <c r="AN177" s="2040"/>
      <c r="AO177" s="2008"/>
      <c r="AP177" s="2009"/>
      <c r="AQ177" s="2009"/>
      <c r="AR177" s="2010"/>
      <c r="AS177" s="651"/>
      <c r="AT177" s="652" t="str">
        <f t="shared" ref="AT177" si="1590">IF(OR(AND(D177&lt;&gt;"",OR(AND(E177&lt;&gt;"",F177&lt;&gt;"",OR(G177&lt;&gt;"",H177&lt;&gt;"")),AND(E177="",F177="バス・カメラマン等"))),AND(D177="",E177="",F177="",OR(G177="",H177=""))),"○","×")</f>
        <v>○</v>
      </c>
      <c r="AU177" s="1983" t="str">
        <f t="shared" ref="AU177" si="1591">IF(AND(E177&lt;&gt;"",E177&lt;=2),"2歳児以下","")</f>
        <v/>
      </c>
      <c r="AV177" s="1983" t="str">
        <f t="shared" ref="AV177" si="1592">IF(OR(AND(3&lt;=E177,E177&lt;=6),COUNTIF(E177, "幼*"),COUNTIF(E177, "年少"),COUNTIF(E177, "年中"),COUNTIF(E177, "年長")),"3歳-学齢前","")</f>
        <v/>
      </c>
      <c r="AW177" s="1983" t="str">
        <f t="shared" ref="AW177" si="1593">IF(OR(AND(6&lt;=E177,E177&lt;=12),COUNTIF(E177, "小*")),"小学生","")</f>
        <v/>
      </c>
      <c r="AX177" s="1983" t="str">
        <f t="shared" ref="AX177" si="1594">IF(OR(AND(12&lt;=E177,E177&lt;=15),COUNTIF(E177, "中*")),"中学生","")</f>
        <v/>
      </c>
      <c r="AY177" s="1983" t="str">
        <f t="shared" ref="AY177" si="1595">IF(OR(AND(15&lt;=E177,E177&lt;=18),COUNTIF(E177, "高*")),"高校生(～18歳)","")</f>
        <v/>
      </c>
      <c r="AZ177" s="1983" t="str">
        <f t="shared" ref="AZ177" si="1596">IF(OR(19&lt;=E177,COUNTIF(E177, "大*"),COUNTIF(E177, "*院*"),COUNTIF(E177, "*専*")),"一般(19歳～)","")</f>
        <v/>
      </c>
      <c r="BA177" s="1983" t="s">
        <v>475</v>
      </c>
      <c r="BB177" s="652" t="str">
        <f t="shared" ref="BB177" si="1597">IF(OR(AND(D177="",I177="",M177="",R177="",W177="",AB177="",AG177=""),AND(D177&lt;&gt;"",OR(I177&lt;&gt;"",M177&lt;&gt;"",R177&lt;&gt;"",W177&lt;&gt;"",AB177&lt;&gt;"",AG177&lt;&gt;""))),"○","×")</f>
        <v>○</v>
      </c>
      <c r="BC177" s="652" t="str">
        <f t="shared" ref="BC177" si="1598">IF(AND(BD177="○",BE177="○",BF177="○",BG177="○",BH177="○",BI177="○"),"○","×")</f>
        <v>○</v>
      </c>
      <c r="BD177" s="653" t="str">
        <f t="shared" ref="BD177" si="1599">IF(AND($I$7=" ",OR(I177&lt;&gt;"",K177&lt;&gt;"",L177&lt;&gt;"")),"×","○")</f>
        <v>○</v>
      </c>
      <c r="BE177" s="653" t="str">
        <f t="shared" ref="BE177" si="1600">IF(AND($M$7=" ",OR(M177&lt;&gt;"",O177&lt;&gt;"",P177&lt;&gt;"",Q177&lt;&gt;"")),"×","○")</f>
        <v>○</v>
      </c>
      <c r="BF177" s="653" t="str">
        <f t="shared" ref="BF177" si="1601">IF(AND($R$7=" ",OR(R177&lt;&gt;"",T177&lt;&gt;"",U177&lt;&gt;"",V177&lt;&gt;"")),"×","○")</f>
        <v>○</v>
      </c>
      <c r="BG177" s="653" t="str">
        <f t="shared" ref="BG177" si="1602">IF(AND($W$7=" ",OR(W177&lt;&gt;"",Y177&lt;&gt;"",Z177&lt;&gt;"",AA177&lt;&gt;"")),"×","○")</f>
        <v>○</v>
      </c>
      <c r="BH177" s="653" t="str">
        <f t="shared" ref="BH177" si="1603">IF(AND($AB$7=" ",OR(AB177&lt;&gt;"",AD177&lt;&gt;"",AE177&lt;&gt;"",AF177&lt;&gt;"")),"×","○")</f>
        <v>○</v>
      </c>
      <c r="BI177" s="653" t="str">
        <f t="shared" ref="BI177" si="1604">IF(AND($AG$7=" ",OR(AG177&lt;&gt;"",AI177&lt;&gt;"",AJ177&lt;&gt;"")),"×","○")</f>
        <v>○</v>
      </c>
      <c r="BJ177" s="2225" t="e">
        <f t="shared" ref="BJ177" si="1605">SUMPRODUCT(1/COUNTIF(I177:AH177,"宿泊"))</f>
        <v>#DIV/0!</v>
      </c>
      <c r="BK177" s="2226" t="e">
        <f t="shared" ref="BK177" si="1606">SUMPRODUCT(1/COUNTIF(I177:AH177,"日帰り"))</f>
        <v>#DIV/0!</v>
      </c>
      <c r="BL177" s="1381">
        <f t="shared" ref="BL177" si="1607">COUNT(BJ177)-COUNT(BK177)</f>
        <v>0</v>
      </c>
      <c r="BM177" s="684"/>
    </row>
    <row r="178" spans="1:65" ht="14.1" customHeight="1" x14ac:dyDescent="0.15">
      <c r="A178" s="652"/>
      <c r="B178" s="2174"/>
      <c r="C178" s="2144"/>
      <c r="D178" s="2007"/>
      <c r="E178" s="2005"/>
      <c r="F178" s="2042"/>
      <c r="G178" s="2119"/>
      <c r="H178" s="2107"/>
      <c r="I178" s="2112"/>
      <c r="J178" s="2113"/>
      <c r="K178" s="2105"/>
      <c r="L178" s="2127"/>
      <c r="M178" s="2112"/>
      <c r="N178" s="2113"/>
      <c r="O178" s="2105"/>
      <c r="P178" s="2105"/>
      <c r="Q178" s="2107"/>
      <c r="R178" s="2112"/>
      <c r="S178" s="2113"/>
      <c r="T178" s="2105"/>
      <c r="U178" s="2105"/>
      <c r="V178" s="2107"/>
      <c r="W178" s="2112"/>
      <c r="X178" s="2113"/>
      <c r="Y178" s="2105"/>
      <c r="Z178" s="2105"/>
      <c r="AA178" s="2107"/>
      <c r="AB178" s="2112"/>
      <c r="AC178" s="2113"/>
      <c r="AD178" s="2105"/>
      <c r="AE178" s="2105"/>
      <c r="AF178" s="2107"/>
      <c r="AG178" s="2112"/>
      <c r="AH178" s="2113"/>
      <c r="AI178" s="2105"/>
      <c r="AJ178" s="2105"/>
      <c r="AK178" s="2011"/>
      <c r="AL178" s="2012"/>
      <c r="AM178" s="2012"/>
      <c r="AN178" s="2013"/>
      <c r="AO178" s="2011"/>
      <c r="AP178" s="2012"/>
      <c r="AQ178" s="2012"/>
      <c r="AR178" s="2013"/>
      <c r="AS178" s="651"/>
      <c r="AT178" s="652"/>
      <c r="AU178" s="1983"/>
      <c r="AV178" s="1983"/>
      <c r="AW178" s="1983"/>
      <c r="AX178" s="1983"/>
      <c r="AY178" s="1983"/>
      <c r="AZ178" s="1983"/>
      <c r="BA178" s="1983"/>
      <c r="BB178" s="654"/>
      <c r="BC178" s="654"/>
      <c r="BD178" s="652"/>
      <c r="BE178" s="652"/>
      <c r="BF178" s="652"/>
      <c r="BG178" s="652"/>
      <c r="BH178" s="652"/>
      <c r="BI178" s="652"/>
      <c r="BJ178" s="2225"/>
      <c r="BK178" s="2226"/>
      <c r="BL178" s="1381"/>
      <c r="BM178" s="684"/>
    </row>
    <row r="179" spans="1:65" ht="14.1" customHeight="1" x14ac:dyDescent="0.15">
      <c r="A179" s="652" t="str">
        <f t="shared" ref="A179" si="1608">IF(AND(D179="",D181&lt;&gt;""),"×","○")</f>
        <v>○</v>
      </c>
      <c r="B179" s="2174" t="str">
        <f t="shared" ref="B179" si="1609">IF(AND(AT179="○",BB179="○",BC179="○",A179="○"),"○","×")</f>
        <v>○</v>
      </c>
      <c r="C179" s="2143">
        <v>83</v>
      </c>
      <c r="D179" s="2006"/>
      <c r="E179" s="2004"/>
      <c r="F179" s="2041"/>
      <c r="G179" s="2123"/>
      <c r="H179" s="2109"/>
      <c r="I179" s="2141"/>
      <c r="J179" s="2142"/>
      <c r="K179" s="2104"/>
      <c r="L179" s="2140"/>
      <c r="M179" s="2110"/>
      <c r="N179" s="2111"/>
      <c r="O179" s="2108"/>
      <c r="P179" s="2108"/>
      <c r="Q179" s="2109"/>
      <c r="R179" s="2110"/>
      <c r="S179" s="2111"/>
      <c r="T179" s="2108"/>
      <c r="U179" s="2108"/>
      <c r="V179" s="2109"/>
      <c r="W179" s="2110"/>
      <c r="X179" s="2111"/>
      <c r="Y179" s="2108"/>
      <c r="Z179" s="2108"/>
      <c r="AA179" s="2109"/>
      <c r="AB179" s="2110"/>
      <c r="AC179" s="2111"/>
      <c r="AD179" s="2108"/>
      <c r="AE179" s="2108"/>
      <c r="AF179" s="2109"/>
      <c r="AG179" s="2110"/>
      <c r="AH179" s="2111"/>
      <c r="AI179" s="2108"/>
      <c r="AJ179" s="2108"/>
      <c r="AK179" s="2038"/>
      <c r="AL179" s="2039"/>
      <c r="AM179" s="2039"/>
      <c r="AN179" s="2040"/>
      <c r="AO179" s="2008"/>
      <c r="AP179" s="2009"/>
      <c r="AQ179" s="2009"/>
      <c r="AR179" s="2010"/>
      <c r="AS179" s="651"/>
      <c r="AT179" s="652" t="str">
        <f t="shared" ref="AT179" si="1610">IF(OR(AND(D179&lt;&gt;"",OR(AND(E179&lt;&gt;"",F179&lt;&gt;"",OR(G179&lt;&gt;"",H179&lt;&gt;"")),AND(E179="",F179="バス・カメラマン等"))),AND(D179="",E179="",F179="",OR(G179="",H179=""))),"○","×")</f>
        <v>○</v>
      </c>
      <c r="AU179" s="1983" t="str">
        <f t="shared" ref="AU179" si="1611">IF(AND(E179&lt;&gt;"",E179&lt;=2),"2歳児以下","")</f>
        <v/>
      </c>
      <c r="AV179" s="1983" t="str">
        <f t="shared" ref="AV179" si="1612">IF(OR(AND(3&lt;=E179,E179&lt;=6),COUNTIF(E179, "幼*"),COUNTIF(E179, "年少"),COUNTIF(E179, "年中"),COUNTIF(E179, "年長")),"3歳-学齢前","")</f>
        <v/>
      </c>
      <c r="AW179" s="1983" t="str">
        <f t="shared" ref="AW179" si="1613">IF(OR(AND(6&lt;=E179,E179&lt;=12),COUNTIF(E179, "小*")),"小学生","")</f>
        <v/>
      </c>
      <c r="AX179" s="1983" t="str">
        <f t="shared" ref="AX179" si="1614">IF(OR(AND(12&lt;=E179,E179&lt;=15),COUNTIF(E179, "中*")),"中学生","")</f>
        <v/>
      </c>
      <c r="AY179" s="1983" t="str">
        <f t="shared" ref="AY179" si="1615">IF(OR(AND(15&lt;=E179,E179&lt;=18),COUNTIF(E179, "高*")),"高校生(～18歳)","")</f>
        <v/>
      </c>
      <c r="AZ179" s="1983" t="str">
        <f t="shared" ref="AZ179" si="1616">IF(OR(19&lt;=E179,COUNTIF(E179, "大*"),COUNTIF(E179, "*院*"),COUNTIF(E179, "*専*")),"一般(19歳～)","")</f>
        <v/>
      </c>
      <c r="BA179" s="1983" t="s">
        <v>475</v>
      </c>
      <c r="BB179" s="652" t="str">
        <f t="shared" ref="BB179" si="1617">IF(OR(AND(D179="",I179="",M179="",R179="",W179="",AB179="",AG179=""),AND(D179&lt;&gt;"",OR(I179&lt;&gt;"",M179&lt;&gt;"",R179&lt;&gt;"",W179&lt;&gt;"",AB179&lt;&gt;"",AG179&lt;&gt;""))),"○","×")</f>
        <v>○</v>
      </c>
      <c r="BC179" s="652" t="str">
        <f t="shared" ref="BC179" si="1618">IF(AND(BD179="○",BE179="○",BF179="○",BG179="○",BH179="○",BI179="○"),"○","×")</f>
        <v>○</v>
      </c>
      <c r="BD179" s="653" t="str">
        <f t="shared" ref="BD179" si="1619">IF(AND($I$7=" ",OR(I179&lt;&gt;"",K179&lt;&gt;"",L179&lt;&gt;"")),"×","○")</f>
        <v>○</v>
      </c>
      <c r="BE179" s="653" t="str">
        <f t="shared" ref="BE179" si="1620">IF(AND($M$7=" ",OR(M179&lt;&gt;"",O179&lt;&gt;"",P179&lt;&gt;"",Q179&lt;&gt;"")),"×","○")</f>
        <v>○</v>
      </c>
      <c r="BF179" s="653" t="str">
        <f t="shared" ref="BF179" si="1621">IF(AND($R$7=" ",OR(R179&lt;&gt;"",T179&lt;&gt;"",U179&lt;&gt;"",V179&lt;&gt;"")),"×","○")</f>
        <v>○</v>
      </c>
      <c r="BG179" s="653" t="str">
        <f t="shared" ref="BG179" si="1622">IF(AND($W$7=" ",OR(W179&lt;&gt;"",Y179&lt;&gt;"",Z179&lt;&gt;"",AA179&lt;&gt;"")),"×","○")</f>
        <v>○</v>
      </c>
      <c r="BH179" s="653" t="str">
        <f t="shared" ref="BH179" si="1623">IF(AND($AB$7=" ",OR(AB179&lt;&gt;"",AD179&lt;&gt;"",AE179&lt;&gt;"",AF179&lt;&gt;"")),"×","○")</f>
        <v>○</v>
      </c>
      <c r="BI179" s="653" t="str">
        <f t="shared" ref="BI179" si="1624">IF(AND($AG$7=" ",OR(AG179&lt;&gt;"",AI179&lt;&gt;"",AJ179&lt;&gt;"")),"×","○")</f>
        <v>○</v>
      </c>
      <c r="BJ179" s="2225" t="e">
        <f t="shared" ref="BJ179" si="1625">SUMPRODUCT(1/COUNTIF(I179:AH179,"宿泊"))</f>
        <v>#DIV/0!</v>
      </c>
      <c r="BK179" s="2226" t="e">
        <f t="shared" ref="BK179" si="1626">SUMPRODUCT(1/COUNTIF(I179:AH179,"日帰り"))</f>
        <v>#DIV/0!</v>
      </c>
      <c r="BL179" s="1381">
        <f t="shared" ref="BL179" si="1627">COUNT(BJ179)-COUNT(BK179)</f>
        <v>0</v>
      </c>
      <c r="BM179" s="684"/>
    </row>
    <row r="180" spans="1:65" ht="14.1" customHeight="1" x14ac:dyDescent="0.15">
      <c r="A180" s="652"/>
      <c r="B180" s="2174"/>
      <c r="C180" s="2144"/>
      <c r="D180" s="2007"/>
      <c r="E180" s="2005"/>
      <c r="F180" s="2042"/>
      <c r="G180" s="2119"/>
      <c r="H180" s="2107"/>
      <c r="I180" s="2112"/>
      <c r="J180" s="2113"/>
      <c r="K180" s="2105"/>
      <c r="L180" s="2127"/>
      <c r="M180" s="2112"/>
      <c r="N180" s="2113"/>
      <c r="O180" s="2105"/>
      <c r="P180" s="2105"/>
      <c r="Q180" s="2107"/>
      <c r="R180" s="2112"/>
      <c r="S180" s="2113"/>
      <c r="T180" s="2105"/>
      <c r="U180" s="2105"/>
      <c r="V180" s="2107"/>
      <c r="W180" s="2112"/>
      <c r="X180" s="2113"/>
      <c r="Y180" s="2105"/>
      <c r="Z180" s="2105"/>
      <c r="AA180" s="2107"/>
      <c r="AB180" s="2112"/>
      <c r="AC180" s="2113"/>
      <c r="AD180" s="2105"/>
      <c r="AE180" s="2105"/>
      <c r="AF180" s="2107"/>
      <c r="AG180" s="2112"/>
      <c r="AH180" s="2113"/>
      <c r="AI180" s="2105"/>
      <c r="AJ180" s="2105"/>
      <c r="AK180" s="2011"/>
      <c r="AL180" s="2012"/>
      <c r="AM180" s="2012"/>
      <c r="AN180" s="2013"/>
      <c r="AO180" s="2011"/>
      <c r="AP180" s="2012"/>
      <c r="AQ180" s="2012"/>
      <c r="AR180" s="2013"/>
      <c r="AS180" s="651"/>
      <c r="AT180" s="652"/>
      <c r="AU180" s="1983"/>
      <c r="AV180" s="1983"/>
      <c r="AW180" s="1983"/>
      <c r="AX180" s="1983"/>
      <c r="AY180" s="1983"/>
      <c r="AZ180" s="1983"/>
      <c r="BA180" s="1983"/>
      <c r="BB180" s="654"/>
      <c r="BC180" s="654"/>
      <c r="BD180" s="652"/>
      <c r="BE180" s="652"/>
      <c r="BF180" s="652"/>
      <c r="BG180" s="652"/>
      <c r="BH180" s="652"/>
      <c r="BI180" s="652"/>
      <c r="BJ180" s="2225"/>
      <c r="BK180" s="2226"/>
      <c r="BL180" s="1381"/>
      <c r="BM180" s="684"/>
    </row>
    <row r="181" spans="1:65" ht="14.1" customHeight="1" x14ac:dyDescent="0.15">
      <c r="A181" s="652" t="str">
        <f t="shared" ref="A181" si="1628">IF(AND(D181="",D183&lt;&gt;""),"×","○")</f>
        <v>○</v>
      </c>
      <c r="B181" s="2174" t="str">
        <f t="shared" ref="B181" si="1629">IF(AND(AT181="○",BB181="○",BC181="○",A181="○"),"○","×")</f>
        <v>○</v>
      </c>
      <c r="C181" s="2143">
        <v>84</v>
      </c>
      <c r="D181" s="2006"/>
      <c r="E181" s="2004"/>
      <c r="F181" s="2041"/>
      <c r="G181" s="2123"/>
      <c r="H181" s="2109"/>
      <c r="I181" s="2141"/>
      <c r="J181" s="2142"/>
      <c r="K181" s="2104"/>
      <c r="L181" s="2140"/>
      <c r="M181" s="2110"/>
      <c r="N181" s="2111"/>
      <c r="O181" s="2108"/>
      <c r="P181" s="2108"/>
      <c r="Q181" s="2109"/>
      <c r="R181" s="2110"/>
      <c r="S181" s="2111"/>
      <c r="T181" s="2108"/>
      <c r="U181" s="2108"/>
      <c r="V181" s="2109"/>
      <c r="W181" s="2110"/>
      <c r="X181" s="2111"/>
      <c r="Y181" s="2108"/>
      <c r="Z181" s="2108"/>
      <c r="AA181" s="2109"/>
      <c r="AB181" s="2110"/>
      <c r="AC181" s="2111"/>
      <c r="AD181" s="2108"/>
      <c r="AE181" s="2108"/>
      <c r="AF181" s="2109"/>
      <c r="AG181" s="2110"/>
      <c r="AH181" s="2111"/>
      <c r="AI181" s="2108"/>
      <c r="AJ181" s="2108"/>
      <c r="AK181" s="2038"/>
      <c r="AL181" s="2039"/>
      <c r="AM181" s="2039"/>
      <c r="AN181" s="2040"/>
      <c r="AO181" s="2008"/>
      <c r="AP181" s="2009"/>
      <c r="AQ181" s="2009"/>
      <c r="AR181" s="2010"/>
      <c r="AS181" s="651"/>
      <c r="AT181" s="652" t="str">
        <f t="shared" ref="AT181" si="1630">IF(OR(AND(D181&lt;&gt;"",OR(AND(E181&lt;&gt;"",F181&lt;&gt;"",OR(G181&lt;&gt;"",H181&lt;&gt;"")),AND(E181="",F181="バス・カメラマン等"))),AND(D181="",E181="",F181="",OR(G181="",H181=""))),"○","×")</f>
        <v>○</v>
      </c>
      <c r="AU181" s="1983" t="str">
        <f t="shared" ref="AU181" si="1631">IF(AND(E181&lt;&gt;"",E181&lt;=2),"2歳児以下","")</f>
        <v/>
      </c>
      <c r="AV181" s="1983" t="str">
        <f t="shared" ref="AV181" si="1632">IF(OR(AND(3&lt;=E181,E181&lt;=6),COUNTIF(E181, "幼*"),COUNTIF(E181, "年少"),COUNTIF(E181, "年中"),COUNTIF(E181, "年長")),"3歳-学齢前","")</f>
        <v/>
      </c>
      <c r="AW181" s="1983" t="str">
        <f t="shared" ref="AW181" si="1633">IF(OR(AND(6&lt;=E181,E181&lt;=12),COUNTIF(E181, "小*")),"小学生","")</f>
        <v/>
      </c>
      <c r="AX181" s="1983" t="str">
        <f t="shared" ref="AX181" si="1634">IF(OR(AND(12&lt;=E181,E181&lt;=15),COUNTIF(E181, "中*")),"中学生","")</f>
        <v/>
      </c>
      <c r="AY181" s="1983" t="str">
        <f t="shared" ref="AY181" si="1635">IF(OR(AND(15&lt;=E181,E181&lt;=18),COUNTIF(E181, "高*")),"高校生(～18歳)","")</f>
        <v/>
      </c>
      <c r="AZ181" s="1983" t="str">
        <f t="shared" ref="AZ181" si="1636">IF(OR(19&lt;=E181,COUNTIF(E181, "大*"),COUNTIF(E181, "*院*"),COUNTIF(E181, "*専*")),"一般(19歳～)","")</f>
        <v/>
      </c>
      <c r="BA181" s="1983" t="s">
        <v>475</v>
      </c>
      <c r="BB181" s="652" t="str">
        <f t="shared" ref="BB181" si="1637">IF(OR(AND(D181="",I181="",M181="",R181="",W181="",AB181="",AG181=""),AND(D181&lt;&gt;"",OR(I181&lt;&gt;"",M181&lt;&gt;"",R181&lt;&gt;"",W181&lt;&gt;"",AB181&lt;&gt;"",AG181&lt;&gt;""))),"○","×")</f>
        <v>○</v>
      </c>
      <c r="BC181" s="652" t="str">
        <f t="shared" ref="BC181" si="1638">IF(AND(BD181="○",BE181="○",BF181="○",BG181="○",BH181="○",BI181="○"),"○","×")</f>
        <v>○</v>
      </c>
      <c r="BD181" s="653" t="str">
        <f t="shared" ref="BD181" si="1639">IF(AND($I$7=" ",OR(I181&lt;&gt;"",K181&lt;&gt;"",L181&lt;&gt;"")),"×","○")</f>
        <v>○</v>
      </c>
      <c r="BE181" s="653" t="str">
        <f t="shared" ref="BE181" si="1640">IF(AND($M$7=" ",OR(M181&lt;&gt;"",O181&lt;&gt;"",P181&lt;&gt;"",Q181&lt;&gt;"")),"×","○")</f>
        <v>○</v>
      </c>
      <c r="BF181" s="653" t="str">
        <f t="shared" ref="BF181" si="1641">IF(AND($R$7=" ",OR(R181&lt;&gt;"",T181&lt;&gt;"",U181&lt;&gt;"",V181&lt;&gt;"")),"×","○")</f>
        <v>○</v>
      </c>
      <c r="BG181" s="653" t="str">
        <f t="shared" ref="BG181" si="1642">IF(AND($W$7=" ",OR(W181&lt;&gt;"",Y181&lt;&gt;"",Z181&lt;&gt;"",AA181&lt;&gt;"")),"×","○")</f>
        <v>○</v>
      </c>
      <c r="BH181" s="653" t="str">
        <f t="shared" ref="BH181" si="1643">IF(AND($AB$7=" ",OR(AB181&lt;&gt;"",AD181&lt;&gt;"",AE181&lt;&gt;"",AF181&lt;&gt;"")),"×","○")</f>
        <v>○</v>
      </c>
      <c r="BI181" s="653" t="str">
        <f t="shared" ref="BI181" si="1644">IF(AND($AG$7=" ",OR(AG181&lt;&gt;"",AI181&lt;&gt;"",AJ181&lt;&gt;"")),"×","○")</f>
        <v>○</v>
      </c>
      <c r="BJ181" s="2225" t="e">
        <f t="shared" ref="BJ181" si="1645">SUMPRODUCT(1/COUNTIF(I181:AH181,"宿泊"))</f>
        <v>#DIV/0!</v>
      </c>
      <c r="BK181" s="2226" t="e">
        <f t="shared" ref="BK181" si="1646">SUMPRODUCT(1/COUNTIF(I181:AH181,"日帰り"))</f>
        <v>#DIV/0!</v>
      </c>
      <c r="BL181" s="1381">
        <f t="shared" ref="BL181" si="1647">COUNT(BJ181)-COUNT(BK181)</f>
        <v>0</v>
      </c>
      <c r="BM181" s="684"/>
    </row>
    <row r="182" spans="1:65" ht="14.1" customHeight="1" x14ac:dyDescent="0.15">
      <c r="A182" s="652"/>
      <c r="B182" s="2174"/>
      <c r="C182" s="2144"/>
      <c r="D182" s="2007"/>
      <c r="E182" s="2005"/>
      <c r="F182" s="2042"/>
      <c r="G182" s="2119"/>
      <c r="H182" s="2107"/>
      <c r="I182" s="2112"/>
      <c r="J182" s="2113"/>
      <c r="K182" s="2105"/>
      <c r="L182" s="2127"/>
      <c r="M182" s="2112"/>
      <c r="N182" s="2113"/>
      <c r="O182" s="2105"/>
      <c r="P182" s="2105"/>
      <c r="Q182" s="2107"/>
      <c r="R182" s="2112"/>
      <c r="S182" s="2113"/>
      <c r="T182" s="2105"/>
      <c r="U182" s="2105"/>
      <c r="V182" s="2107"/>
      <c r="W182" s="2112"/>
      <c r="X182" s="2113"/>
      <c r="Y182" s="2105"/>
      <c r="Z182" s="2105"/>
      <c r="AA182" s="2107"/>
      <c r="AB182" s="2112"/>
      <c r="AC182" s="2113"/>
      <c r="AD182" s="2105"/>
      <c r="AE182" s="2105"/>
      <c r="AF182" s="2107"/>
      <c r="AG182" s="2112"/>
      <c r="AH182" s="2113"/>
      <c r="AI182" s="2105"/>
      <c r="AJ182" s="2105"/>
      <c r="AK182" s="2011"/>
      <c r="AL182" s="2012"/>
      <c r="AM182" s="2012"/>
      <c r="AN182" s="2013"/>
      <c r="AO182" s="2011"/>
      <c r="AP182" s="2012"/>
      <c r="AQ182" s="2012"/>
      <c r="AR182" s="2013"/>
      <c r="AS182" s="651"/>
      <c r="AT182" s="652"/>
      <c r="AU182" s="1983"/>
      <c r="AV182" s="1983"/>
      <c r="AW182" s="1983"/>
      <c r="AX182" s="1983"/>
      <c r="AY182" s="1983"/>
      <c r="AZ182" s="1983"/>
      <c r="BA182" s="1983"/>
      <c r="BB182" s="654"/>
      <c r="BC182" s="654"/>
      <c r="BD182" s="652"/>
      <c r="BE182" s="652"/>
      <c r="BF182" s="652"/>
      <c r="BG182" s="652"/>
      <c r="BH182" s="652"/>
      <c r="BI182" s="652"/>
      <c r="BJ182" s="2225"/>
      <c r="BK182" s="2226"/>
      <c r="BL182" s="1381"/>
      <c r="BM182" s="684"/>
    </row>
    <row r="183" spans="1:65" ht="14.1" customHeight="1" x14ac:dyDescent="0.15">
      <c r="A183" s="652" t="str">
        <f t="shared" ref="A183" si="1648">IF(AND(D183="",D185&lt;&gt;""),"×","○")</f>
        <v>○</v>
      </c>
      <c r="B183" s="2174" t="str">
        <f t="shared" ref="B183" si="1649">IF(AND(AT183="○",BB183="○",BC183="○",A183="○"),"○","×")</f>
        <v>○</v>
      </c>
      <c r="C183" s="2143">
        <v>85</v>
      </c>
      <c r="D183" s="2006"/>
      <c r="E183" s="2004"/>
      <c r="F183" s="2041"/>
      <c r="G183" s="2123"/>
      <c r="H183" s="2109"/>
      <c r="I183" s="2141"/>
      <c r="J183" s="2142"/>
      <c r="K183" s="2104"/>
      <c r="L183" s="2140"/>
      <c r="M183" s="2110"/>
      <c r="N183" s="2111"/>
      <c r="O183" s="2108"/>
      <c r="P183" s="2108"/>
      <c r="Q183" s="2109"/>
      <c r="R183" s="2110"/>
      <c r="S183" s="2111"/>
      <c r="T183" s="2108"/>
      <c r="U183" s="2108"/>
      <c r="V183" s="2109"/>
      <c r="W183" s="2110"/>
      <c r="X183" s="2111"/>
      <c r="Y183" s="2108"/>
      <c r="Z183" s="2108"/>
      <c r="AA183" s="2109"/>
      <c r="AB183" s="2110"/>
      <c r="AC183" s="2111"/>
      <c r="AD183" s="2108"/>
      <c r="AE183" s="2108"/>
      <c r="AF183" s="2109"/>
      <c r="AG183" s="2110"/>
      <c r="AH183" s="2111"/>
      <c r="AI183" s="2108"/>
      <c r="AJ183" s="2108"/>
      <c r="AK183" s="2038"/>
      <c r="AL183" s="2039"/>
      <c r="AM183" s="2039"/>
      <c r="AN183" s="2040"/>
      <c r="AO183" s="2008"/>
      <c r="AP183" s="2009"/>
      <c r="AQ183" s="2009"/>
      <c r="AR183" s="2010"/>
      <c r="AS183" s="651"/>
      <c r="AT183" s="652" t="str">
        <f t="shared" ref="AT183" si="1650">IF(OR(AND(D183&lt;&gt;"",OR(AND(E183&lt;&gt;"",F183&lt;&gt;"",OR(G183&lt;&gt;"",H183&lt;&gt;"")),AND(E183="",F183="バス・カメラマン等"))),AND(D183="",E183="",F183="",OR(G183="",H183=""))),"○","×")</f>
        <v>○</v>
      </c>
      <c r="AU183" s="1983" t="str">
        <f t="shared" ref="AU183" si="1651">IF(AND(E183&lt;&gt;"",E183&lt;=2),"2歳児以下","")</f>
        <v/>
      </c>
      <c r="AV183" s="1983" t="str">
        <f t="shared" ref="AV183" si="1652">IF(OR(AND(3&lt;=E183,E183&lt;=6),COUNTIF(E183, "幼*"),COUNTIF(E183, "年少"),COUNTIF(E183, "年中"),COUNTIF(E183, "年長")),"3歳-学齢前","")</f>
        <v/>
      </c>
      <c r="AW183" s="1983" t="str">
        <f t="shared" ref="AW183" si="1653">IF(OR(AND(6&lt;=E183,E183&lt;=12),COUNTIF(E183, "小*")),"小学生","")</f>
        <v/>
      </c>
      <c r="AX183" s="1983" t="str">
        <f t="shared" ref="AX183" si="1654">IF(OR(AND(12&lt;=E183,E183&lt;=15),COUNTIF(E183, "中*")),"中学生","")</f>
        <v/>
      </c>
      <c r="AY183" s="1983" t="str">
        <f t="shared" ref="AY183" si="1655">IF(OR(AND(15&lt;=E183,E183&lt;=18),COUNTIF(E183, "高*")),"高校生(～18歳)","")</f>
        <v/>
      </c>
      <c r="AZ183" s="1983" t="str">
        <f t="shared" ref="AZ183" si="1656">IF(OR(19&lt;=E183,COUNTIF(E183, "大*"),COUNTIF(E183, "*院*"),COUNTIF(E183, "*専*")),"一般(19歳～)","")</f>
        <v/>
      </c>
      <c r="BA183" s="1983" t="s">
        <v>475</v>
      </c>
      <c r="BB183" s="652" t="str">
        <f t="shared" ref="BB183" si="1657">IF(OR(AND(D183="",I183="",M183="",R183="",W183="",AB183="",AG183=""),AND(D183&lt;&gt;"",OR(I183&lt;&gt;"",M183&lt;&gt;"",R183&lt;&gt;"",W183&lt;&gt;"",AB183&lt;&gt;"",AG183&lt;&gt;""))),"○","×")</f>
        <v>○</v>
      </c>
      <c r="BC183" s="652" t="str">
        <f t="shared" ref="BC183" si="1658">IF(AND(BD183="○",BE183="○",BF183="○",BG183="○",BH183="○",BI183="○"),"○","×")</f>
        <v>○</v>
      </c>
      <c r="BD183" s="653" t="str">
        <f t="shared" ref="BD183" si="1659">IF(AND($I$7=" ",OR(I183&lt;&gt;"",K183&lt;&gt;"",L183&lt;&gt;"")),"×","○")</f>
        <v>○</v>
      </c>
      <c r="BE183" s="653" t="str">
        <f t="shared" ref="BE183" si="1660">IF(AND($M$7=" ",OR(M183&lt;&gt;"",O183&lt;&gt;"",P183&lt;&gt;"",Q183&lt;&gt;"")),"×","○")</f>
        <v>○</v>
      </c>
      <c r="BF183" s="653" t="str">
        <f t="shared" ref="BF183" si="1661">IF(AND($R$7=" ",OR(R183&lt;&gt;"",T183&lt;&gt;"",U183&lt;&gt;"",V183&lt;&gt;"")),"×","○")</f>
        <v>○</v>
      </c>
      <c r="BG183" s="653" t="str">
        <f t="shared" ref="BG183" si="1662">IF(AND($W$7=" ",OR(W183&lt;&gt;"",Y183&lt;&gt;"",Z183&lt;&gt;"",AA183&lt;&gt;"")),"×","○")</f>
        <v>○</v>
      </c>
      <c r="BH183" s="653" t="str">
        <f t="shared" ref="BH183" si="1663">IF(AND($AB$7=" ",OR(AB183&lt;&gt;"",AD183&lt;&gt;"",AE183&lt;&gt;"",AF183&lt;&gt;"")),"×","○")</f>
        <v>○</v>
      </c>
      <c r="BI183" s="653" t="str">
        <f t="shared" ref="BI183" si="1664">IF(AND($AG$7=" ",OR(AG183&lt;&gt;"",AI183&lt;&gt;"",AJ183&lt;&gt;"")),"×","○")</f>
        <v>○</v>
      </c>
      <c r="BJ183" s="2225" t="e">
        <f t="shared" ref="BJ183" si="1665">SUMPRODUCT(1/COUNTIF(I183:AH183,"宿泊"))</f>
        <v>#DIV/0!</v>
      </c>
      <c r="BK183" s="2226" t="e">
        <f t="shared" ref="BK183" si="1666">SUMPRODUCT(1/COUNTIF(I183:AH183,"日帰り"))</f>
        <v>#DIV/0!</v>
      </c>
      <c r="BL183" s="1381">
        <f t="shared" ref="BL183" si="1667">COUNT(BJ183)-COUNT(BK183)</f>
        <v>0</v>
      </c>
      <c r="BM183" s="684"/>
    </row>
    <row r="184" spans="1:65" ht="14.1" customHeight="1" x14ac:dyDescent="0.15">
      <c r="A184" s="652"/>
      <c r="B184" s="2174"/>
      <c r="C184" s="2144"/>
      <c r="D184" s="2007"/>
      <c r="E184" s="2005"/>
      <c r="F184" s="2042"/>
      <c r="G184" s="2119"/>
      <c r="H184" s="2107"/>
      <c r="I184" s="2112"/>
      <c r="J184" s="2113"/>
      <c r="K184" s="2105"/>
      <c r="L184" s="2127"/>
      <c r="M184" s="2112"/>
      <c r="N184" s="2113"/>
      <c r="O184" s="2105"/>
      <c r="P184" s="2105"/>
      <c r="Q184" s="2107"/>
      <c r="R184" s="2112"/>
      <c r="S184" s="2113"/>
      <c r="T184" s="2105"/>
      <c r="U184" s="2105"/>
      <c r="V184" s="2107"/>
      <c r="W184" s="2112"/>
      <c r="X184" s="2113"/>
      <c r="Y184" s="2105"/>
      <c r="Z184" s="2105"/>
      <c r="AA184" s="2107"/>
      <c r="AB184" s="2112"/>
      <c r="AC184" s="2113"/>
      <c r="AD184" s="2105"/>
      <c r="AE184" s="2105"/>
      <c r="AF184" s="2107"/>
      <c r="AG184" s="2112"/>
      <c r="AH184" s="2113"/>
      <c r="AI184" s="2105"/>
      <c r="AJ184" s="2105"/>
      <c r="AK184" s="2011"/>
      <c r="AL184" s="2012"/>
      <c r="AM184" s="2012"/>
      <c r="AN184" s="2013"/>
      <c r="AO184" s="2011"/>
      <c r="AP184" s="2012"/>
      <c r="AQ184" s="2012"/>
      <c r="AR184" s="2013"/>
      <c r="AS184" s="651"/>
      <c r="AT184" s="652"/>
      <c r="AU184" s="1983"/>
      <c r="AV184" s="1983"/>
      <c r="AW184" s="1983"/>
      <c r="AX184" s="1983"/>
      <c r="AY184" s="1983"/>
      <c r="AZ184" s="1983"/>
      <c r="BA184" s="1983"/>
      <c r="BB184" s="654"/>
      <c r="BC184" s="654"/>
      <c r="BD184" s="652"/>
      <c r="BE184" s="652"/>
      <c r="BF184" s="652"/>
      <c r="BG184" s="652"/>
      <c r="BH184" s="652"/>
      <c r="BI184" s="652"/>
      <c r="BJ184" s="2225"/>
      <c r="BK184" s="2226"/>
      <c r="BL184" s="1381"/>
      <c r="BM184" s="684"/>
    </row>
    <row r="185" spans="1:65" ht="14.1" customHeight="1" x14ac:dyDescent="0.15">
      <c r="A185" s="652" t="str">
        <f t="shared" ref="A185" si="1668">IF(AND(D185="",D187&lt;&gt;""),"×","○")</f>
        <v>○</v>
      </c>
      <c r="B185" s="2174" t="str">
        <f t="shared" ref="B185" si="1669">IF(AND(AT185="○",BB185="○",BC185="○",A185="○"),"○","×")</f>
        <v>○</v>
      </c>
      <c r="C185" s="2143">
        <v>86</v>
      </c>
      <c r="D185" s="2006"/>
      <c r="E185" s="2004"/>
      <c r="F185" s="2041"/>
      <c r="G185" s="2118"/>
      <c r="H185" s="2106"/>
      <c r="I185" s="2141"/>
      <c r="J185" s="2142"/>
      <c r="K185" s="2104"/>
      <c r="L185" s="2140"/>
      <c r="M185" s="2110"/>
      <c r="N185" s="2111"/>
      <c r="O185" s="2104"/>
      <c r="P185" s="2104"/>
      <c r="Q185" s="2106"/>
      <c r="R185" s="2110"/>
      <c r="S185" s="2111"/>
      <c r="T185" s="2104"/>
      <c r="U185" s="2104"/>
      <c r="V185" s="2106"/>
      <c r="W185" s="2110"/>
      <c r="X185" s="2111"/>
      <c r="Y185" s="2104"/>
      <c r="Z185" s="2104"/>
      <c r="AA185" s="2106"/>
      <c r="AB185" s="2110"/>
      <c r="AC185" s="2111"/>
      <c r="AD185" s="2104"/>
      <c r="AE185" s="2104"/>
      <c r="AF185" s="2106"/>
      <c r="AG185" s="2110"/>
      <c r="AH185" s="2111"/>
      <c r="AI185" s="2104"/>
      <c r="AJ185" s="2104"/>
      <c r="AK185" s="2038"/>
      <c r="AL185" s="2039"/>
      <c r="AM185" s="2039"/>
      <c r="AN185" s="2040"/>
      <c r="AO185" s="2008"/>
      <c r="AP185" s="2009"/>
      <c r="AQ185" s="2009"/>
      <c r="AR185" s="2010"/>
      <c r="AS185" s="651"/>
      <c r="AT185" s="652" t="str">
        <f t="shared" ref="AT185" si="1670">IF(OR(AND(D185&lt;&gt;"",OR(AND(E185&lt;&gt;"",F185&lt;&gt;"",OR(G185&lt;&gt;"",H185&lt;&gt;"")),AND(E185="",F185="バス・カメラマン等"))),AND(D185="",E185="",F185="",OR(G185="",H185=""))),"○","×")</f>
        <v>○</v>
      </c>
      <c r="AU185" s="1983" t="str">
        <f t="shared" ref="AU185" si="1671">IF(AND(E185&lt;&gt;"",E185&lt;=2),"2歳児以下","")</f>
        <v/>
      </c>
      <c r="AV185" s="1983" t="str">
        <f t="shared" ref="AV185" si="1672">IF(OR(AND(3&lt;=E185,E185&lt;=6),COUNTIF(E185, "幼*"),COUNTIF(E185, "年少"),COUNTIF(E185, "年中"),COUNTIF(E185, "年長")),"3歳-学齢前","")</f>
        <v/>
      </c>
      <c r="AW185" s="1983" t="str">
        <f t="shared" ref="AW185" si="1673">IF(OR(AND(6&lt;=E185,E185&lt;=12),COUNTIF(E185, "小*")),"小学生","")</f>
        <v/>
      </c>
      <c r="AX185" s="1983" t="str">
        <f t="shared" ref="AX185" si="1674">IF(OR(AND(12&lt;=E185,E185&lt;=15),COUNTIF(E185, "中*")),"中学生","")</f>
        <v/>
      </c>
      <c r="AY185" s="1983" t="str">
        <f t="shared" ref="AY185" si="1675">IF(OR(AND(15&lt;=E185,E185&lt;=18),COUNTIF(E185, "高*")),"高校生(～18歳)","")</f>
        <v/>
      </c>
      <c r="AZ185" s="1983" t="str">
        <f t="shared" ref="AZ185" si="1676">IF(OR(19&lt;=E185,COUNTIF(E185, "大*"),COUNTIF(E185, "*院*"),COUNTIF(E185, "*専*")),"一般(19歳～)","")</f>
        <v/>
      </c>
      <c r="BA185" s="1983" t="s">
        <v>475</v>
      </c>
      <c r="BB185" s="652" t="str">
        <f t="shared" ref="BB185" si="1677">IF(OR(AND(D185="",I185="",M185="",R185="",W185="",AB185="",AG185=""),AND(D185&lt;&gt;"",OR(I185&lt;&gt;"",M185&lt;&gt;"",R185&lt;&gt;"",W185&lt;&gt;"",AB185&lt;&gt;"",AG185&lt;&gt;""))),"○","×")</f>
        <v>○</v>
      </c>
      <c r="BC185" s="652" t="str">
        <f t="shared" ref="BC185" si="1678">IF(AND(BD185="○",BE185="○",BF185="○",BG185="○",BH185="○",BI185="○"),"○","×")</f>
        <v>○</v>
      </c>
      <c r="BD185" s="653" t="str">
        <f t="shared" ref="BD185" si="1679">IF(AND($I$7=" ",OR(I185&lt;&gt;"",K185&lt;&gt;"",L185&lt;&gt;"")),"×","○")</f>
        <v>○</v>
      </c>
      <c r="BE185" s="653" t="str">
        <f t="shared" ref="BE185" si="1680">IF(AND($M$7=" ",OR(M185&lt;&gt;"",O185&lt;&gt;"",P185&lt;&gt;"",Q185&lt;&gt;"")),"×","○")</f>
        <v>○</v>
      </c>
      <c r="BF185" s="653" t="str">
        <f t="shared" ref="BF185" si="1681">IF(AND($R$7=" ",OR(R185&lt;&gt;"",T185&lt;&gt;"",U185&lt;&gt;"",V185&lt;&gt;"")),"×","○")</f>
        <v>○</v>
      </c>
      <c r="BG185" s="653" t="str">
        <f t="shared" ref="BG185" si="1682">IF(AND($W$7=" ",OR(W185&lt;&gt;"",Y185&lt;&gt;"",Z185&lt;&gt;"",AA185&lt;&gt;"")),"×","○")</f>
        <v>○</v>
      </c>
      <c r="BH185" s="653" t="str">
        <f t="shared" ref="BH185" si="1683">IF(AND($AB$7=" ",OR(AB185&lt;&gt;"",AD185&lt;&gt;"",AE185&lt;&gt;"",AF185&lt;&gt;"")),"×","○")</f>
        <v>○</v>
      </c>
      <c r="BI185" s="653" t="str">
        <f t="shared" ref="BI185" si="1684">IF(AND($AG$7=" ",OR(AG185&lt;&gt;"",AI185&lt;&gt;"",AJ185&lt;&gt;"")),"×","○")</f>
        <v>○</v>
      </c>
      <c r="BJ185" s="2225" t="e">
        <f t="shared" ref="BJ185" si="1685">SUMPRODUCT(1/COUNTIF(I185:AH185,"宿泊"))</f>
        <v>#DIV/0!</v>
      </c>
      <c r="BK185" s="2226" t="e">
        <f t="shared" ref="BK185" si="1686">SUMPRODUCT(1/COUNTIF(I185:AH185,"日帰り"))</f>
        <v>#DIV/0!</v>
      </c>
      <c r="BL185" s="1381">
        <f t="shared" ref="BL185" si="1687">COUNT(BJ185)-COUNT(BK185)</f>
        <v>0</v>
      </c>
      <c r="BM185" s="684"/>
    </row>
    <row r="186" spans="1:65" ht="14.1" customHeight="1" x14ac:dyDescent="0.15">
      <c r="A186" s="652"/>
      <c r="B186" s="2174"/>
      <c r="C186" s="2144"/>
      <c r="D186" s="2007"/>
      <c r="E186" s="2005"/>
      <c r="F186" s="2042"/>
      <c r="G186" s="2119"/>
      <c r="H186" s="2107"/>
      <c r="I186" s="2112"/>
      <c r="J186" s="2113"/>
      <c r="K186" s="2105"/>
      <c r="L186" s="2127"/>
      <c r="M186" s="2112"/>
      <c r="N186" s="2113"/>
      <c r="O186" s="2105"/>
      <c r="P186" s="2105"/>
      <c r="Q186" s="2107"/>
      <c r="R186" s="2112"/>
      <c r="S186" s="2113"/>
      <c r="T186" s="2105"/>
      <c r="U186" s="2105"/>
      <c r="V186" s="2107"/>
      <c r="W186" s="2112"/>
      <c r="X186" s="2113"/>
      <c r="Y186" s="2105"/>
      <c r="Z186" s="2105"/>
      <c r="AA186" s="2107"/>
      <c r="AB186" s="2112"/>
      <c r="AC186" s="2113"/>
      <c r="AD186" s="2105"/>
      <c r="AE186" s="2105"/>
      <c r="AF186" s="2107"/>
      <c r="AG186" s="2112"/>
      <c r="AH186" s="2113"/>
      <c r="AI186" s="2105"/>
      <c r="AJ186" s="2105"/>
      <c r="AK186" s="2011"/>
      <c r="AL186" s="2012"/>
      <c r="AM186" s="2012"/>
      <c r="AN186" s="2013"/>
      <c r="AO186" s="2011"/>
      <c r="AP186" s="2012"/>
      <c r="AQ186" s="2012"/>
      <c r="AR186" s="2013"/>
      <c r="AS186" s="651"/>
      <c r="AT186" s="652"/>
      <c r="AU186" s="1983"/>
      <c r="AV186" s="1983"/>
      <c r="AW186" s="1983"/>
      <c r="AX186" s="1983"/>
      <c r="AY186" s="1983"/>
      <c r="AZ186" s="1983"/>
      <c r="BA186" s="1983"/>
      <c r="BB186" s="654"/>
      <c r="BC186" s="654"/>
      <c r="BD186" s="652"/>
      <c r="BE186" s="652"/>
      <c r="BF186" s="652"/>
      <c r="BG186" s="652"/>
      <c r="BH186" s="652"/>
      <c r="BI186" s="652"/>
      <c r="BJ186" s="2225"/>
      <c r="BK186" s="2226"/>
      <c r="BL186" s="1381"/>
      <c r="BM186" s="684"/>
    </row>
    <row r="187" spans="1:65" ht="14.1" customHeight="1" x14ac:dyDescent="0.15">
      <c r="A187" s="652" t="str">
        <f t="shared" ref="A187" si="1688">IF(AND(D187="",D189&lt;&gt;""),"×","○")</f>
        <v>○</v>
      </c>
      <c r="B187" s="2174" t="str">
        <f t="shared" ref="B187" si="1689">IF(AND(AT187="○",BB187="○",BC187="○",A187="○"),"○","×")</f>
        <v>○</v>
      </c>
      <c r="C187" s="2143">
        <v>87</v>
      </c>
      <c r="D187" s="2006"/>
      <c r="E187" s="2004"/>
      <c r="F187" s="2041"/>
      <c r="G187" s="2118"/>
      <c r="H187" s="2106"/>
      <c r="I187" s="2141"/>
      <c r="J187" s="2142"/>
      <c r="K187" s="2104"/>
      <c r="L187" s="2140"/>
      <c r="M187" s="2110"/>
      <c r="N187" s="2111"/>
      <c r="O187" s="2104"/>
      <c r="P187" s="2104"/>
      <c r="Q187" s="2106"/>
      <c r="R187" s="2110"/>
      <c r="S187" s="2111"/>
      <c r="T187" s="2104"/>
      <c r="U187" s="2104"/>
      <c r="V187" s="2106"/>
      <c r="W187" s="2110"/>
      <c r="X187" s="2111"/>
      <c r="Y187" s="2104"/>
      <c r="Z187" s="2104"/>
      <c r="AA187" s="2106"/>
      <c r="AB187" s="2110"/>
      <c r="AC187" s="2111"/>
      <c r="AD187" s="2104"/>
      <c r="AE187" s="2104"/>
      <c r="AF187" s="2106"/>
      <c r="AG187" s="2110"/>
      <c r="AH187" s="2111"/>
      <c r="AI187" s="2104"/>
      <c r="AJ187" s="2104"/>
      <c r="AK187" s="2038"/>
      <c r="AL187" s="2039"/>
      <c r="AM187" s="2039"/>
      <c r="AN187" s="2040"/>
      <c r="AO187" s="2008"/>
      <c r="AP187" s="2009"/>
      <c r="AQ187" s="2009"/>
      <c r="AR187" s="2010"/>
      <c r="AS187" s="651"/>
      <c r="AT187" s="652" t="str">
        <f t="shared" ref="AT187" si="1690">IF(OR(AND(D187&lt;&gt;"",OR(AND(E187&lt;&gt;"",F187&lt;&gt;"",OR(G187&lt;&gt;"",H187&lt;&gt;"")),AND(E187="",F187="バス・カメラマン等"))),AND(D187="",E187="",F187="",OR(G187="",H187=""))),"○","×")</f>
        <v>○</v>
      </c>
      <c r="AU187" s="1983" t="str">
        <f t="shared" ref="AU187" si="1691">IF(AND(E187&lt;&gt;"",E187&lt;=2),"2歳児以下","")</f>
        <v/>
      </c>
      <c r="AV187" s="1983" t="str">
        <f t="shared" ref="AV187" si="1692">IF(OR(AND(3&lt;=E187,E187&lt;=6),COUNTIF(E187, "幼*"),COUNTIF(E187, "年少"),COUNTIF(E187, "年中"),COUNTIF(E187, "年長")),"3歳-学齢前","")</f>
        <v/>
      </c>
      <c r="AW187" s="1983" t="str">
        <f t="shared" ref="AW187" si="1693">IF(OR(AND(6&lt;=E187,E187&lt;=12),COUNTIF(E187, "小*")),"小学生","")</f>
        <v/>
      </c>
      <c r="AX187" s="1983" t="str">
        <f t="shared" ref="AX187" si="1694">IF(OR(AND(12&lt;=E187,E187&lt;=15),COUNTIF(E187, "中*")),"中学生","")</f>
        <v/>
      </c>
      <c r="AY187" s="1983" t="str">
        <f t="shared" ref="AY187" si="1695">IF(OR(AND(15&lt;=E187,E187&lt;=18),COUNTIF(E187, "高*")),"高校生(～18歳)","")</f>
        <v/>
      </c>
      <c r="AZ187" s="1983" t="str">
        <f t="shared" ref="AZ187" si="1696">IF(OR(19&lt;=E187,COUNTIF(E187, "大*"),COUNTIF(E187, "*院*"),COUNTIF(E187, "*専*")),"一般(19歳～)","")</f>
        <v/>
      </c>
      <c r="BA187" s="1983" t="s">
        <v>475</v>
      </c>
      <c r="BB187" s="652" t="str">
        <f t="shared" ref="BB187" si="1697">IF(OR(AND(D187="",I187="",M187="",R187="",W187="",AB187="",AG187=""),AND(D187&lt;&gt;"",OR(I187&lt;&gt;"",M187&lt;&gt;"",R187&lt;&gt;"",W187&lt;&gt;"",AB187&lt;&gt;"",AG187&lt;&gt;""))),"○","×")</f>
        <v>○</v>
      </c>
      <c r="BC187" s="652" t="str">
        <f t="shared" ref="BC187" si="1698">IF(AND(BD187="○",BE187="○",BF187="○",BG187="○",BH187="○",BI187="○"),"○","×")</f>
        <v>○</v>
      </c>
      <c r="BD187" s="653" t="str">
        <f t="shared" ref="BD187" si="1699">IF(AND($I$7=" ",OR(I187&lt;&gt;"",K187&lt;&gt;"",L187&lt;&gt;"")),"×","○")</f>
        <v>○</v>
      </c>
      <c r="BE187" s="653" t="str">
        <f t="shared" ref="BE187" si="1700">IF(AND($M$7=" ",OR(M187&lt;&gt;"",O187&lt;&gt;"",P187&lt;&gt;"",Q187&lt;&gt;"")),"×","○")</f>
        <v>○</v>
      </c>
      <c r="BF187" s="653" t="str">
        <f t="shared" ref="BF187" si="1701">IF(AND($R$7=" ",OR(R187&lt;&gt;"",T187&lt;&gt;"",U187&lt;&gt;"",V187&lt;&gt;"")),"×","○")</f>
        <v>○</v>
      </c>
      <c r="BG187" s="653" t="str">
        <f t="shared" ref="BG187" si="1702">IF(AND($W$7=" ",OR(W187&lt;&gt;"",Y187&lt;&gt;"",Z187&lt;&gt;"",AA187&lt;&gt;"")),"×","○")</f>
        <v>○</v>
      </c>
      <c r="BH187" s="653" t="str">
        <f t="shared" ref="BH187" si="1703">IF(AND($AB$7=" ",OR(AB187&lt;&gt;"",AD187&lt;&gt;"",AE187&lt;&gt;"",AF187&lt;&gt;"")),"×","○")</f>
        <v>○</v>
      </c>
      <c r="BI187" s="653" t="str">
        <f t="shared" ref="BI187" si="1704">IF(AND($AG$7=" ",OR(AG187&lt;&gt;"",AI187&lt;&gt;"",AJ187&lt;&gt;"")),"×","○")</f>
        <v>○</v>
      </c>
      <c r="BJ187" s="2225" t="e">
        <f t="shared" ref="BJ187" si="1705">SUMPRODUCT(1/COUNTIF(I187:AH187,"宿泊"))</f>
        <v>#DIV/0!</v>
      </c>
      <c r="BK187" s="2226" t="e">
        <f t="shared" ref="BK187" si="1706">SUMPRODUCT(1/COUNTIF(I187:AH187,"日帰り"))</f>
        <v>#DIV/0!</v>
      </c>
      <c r="BL187" s="1381">
        <f t="shared" ref="BL187" si="1707">COUNT(BJ187)-COUNT(BK187)</f>
        <v>0</v>
      </c>
      <c r="BM187" s="684"/>
    </row>
    <row r="188" spans="1:65" ht="14.1" customHeight="1" x14ac:dyDescent="0.15">
      <c r="A188" s="652"/>
      <c r="B188" s="2174"/>
      <c r="C188" s="2144"/>
      <c r="D188" s="2007"/>
      <c r="E188" s="2005"/>
      <c r="F188" s="2042"/>
      <c r="G188" s="2119"/>
      <c r="H188" s="2107"/>
      <c r="I188" s="2112"/>
      <c r="J188" s="2113"/>
      <c r="K188" s="2105"/>
      <c r="L188" s="2127"/>
      <c r="M188" s="2112"/>
      <c r="N188" s="2113"/>
      <c r="O188" s="2105"/>
      <c r="P188" s="2105"/>
      <c r="Q188" s="2107"/>
      <c r="R188" s="2112"/>
      <c r="S188" s="2113"/>
      <c r="T188" s="2105"/>
      <c r="U188" s="2105"/>
      <c r="V188" s="2107"/>
      <c r="W188" s="2112"/>
      <c r="X188" s="2113"/>
      <c r="Y188" s="2105"/>
      <c r="Z188" s="2105"/>
      <c r="AA188" s="2107"/>
      <c r="AB188" s="2112"/>
      <c r="AC188" s="2113"/>
      <c r="AD188" s="2105"/>
      <c r="AE188" s="2105"/>
      <c r="AF188" s="2107"/>
      <c r="AG188" s="2112"/>
      <c r="AH188" s="2113"/>
      <c r="AI188" s="2105"/>
      <c r="AJ188" s="2105"/>
      <c r="AK188" s="2011"/>
      <c r="AL188" s="2012"/>
      <c r="AM188" s="2012"/>
      <c r="AN188" s="2013"/>
      <c r="AO188" s="2011"/>
      <c r="AP188" s="2012"/>
      <c r="AQ188" s="2012"/>
      <c r="AR188" s="2013"/>
      <c r="AS188" s="651"/>
      <c r="AT188" s="652"/>
      <c r="AU188" s="1983"/>
      <c r="AV188" s="1983"/>
      <c r="AW188" s="1983"/>
      <c r="AX188" s="1983"/>
      <c r="AY188" s="1983"/>
      <c r="AZ188" s="1983"/>
      <c r="BA188" s="1983"/>
      <c r="BB188" s="654"/>
      <c r="BC188" s="654"/>
      <c r="BD188" s="652"/>
      <c r="BE188" s="652"/>
      <c r="BF188" s="652"/>
      <c r="BG188" s="652"/>
      <c r="BH188" s="652"/>
      <c r="BI188" s="652"/>
      <c r="BJ188" s="2225"/>
      <c r="BK188" s="2226"/>
      <c r="BL188" s="1381"/>
      <c r="BM188" s="684"/>
    </row>
    <row r="189" spans="1:65" ht="14.1" customHeight="1" x14ac:dyDescent="0.15">
      <c r="A189" s="652" t="str">
        <f t="shared" ref="A189" si="1708">IF(AND(D189="",D191&lt;&gt;""),"×","○")</f>
        <v>○</v>
      </c>
      <c r="B189" s="2174" t="str">
        <f t="shared" ref="B189" si="1709">IF(AND(AT189="○",BB189="○",BC189="○",A189="○"),"○","×")</f>
        <v>○</v>
      </c>
      <c r="C189" s="2143">
        <v>88</v>
      </c>
      <c r="D189" s="2006"/>
      <c r="E189" s="2004"/>
      <c r="F189" s="2041"/>
      <c r="G189" s="2118"/>
      <c r="H189" s="2106"/>
      <c r="I189" s="2141"/>
      <c r="J189" s="2142"/>
      <c r="K189" s="2104"/>
      <c r="L189" s="2140"/>
      <c r="M189" s="2110"/>
      <c r="N189" s="2111"/>
      <c r="O189" s="2104"/>
      <c r="P189" s="2104"/>
      <c r="Q189" s="2106"/>
      <c r="R189" s="2110"/>
      <c r="S189" s="2111"/>
      <c r="T189" s="2104"/>
      <c r="U189" s="2104"/>
      <c r="V189" s="2106"/>
      <c r="W189" s="2110"/>
      <c r="X189" s="2111"/>
      <c r="Y189" s="2104"/>
      <c r="Z189" s="2104"/>
      <c r="AA189" s="2106"/>
      <c r="AB189" s="2110"/>
      <c r="AC189" s="2111"/>
      <c r="AD189" s="2104"/>
      <c r="AE189" s="2104"/>
      <c r="AF189" s="2106"/>
      <c r="AG189" s="2110"/>
      <c r="AH189" s="2111"/>
      <c r="AI189" s="2104"/>
      <c r="AJ189" s="2104"/>
      <c r="AK189" s="2038"/>
      <c r="AL189" s="2039"/>
      <c r="AM189" s="2039"/>
      <c r="AN189" s="2040"/>
      <c r="AO189" s="2008"/>
      <c r="AP189" s="2009"/>
      <c r="AQ189" s="2009"/>
      <c r="AR189" s="2010"/>
      <c r="AS189" s="651"/>
      <c r="AT189" s="652" t="str">
        <f t="shared" ref="AT189" si="1710">IF(OR(AND(D189&lt;&gt;"",OR(AND(E189&lt;&gt;"",F189&lt;&gt;"",OR(G189&lt;&gt;"",H189&lt;&gt;"")),AND(E189="",F189="バス・カメラマン等"))),AND(D189="",E189="",F189="",OR(G189="",H189=""))),"○","×")</f>
        <v>○</v>
      </c>
      <c r="AU189" s="1983" t="str">
        <f t="shared" ref="AU189" si="1711">IF(AND(E189&lt;&gt;"",E189&lt;=2),"2歳児以下","")</f>
        <v/>
      </c>
      <c r="AV189" s="1983" t="str">
        <f t="shared" ref="AV189" si="1712">IF(OR(AND(3&lt;=E189,E189&lt;=6),COUNTIF(E189, "幼*"),COUNTIF(E189, "年少"),COUNTIF(E189, "年中"),COUNTIF(E189, "年長")),"3歳-学齢前","")</f>
        <v/>
      </c>
      <c r="AW189" s="1983" t="str">
        <f t="shared" ref="AW189" si="1713">IF(OR(AND(6&lt;=E189,E189&lt;=12),COUNTIF(E189, "小*")),"小学生","")</f>
        <v/>
      </c>
      <c r="AX189" s="1983" t="str">
        <f t="shared" ref="AX189" si="1714">IF(OR(AND(12&lt;=E189,E189&lt;=15),COUNTIF(E189, "中*")),"中学生","")</f>
        <v/>
      </c>
      <c r="AY189" s="1983" t="str">
        <f t="shared" ref="AY189" si="1715">IF(OR(AND(15&lt;=E189,E189&lt;=18),COUNTIF(E189, "高*")),"高校生(～18歳)","")</f>
        <v/>
      </c>
      <c r="AZ189" s="1983" t="str">
        <f t="shared" ref="AZ189" si="1716">IF(OR(19&lt;=E189,COUNTIF(E189, "大*"),COUNTIF(E189, "*院*"),COUNTIF(E189, "*専*")),"一般(19歳～)","")</f>
        <v/>
      </c>
      <c r="BA189" s="1983" t="s">
        <v>475</v>
      </c>
      <c r="BB189" s="652" t="str">
        <f t="shared" ref="BB189" si="1717">IF(OR(AND(D189="",I189="",M189="",R189="",W189="",AB189="",AG189=""),AND(D189&lt;&gt;"",OR(I189&lt;&gt;"",M189&lt;&gt;"",R189&lt;&gt;"",W189&lt;&gt;"",AB189&lt;&gt;"",AG189&lt;&gt;""))),"○","×")</f>
        <v>○</v>
      </c>
      <c r="BC189" s="652" t="str">
        <f t="shared" ref="BC189" si="1718">IF(AND(BD189="○",BE189="○",BF189="○",BG189="○",BH189="○",BI189="○"),"○","×")</f>
        <v>○</v>
      </c>
      <c r="BD189" s="653" t="str">
        <f t="shared" ref="BD189" si="1719">IF(AND($I$7=" ",OR(I189&lt;&gt;"",K189&lt;&gt;"",L189&lt;&gt;"")),"×","○")</f>
        <v>○</v>
      </c>
      <c r="BE189" s="653" t="str">
        <f t="shared" ref="BE189" si="1720">IF(AND($M$7=" ",OR(M189&lt;&gt;"",O189&lt;&gt;"",P189&lt;&gt;"",Q189&lt;&gt;"")),"×","○")</f>
        <v>○</v>
      </c>
      <c r="BF189" s="653" t="str">
        <f t="shared" ref="BF189" si="1721">IF(AND($R$7=" ",OR(R189&lt;&gt;"",T189&lt;&gt;"",U189&lt;&gt;"",V189&lt;&gt;"")),"×","○")</f>
        <v>○</v>
      </c>
      <c r="BG189" s="653" t="str">
        <f t="shared" ref="BG189" si="1722">IF(AND($W$7=" ",OR(W189&lt;&gt;"",Y189&lt;&gt;"",Z189&lt;&gt;"",AA189&lt;&gt;"")),"×","○")</f>
        <v>○</v>
      </c>
      <c r="BH189" s="653" t="str">
        <f t="shared" ref="BH189" si="1723">IF(AND($AB$7=" ",OR(AB189&lt;&gt;"",AD189&lt;&gt;"",AE189&lt;&gt;"",AF189&lt;&gt;"")),"×","○")</f>
        <v>○</v>
      </c>
      <c r="BI189" s="653" t="str">
        <f t="shared" ref="BI189" si="1724">IF(AND($AG$7=" ",OR(AG189&lt;&gt;"",AI189&lt;&gt;"",AJ189&lt;&gt;"")),"×","○")</f>
        <v>○</v>
      </c>
      <c r="BJ189" s="2225" t="e">
        <f t="shared" ref="BJ189" si="1725">SUMPRODUCT(1/COUNTIF(I189:AH189,"宿泊"))</f>
        <v>#DIV/0!</v>
      </c>
      <c r="BK189" s="2226" t="e">
        <f t="shared" ref="BK189" si="1726">SUMPRODUCT(1/COUNTIF(I189:AH189,"日帰り"))</f>
        <v>#DIV/0!</v>
      </c>
      <c r="BL189" s="1381">
        <f t="shared" ref="BL189" si="1727">COUNT(BJ189)-COUNT(BK189)</f>
        <v>0</v>
      </c>
      <c r="BM189" s="684"/>
    </row>
    <row r="190" spans="1:65" ht="14.1" customHeight="1" x14ac:dyDescent="0.15">
      <c r="A190" s="652"/>
      <c r="B190" s="2174"/>
      <c r="C190" s="2144"/>
      <c r="D190" s="2007"/>
      <c r="E190" s="2005"/>
      <c r="F190" s="2042"/>
      <c r="G190" s="2119"/>
      <c r="H190" s="2107"/>
      <c r="I190" s="2112"/>
      <c r="J190" s="2113"/>
      <c r="K190" s="2105"/>
      <c r="L190" s="2127"/>
      <c r="M190" s="2112"/>
      <c r="N190" s="2113"/>
      <c r="O190" s="2105"/>
      <c r="P190" s="2105"/>
      <c r="Q190" s="2107"/>
      <c r="R190" s="2112"/>
      <c r="S190" s="2113"/>
      <c r="T190" s="2105"/>
      <c r="U190" s="2105"/>
      <c r="V190" s="2107"/>
      <c r="W190" s="2112"/>
      <c r="X190" s="2113"/>
      <c r="Y190" s="2105"/>
      <c r="Z190" s="2105"/>
      <c r="AA190" s="2107"/>
      <c r="AB190" s="2112"/>
      <c r="AC190" s="2113"/>
      <c r="AD190" s="2105"/>
      <c r="AE190" s="2105"/>
      <c r="AF190" s="2107"/>
      <c r="AG190" s="2112"/>
      <c r="AH190" s="2113"/>
      <c r="AI190" s="2105"/>
      <c r="AJ190" s="2105"/>
      <c r="AK190" s="2011"/>
      <c r="AL190" s="2012"/>
      <c r="AM190" s="2012"/>
      <c r="AN190" s="2013"/>
      <c r="AO190" s="2011"/>
      <c r="AP190" s="2012"/>
      <c r="AQ190" s="2012"/>
      <c r="AR190" s="2013"/>
      <c r="AS190" s="651"/>
      <c r="AT190" s="652"/>
      <c r="AU190" s="1983"/>
      <c r="AV190" s="1983"/>
      <c r="AW190" s="1983"/>
      <c r="AX190" s="1983"/>
      <c r="AY190" s="1983"/>
      <c r="AZ190" s="1983"/>
      <c r="BA190" s="1983"/>
      <c r="BB190" s="654"/>
      <c r="BC190" s="654"/>
      <c r="BD190" s="652"/>
      <c r="BE190" s="652"/>
      <c r="BF190" s="652"/>
      <c r="BG190" s="652"/>
      <c r="BH190" s="652"/>
      <c r="BI190" s="652"/>
      <c r="BJ190" s="2225"/>
      <c r="BK190" s="2226"/>
      <c r="BL190" s="1381"/>
      <c r="BM190" s="684"/>
    </row>
    <row r="191" spans="1:65" ht="14.1" customHeight="1" x14ac:dyDescent="0.15">
      <c r="A191" s="652" t="str">
        <f t="shared" ref="A191" si="1728">IF(AND(D191="",D193&lt;&gt;""),"×","○")</f>
        <v>○</v>
      </c>
      <c r="B191" s="2174" t="str">
        <f t="shared" ref="B191" si="1729">IF(AND(AT191="○",BB191="○",BC191="○",A191="○"),"○","×")</f>
        <v>○</v>
      </c>
      <c r="C191" s="2143">
        <v>89</v>
      </c>
      <c r="D191" s="2006"/>
      <c r="E191" s="2004"/>
      <c r="F191" s="2041"/>
      <c r="G191" s="2118"/>
      <c r="H191" s="2106"/>
      <c r="I191" s="2141"/>
      <c r="J191" s="2142"/>
      <c r="K191" s="2104"/>
      <c r="L191" s="2140"/>
      <c r="M191" s="2110"/>
      <c r="N191" s="2111"/>
      <c r="O191" s="2104"/>
      <c r="P191" s="2104"/>
      <c r="Q191" s="2106"/>
      <c r="R191" s="2110"/>
      <c r="S191" s="2111"/>
      <c r="T191" s="2104"/>
      <c r="U191" s="2104"/>
      <c r="V191" s="2106"/>
      <c r="W191" s="2110"/>
      <c r="X191" s="2111"/>
      <c r="Y191" s="2104"/>
      <c r="Z191" s="2104"/>
      <c r="AA191" s="2106"/>
      <c r="AB191" s="2110"/>
      <c r="AC191" s="2111"/>
      <c r="AD191" s="2104"/>
      <c r="AE191" s="2104"/>
      <c r="AF191" s="2106"/>
      <c r="AG191" s="2110"/>
      <c r="AH191" s="2111"/>
      <c r="AI191" s="2104"/>
      <c r="AJ191" s="2104"/>
      <c r="AK191" s="2038"/>
      <c r="AL191" s="2039"/>
      <c r="AM191" s="2039"/>
      <c r="AN191" s="2040"/>
      <c r="AO191" s="2008"/>
      <c r="AP191" s="2009"/>
      <c r="AQ191" s="2009"/>
      <c r="AR191" s="2010"/>
      <c r="AS191" s="651"/>
      <c r="AT191" s="652" t="str">
        <f t="shared" ref="AT191" si="1730">IF(OR(AND(D191&lt;&gt;"",OR(AND(E191&lt;&gt;"",F191&lt;&gt;"",OR(G191&lt;&gt;"",H191&lt;&gt;"")),AND(E191="",F191="バス・カメラマン等"))),AND(D191="",E191="",F191="",OR(G191="",H191=""))),"○","×")</f>
        <v>○</v>
      </c>
      <c r="AU191" s="1983" t="str">
        <f t="shared" ref="AU191" si="1731">IF(AND(E191&lt;&gt;"",E191&lt;=2),"2歳児以下","")</f>
        <v/>
      </c>
      <c r="AV191" s="1983" t="str">
        <f t="shared" ref="AV191" si="1732">IF(OR(AND(3&lt;=E191,E191&lt;=6),COUNTIF(E191, "幼*"),COUNTIF(E191, "年少"),COUNTIF(E191, "年中"),COUNTIF(E191, "年長")),"3歳-学齢前","")</f>
        <v/>
      </c>
      <c r="AW191" s="1983" t="str">
        <f t="shared" ref="AW191" si="1733">IF(OR(AND(6&lt;=E191,E191&lt;=12),COUNTIF(E191, "小*")),"小学生","")</f>
        <v/>
      </c>
      <c r="AX191" s="1983" t="str">
        <f t="shared" ref="AX191" si="1734">IF(OR(AND(12&lt;=E191,E191&lt;=15),COUNTIF(E191, "中*")),"中学生","")</f>
        <v/>
      </c>
      <c r="AY191" s="1983" t="str">
        <f t="shared" ref="AY191" si="1735">IF(OR(AND(15&lt;=E191,E191&lt;=18),COUNTIF(E191, "高*")),"高校生(～18歳)","")</f>
        <v/>
      </c>
      <c r="AZ191" s="1983" t="str">
        <f t="shared" ref="AZ191" si="1736">IF(OR(19&lt;=E191,COUNTIF(E191, "大*"),COUNTIF(E191, "*院*"),COUNTIF(E191, "*専*")),"一般(19歳～)","")</f>
        <v/>
      </c>
      <c r="BA191" s="1983" t="s">
        <v>475</v>
      </c>
      <c r="BB191" s="652" t="str">
        <f t="shared" ref="BB191" si="1737">IF(OR(AND(D191="",I191="",M191="",R191="",W191="",AB191="",AG191=""),AND(D191&lt;&gt;"",OR(I191&lt;&gt;"",M191&lt;&gt;"",R191&lt;&gt;"",W191&lt;&gt;"",AB191&lt;&gt;"",AG191&lt;&gt;""))),"○","×")</f>
        <v>○</v>
      </c>
      <c r="BC191" s="652" t="str">
        <f t="shared" ref="BC191" si="1738">IF(AND(BD191="○",BE191="○",BF191="○",BG191="○",BH191="○",BI191="○"),"○","×")</f>
        <v>○</v>
      </c>
      <c r="BD191" s="653" t="str">
        <f t="shared" ref="BD191" si="1739">IF(AND($I$7=" ",OR(I191&lt;&gt;"",K191&lt;&gt;"",L191&lt;&gt;"")),"×","○")</f>
        <v>○</v>
      </c>
      <c r="BE191" s="653" t="str">
        <f t="shared" ref="BE191" si="1740">IF(AND($M$7=" ",OR(M191&lt;&gt;"",O191&lt;&gt;"",P191&lt;&gt;"",Q191&lt;&gt;"")),"×","○")</f>
        <v>○</v>
      </c>
      <c r="BF191" s="653" t="str">
        <f t="shared" ref="BF191" si="1741">IF(AND($R$7=" ",OR(R191&lt;&gt;"",T191&lt;&gt;"",U191&lt;&gt;"",V191&lt;&gt;"")),"×","○")</f>
        <v>○</v>
      </c>
      <c r="BG191" s="653" t="str">
        <f t="shared" ref="BG191" si="1742">IF(AND($W$7=" ",OR(W191&lt;&gt;"",Y191&lt;&gt;"",Z191&lt;&gt;"",AA191&lt;&gt;"")),"×","○")</f>
        <v>○</v>
      </c>
      <c r="BH191" s="653" t="str">
        <f t="shared" ref="BH191" si="1743">IF(AND($AB$7=" ",OR(AB191&lt;&gt;"",AD191&lt;&gt;"",AE191&lt;&gt;"",AF191&lt;&gt;"")),"×","○")</f>
        <v>○</v>
      </c>
      <c r="BI191" s="653" t="str">
        <f t="shared" ref="BI191" si="1744">IF(AND($AG$7=" ",OR(AG191&lt;&gt;"",AI191&lt;&gt;"",AJ191&lt;&gt;"")),"×","○")</f>
        <v>○</v>
      </c>
      <c r="BJ191" s="2225" t="e">
        <f t="shared" ref="BJ191" si="1745">SUMPRODUCT(1/COUNTIF(I191:AH191,"宿泊"))</f>
        <v>#DIV/0!</v>
      </c>
      <c r="BK191" s="2226" t="e">
        <f t="shared" ref="BK191" si="1746">SUMPRODUCT(1/COUNTIF(I191:AH191,"日帰り"))</f>
        <v>#DIV/0!</v>
      </c>
      <c r="BL191" s="1381">
        <f t="shared" ref="BL191" si="1747">COUNT(BJ191)-COUNT(BK191)</f>
        <v>0</v>
      </c>
      <c r="BM191" s="684"/>
    </row>
    <row r="192" spans="1:65" ht="14.1" customHeight="1" x14ac:dyDescent="0.15">
      <c r="A192" s="652"/>
      <c r="B192" s="2174"/>
      <c r="C192" s="2144"/>
      <c r="D192" s="2007"/>
      <c r="E192" s="2005"/>
      <c r="F192" s="2042"/>
      <c r="G192" s="2119"/>
      <c r="H192" s="2107"/>
      <c r="I192" s="2112"/>
      <c r="J192" s="2113"/>
      <c r="K192" s="2105"/>
      <c r="L192" s="2127"/>
      <c r="M192" s="2112"/>
      <c r="N192" s="2113"/>
      <c r="O192" s="2105"/>
      <c r="P192" s="2105"/>
      <c r="Q192" s="2107"/>
      <c r="R192" s="2112"/>
      <c r="S192" s="2113"/>
      <c r="T192" s="2105"/>
      <c r="U192" s="2105"/>
      <c r="V192" s="2107"/>
      <c r="W192" s="2112"/>
      <c r="X192" s="2113"/>
      <c r="Y192" s="2105"/>
      <c r="Z192" s="2105"/>
      <c r="AA192" s="2107"/>
      <c r="AB192" s="2112"/>
      <c r="AC192" s="2113"/>
      <c r="AD192" s="2105"/>
      <c r="AE192" s="2105"/>
      <c r="AF192" s="2107"/>
      <c r="AG192" s="2112"/>
      <c r="AH192" s="2113"/>
      <c r="AI192" s="2105"/>
      <c r="AJ192" s="2105"/>
      <c r="AK192" s="2011"/>
      <c r="AL192" s="2012"/>
      <c r="AM192" s="2012"/>
      <c r="AN192" s="2013"/>
      <c r="AO192" s="2011"/>
      <c r="AP192" s="2012"/>
      <c r="AQ192" s="2012"/>
      <c r="AR192" s="2013"/>
      <c r="AS192" s="651"/>
      <c r="AT192" s="652"/>
      <c r="AU192" s="1983"/>
      <c r="AV192" s="1983"/>
      <c r="AW192" s="1983"/>
      <c r="AX192" s="1983"/>
      <c r="AY192" s="1983"/>
      <c r="AZ192" s="1983"/>
      <c r="BA192" s="1983"/>
      <c r="BB192" s="654"/>
      <c r="BC192" s="654"/>
      <c r="BD192" s="652"/>
      <c r="BE192" s="652"/>
      <c r="BF192" s="652"/>
      <c r="BG192" s="652"/>
      <c r="BH192" s="652"/>
      <c r="BI192" s="652"/>
      <c r="BJ192" s="2225"/>
      <c r="BK192" s="2226"/>
      <c r="BL192" s="1381"/>
      <c r="BM192" s="684"/>
    </row>
    <row r="193" spans="1:65" ht="14.1" customHeight="1" x14ac:dyDescent="0.15">
      <c r="A193" s="652" t="str">
        <f t="shared" ref="A193" si="1748">IF(AND(D193="",D195&lt;&gt;""),"×","○")</f>
        <v>○</v>
      </c>
      <c r="B193" s="2174" t="str">
        <f t="shared" ref="B193" si="1749">IF(AND(AT193="○",BB193="○",BC193="○",A193="○"),"○","×")</f>
        <v>○</v>
      </c>
      <c r="C193" s="2143">
        <v>90</v>
      </c>
      <c r="D193" s="2006"/>
      <c r="E193" s="2004"/>
      <c r="F193" s="2041"/>
      <c r="G193" s="2118"/>
      <c r="H193" s="2106"/>
      <c r="I193" s="2141"/>
      <c r="J193" s="2142"/>
      <c r="K193" s="2104"/>
      <c r="L193" s="2140"/>
      <c r="M193" s="2110"/>
      <c r="N193" s="2111"/>
      <c r="O193" s="2104"/>
      <c r="P193" s="2104"/>
      <c r="Q193" s="2106"/>
      <c r="R193" s="2110"/>
      <c r="S193" s="2111"/>
      <c r="T193" s="2104"/>
      <c r="U193" s="2104"/>
      <c r="V193" s="2106"/>
      <c r="W193" s="2110"/>
      <c r="X193" s="2111"/>
      <c r="Y193" s="2104"/>
      <c r="Z193" s="2104"/>
      <c r="AA193" s="2106"/>
      <c r="AB193" s="2110"/>
      <c r="AC193" s="2111"/>
      <c r="AD193" s="2104"/>
      <c r="AE193" s="2104"/>
      <c r="AF193" s="2106"/>
      <c r="AG193" s="2110"/>
      <c r="AH193" s="2111"/>
      <c r="AI193" s="2104"/>
      <c r="AJ193" s="2104"/>
      <c r="AK193" s="2038"/>
      <c r="AL193" s="2039"/>
      <c r="AM193" s="2039"/>
      <c r="AN193" s="2040"/>
      <c r="AO193" s="2008"/>
      <c r="AP193" s="2009"/>
      <c r="AQ193" s="2009"/>
      <c r="AR193" s="2010"/>
      <c r="AS193" s="651"/>
      <c r="AT193" s="652" t="str">
        <f t="shared" ref="AT193" si="1750">IF(OR(AND(D193&lt;&gt;"",OR(AND(E193&lt;&gt;"",F193&lt;&gt;"",OR(G193&lt;&gt;"",H193&lt;&gt;"")),AND(E193="",F193="バス・カメラマン等"))),AND(D193="",E193="",F193="",OR(G193="",H193=""))),"○","×")</f>
        <v>○</v>
      </c>
      <c r="AU193" s="1983" t="str">
        <f t="shared" ref="AU193" si="1751">IF(AND(E193&lt;&gt;"",E193&lt;=2),"2歳児以下","")</f>
        <v/>
      </c>
      <c r="AV193" s="1983" t="str">
        <f t="shared" ref="AV193" si="1752">IF(OR(AND(3&lt;=E193,E193&lt;=6),COUNTIF(E193, "幼*"),COUNTIF(E193, "年少"),COUNTIF(E193, "年中"),COUNTIF(E193, "年長")),"3歳-学齢前","")</f>
        <v/>
      </c>
      <c r="AW193" s="1983" t="str">
        <f t="shared" ref="AW193" si="1753">IF(OR(AND(6&lt;=E193,E193&lt;=12),COUNTIF(E193, "小*")),"小学生","")</f>
        <v/>
      </c>
      <c r="AX193" s="1983" t="str">
        <f t="shared" ref="AX193" si="1754">IF(OR(AND(12&lt;=E193,E193&lt;=15),COUNTIF(E193, "中*")),"中学生","")</f>
        <v/>
      </c>
      <c r="AY193" s="1983" t="str">
        <f t="shared" ref="AY193" si="1755">IF(OR(AND(15&lt;=E193,E193&lt;=18),COUNTIF(E193, "高*")),"高校生(～18歳)","")</f>
        <v/>
      </c>
      <c r="AZ193" s="1983" t="str">
        <f t="shared" ref="AZ193" si="1756">IF(OR(19&lt;=E193,COUNTIF(E193, "大*"),COUNTIF(E193, "*院*"),COUNTIF(E193, "*専*")),"一般(19歳～)","")</f>
        <v/>
      </c>
      <c r="BA193" s="1983" t="s">
        <v>475</v>
      </c>
      <c r="BB193" s="652" t="str">
        <f t="shared" ref="BB193" si="1757">IF(OR(AND(D193="",I193="",M193="",R193="",W193="",AB193="",AG193=""),AND(D193&lt;&gt;"",OR(I193&lt;&gt;"",M193&lt;&gt;"",R193&lt;&gt;"",W193&lt;&gt;"",AB193&lt;&gt;"",AG193&lt;&gt;""))),"○","×")</f>
        <v>○</v>
      </c>
      <c r="BC193" s="652" t="str">
        <f t="shared" ref="BC193" si="1758">IF(AND(BD193="○",BE193="○",BF193="○",BG193="○",BH193="○",BI193="○"),"○","×")</f>
        <v>○</v>
      </c>
      <c r="BD193" s="653" t="str">
        <f t="shared" ref="BD193" si="1759">IF(AND($I$7=" ",OR(I193&lt;&gt;"",K193&lt;&gt;"",L193&lt;&gt;"")),"×","○")</f>
        <v>○</v>
      </c>
      <c r="BE193" s="653" t="str">
        <f t="shared" ref="BE193" si="1760">IF(AND($M$7=" ",OR(M193&lt;&gt;"",O193&lt;&gt;"",P193&lt;&gt;"",Q193&lt;&gt;"")),"×","○")</f>
        <v>○</v>
      </c>
      <c r="BF193" s="653" t="str">
        <f t="shared" ref="BF193" si="1761">IF(AND($R$7=" ",OR(R193&lt;&gt;"",T193&lt;&gt;"",U193&lt;&gt;"",V193&lt;&gt;"")),"×","○")</f>
        <v>○</v>
      </c>
      <c r="BG193" s="653" t="str">
        <f t="shared" ref="BG193" si="1762">IF(AND($W$7=" ",OR(W193&lt;&gt;"",Y193&lt;&gt;"",Z193&lt;&gt;"",AA193&lt;&gt;"")),"×","○")</f>
        <v>○</v>
      </c>
      <c r="BH193" s="653" t="str">
        <f t="shared" ref="BH193" si="1763">IF(AND($AB$7=" ",OR(AB193&lt;&gt;"",AD193&lt;&gt;"",AE193&lt;&gt;"",AF193&lt;&gt;"")),"×","○")</f>
        <v>○</v>
      </c>
      <c r="BI193" s="653" t="str">
        <f t="shared" ref="BI193" si="1764">IF(AND($AG$7=" ",OR(AG193&lt;&gt;"",AI193&lt;&gt;"",AJ193&lt;&gt;"")),"×","○")</f>
        <v>○</v>
      </c>
      <c r="BJ193" s="2225" t="e">
        <f t="shared" ref="BJ193" si="1765">SUMPRODUCT(1/COUNTIF(I193:AH193,"宿泊"))</f>
        <v>#DIV/0!</v>
      </c>
      <c r="BK193" s="2226" t="e">
        <f t="shared" ref="BK193" si="1766">SUMPRODUCT(1/COUNTIF(I193:AH193,"日帰り"))</f>
        <v>#DIV/0!</v>
      </c>
      <c r="BL193" s="1381">
        <f t="shared" ref="BL193" si="1767">COUNT(BJ193)-COUNT(BK193)</f>
        <v>0</v>
      </c>
      <c r="BM193" s="684"/>
    </row>
    <row r="194" spans="1:65" ht="14.1" customHeight="1" x14ac:dyDescent="0.15">
      <c r="A194" s="652"/>
      <c r="B194" s="2174"/>
      <c r="C194" s="2144"/>
      <c r="D194" s="2007"/>
      <c r="E194" s="2005"/>
      <c r="F194" s="2042"/>
      <c r="G194" s="2119"/>
      <c r="H194" s="2107"/>
      <c r="I194" s="2112"/>
      <c r="J194" s="2113"/>
      <c r="K194" s="2105"/>
      <c r="L194" s="2127"/>
      <c r="M194" s="2112"/>
      <c r="N194" s="2113"/>
      <c r="O194" s="2105"/>
      <c r="P194" s="2105"/>
      <c r="Q194" s="2107"/>
      <c r="R194" s="2112"/>
      <c r="S194" s="2113"/>
      <c r="T194" s="2105"/>
      <c r="U194" s="2105"/>
      <c r="V194" s="2107"/>
      <c r="W194" s="2112"/>
      <c r="X194" s="2113"/>
      <c r="Y194" s="2105"/>
      <c r="Z194" s="2105"/>
      <c r="AA194" s="2107"/>
      <c r="AB194" s="2112"/>
      <c r="AC194" s="2113"/>
      <c r="AD194" s="2105"/>
      <c r="AE194" s="2105"/>
      <c r="AF194" s="2107"/>
      <c r="AG194" s="2112"/>
      <c r="AH194" s="2113"/>
      <c r="AI194" s="2105"/>
      <c r="AJ194" s="2105"/>
      <c r="AK194" s="2011"/>
      <c r="AL194" s="2012"/>
      <c r="AM194" s="2012"/>
      <c r="AN194" s="2013"/>
      <c r="AO194" s="2011"/>
      <c r="AP194" s="2012"/>
      <c r="AQ194" s="2012"/>
      <c r="AR194" s="2013"/>
      <c r="AS194" s="651"/>
      <c r="AT194" s="652"/>
      <c r="AU194" s="1983"/>
      <c r="AV194" s="1983"/>
      <c r="AW194" s="1983"/>
      <c r="AX194" s="1983"/>
      <c r="AY194" s="1983"/>
      <c r="AZ194" s="1983"/>
      <c r="BA194" s="1983"/>
      <c r="BB194" s="654"/>
      <c r="BC194" s="654"/>
      <c r="BD194" s="652"/>
      <c r="BE194" s="652"/>
      <c r="BF194" s="652"/>
      <c r="BG194" s="652"/>
      <c r="BH194" s="652"/>
      <c r="BI194" s="652"/>
      <c r="BJ194" s="2225"/>
      <c r="BK194" s="2226"/>
      <c r="BL194" s="1381"/>
      <c r="BM194" s="684"/>
    </row>
    <row r="195" spans="1:65" ht="14.1" customHeight="1" x14ac:dyDescent="0.15">
      <c r="A195" s="652" t="str">
        <f t="shared" ref="A195" si="1768">IF(AND(D195="",D197&lt;&gt;""),"×","○")</f>
        <v>○</v>
      </c>
      <c r="B195" s="2174" t="str">
        <f t="shared" ref="B195" si="1769">IF(AND(AT195="○",BB195="○",BC195="○",A195="○"),"○","×")</f>
        <v>○</v>
      </c>
      <c r="C195" s="2116">
        <v>91</v>
      </c>
      <c r="D195" s="2006"/>
      <c r="E195" s="2004"/>
      <c r="F195" s="2041"/>
      <c r="G195" s="2118"/>
      <c r="H195" s="2106"/>
      <c r="I195" s="2141"/>
      <c r="J195" s="2142"/>
      <c r="K195" s="2104"/>
      <c r="L195" s="2140"/>
      <c r="M195" s="2110"/>
      <c r="N195" s="2111"/>
      <c r="O195" s="2104"/>
      <c r="P195" s="2104"/>
      <c r="Q195" s="2106"/>
      <c r="R195" s="2110"/>
      <c r="S195" s="2111"/>
      <c r="T195" s="2104"/>
      <c r="U195" s="2104"/>
      <c r="V195" s="2106"/>
      <c r="W195" s="2110"/>
      <c r="X195" s="2111"/>
      <c r="Y195" s="2104"/>
      <c r="Z195" s="2104"/>
      <c r="AA195" s="2106"/>
      <c r="AB195" s="2110"/>
      <c r="AC195" s="2111"/>
      <c r="AD195" s="2104"/>
      <c r="AE195" s="2104"/>
      <c r="AF195" s="2106"/>
      <c r="AG195" s="2110"/>
      <c r="AH195" s="2111"/>
      <c r="AI195" s="2104"/>
      <c r="AJ195" s="2104"/>
      <c r="AK195" s="2038"/>
      <c r="AL195" s="2039"/>
      <c r="AM195" s="2039"/>
      <c r="AN195" s="2040"/>
      <c r="AO195" s="2008"/>
      <c r="AP195" s="2009"/>
      <c r="AQ195" s="2009"/>
      <c r="AR195" s="2010"/>
      <c r="AS195" s="651"/>
      <c r="AT195" s="652" t="str">
        <f t="shared" ref="AT195" si="1770">IF(OR(AND(D195&lt;&gt;"",OR(AND(E195&lt;&gt;"",F195&lt;&gt;"",OR(G195&lt;&gt;"",H195&lt;&gt;"")),AND(E195="",F195="バス・カメラマン等"))),AND(D195="",E195="",F195="",OR(G195="",H195=""))),"○","×")</f>
        <v>○</v>
      </c>
      <c r="AU195" s="1983" t="str">
        <f t="shared" ref="AU195" si="1771">IF(AND(E195&lt;&gt;"",E195&lt;=2),"2歳児以下","")</f>
        <v/>
      </c>
      <c r="AV195" s="1983" t="str">
        <f t="shared" ref="AV195" si="1772">IF(OR(AND(3&lt;=E195,E195&lt;=6),COUNTIF(E195, "幼*"),COUNTIF(E195, "年少"),COUNTIF(E195, "年中"),COUNTIF(E195, "年長")),"3歳-学齢前","")</f>
        <v/>
      </c>
      <c r="AW195" s="1983" t="str">
        <f t="shared" ref="AW195" si="1773">IF(OR(AND(6&lt;=E195,E195&lt;=12),COUNTIF(E195, "小*")),"小学生","")</f>
        <v/>
      </c>
      <c r="AX195" s="1983" t="str">
        <f t="shared" ref="AX195" si="1774">IF(OR(AND(12&lt;=E195,E195&lt;=15),COUNTIF(E195, "中*")),"中学生","")</f>
        <v/>
      </c>
      <c r="AY195" s="1983" t="str">
        <f t="shared" ref="AY195" si="1775">IF(OR(AND(15&lt;=E195,E195&lt;=18),COUNTIF(E195, "高*")),"高校生(～18歳)","")</f>
        <v/>
      </c>
      <c r="AZ195" s="1983" t="str">
        <f t="shared" ref="AZ195" si="1776">IF(OR(19&lt;=E195,COUNTIF(E195, "大*"),COUNTIF(E195, "*院*"),COUNTIF(E195, "*専*")),"一般(19歳～)","")</f>
        <v/>
      </c>
      <c r="BA195" s="1983" t="s">
        <v>475</v>
      </c>
      <c r="BB195" s="652" t="str">
        <f t="shared" ref="BB195" si="1777">IF(OR(AND(D195="",I195="",M195="",R195="",W195="",AB195="",AG195=""),AND(D195&lt;&gt;"",OR(I195&lt;&gt;"",M195&lt;&gt;"",R195&lt;&gt;"",W195&lt;&gt;"",AB195&lt;&gt;"",AG195&lt;&gt;""))),"○","×")</f>
        <v>○</v>
      </c>
      <c r="BC195" s="652" t="str">
        <f t="shared" ref="BC195" si="1778">IF(AND(BD195="○",BE195="○",BF195="○",BG195="○",BH195="○",BI195="○"),"○","×")</f>
        <v>○</v>
      </c>
      <c r="BD195" s="653" t="str">
        <f t="shared" ref="BD195" si="1779">IF(AND($I$7=" ",OR(I195&lt;&gt;"",K195&lt;&gt;"",L195&lt;&gt;"")),"×","○")</f>
        <v>○</v>
      </c>
      <c r="BE195" s="653" t="str">
        <f t="shared" ref="BE195" si="1780">IF(AND($M$7=" ",OR(M195&lt;&gt;"",O195&lt;&gt;"",P195&lt;&gt;"",Q195&lt;&gt;"")),"×","○")</f>
        <v>○</v>
      </c>
      <c r="BF195" s="653" t="str">
        <f t="shared" ref="BF195" si="1781">IF(AND($R$7=" ",OR(R195&lt;&gt;"",T195&lt;&gt;"",U195&lt;&gt;"",V195&lt;&gt;"")),"×","○")</f>
        <v>○</v>
      </c>
      <c r="BG195" s="653" t="str">
        <f t="shared" ref="BG195" si="1782">IF(AND($W$7=" ",OR(W195&lt;&gt;"",Y195&lt;&gt;"",Z195&lt;&gt;"",AA195&lt;&gt;"")),"×","○")</f>
        <v>○</v>
      </c>
      <c r="BH195" s="653" t="str">
        <f t="shared" ref="BH195" si="1783">IF(AND($AB$7=" ",OR(AB195&lt;&gt;"",AD195&lt;&gt;"",AE195&lt;&gt;"",AF195&lt;&gt;"")),"×","○")</f>
        <v>○</v>
      </c>
      <c r="BI195" s="653" t="str">
        <f t="shared" ref="BI195" si="1784">IF(AND($AG$7=" ",OR(AG195&lt;&gt;"",AI195&lt;&gt;"",AJ195&lt;&gt;"")),"×","○")</f>
        <v>○</v>
      </c>
      <c r="BJ195" s="2225" t="e">
        <f t="shared" ref="BJ195" si="1785">SUMPRODUCT(1/COUNTIF(I195:AH195,"宿泊"))</f>
        <v>#DIV/0!</v>
      </c>
      <c r="BK195" s="2226" t="e">
        <f t="shared" ref="BK195" si="1786">SUMPRODUCT(1/COUNTIF(I195:AH195,"日帰り"))</f>
        <v>#DIV/0!</v>
      </c>
      <c r="BL195" s="1381">
        <f t="shared" ref="BL195" si="1787">COUNT(BJ195)-COUNT(BK195)</f>
        <v>0</v>
      </c>
      <c r="BM195" s="684"/>
    </row>
    <row r="196" spans="1:65" ht="14.1" customHeight="1" x14ac:dyDescent="0.15">
      <c r="A196" s="652"/>
      <c r="B196" s="2174"/>
      <c r="C196" s="2117"/>
      <c r="D196" s="2007"/>
      <c r="E196" s="2005"/>
      <c r="F196" s="2042"/>
      <c r="G196" s="2119"/>
      <c r="H196" s="2107"/>
      <c r="I196" s="2112"/>
      <c r="J196" s="2113"/>
      <c r="K196" s="2105"/>
      <c r="L196" s="2127"/>
      <c r="M196" s="2112"/>
      <c r="N196" s="2113"/>
      <c r="O196" s="2105"/>
      <c r="P196" s="2105"/>
      <c r="Q196" s="2107"/>
      <c r="R196" s="2112"/>
      <c r="S196" s="2113"/>
      <c r="T196" s="2105"/>
      <c r="U196" s="2105"/>
      <c r="V196" s="2107"/>
      <c r="W196" s="2112"/>
      <c r="X196" s="2113"/>
      <c r="Y196" s="2105"/>
      <c r="Z196" s="2105"/>
      <c r="AA196" s="2107"/>
      <c r="AB196" s="2112"/>
      <c r="AC196" s="2113"/>
      <c r="AD196" s="2105"/>
      <c r="AE196" s="2105"/>
      <c r="AF196" s="2107"/>
      <c r="AG196" s="2112"/>
      <c r="AH196" s="2113"/>
      <c r="AI196" s="2105"/>
      <c r="AJ196" s="2105"/>
      <c r="AK196" s="2011"/>
      <c r="AL196" s="2012"/>
      <c r="AM196" s="2012"/>
      <c r="AN196" s="2013"/>
      <c r="AO196" s="2011"/>
      <c r="AP196" s="2012"/>
      <c r="AQ196" s="2012"/>
      <c r="AR196" s="2013"/>
      <c r="AS196" s="651"/>
      <c r="AT196" s="652"/>
      <c r="AU196" s="1983"/>
      <c r="AV196" s="1983"/>
      <c r="AW196" s="1983"/>
      <c r="AX196" s="1983"/>
      <c r="AY196" s="1983"/>
      <c r="AZ196" s="1983"/>
      <c r="BA196" s="1983"/>
      <c r="BB196" s="654"/>
      <c r="BC196" s="654"/>
      <c r="BD196" s="652"/>
      <c r="BE196" s="652"/>
      <c r="BF196" s="652"/>
      <c r="BG196" s="652"/>
      <c r="BH196" s="652"/>
      <c r="BI196" s="652"/>
      <c r="BJ196" s="2225"/>
      <c r="BK196" s="2226"/>
      <c r="BL196" s="1381"/>
      <c r="BM196" s="684"/>
    </row>
    <row r="197" spans="1:65" ht="14.1" customHeight="1" x14ac:dyDescent="0.15">
      <c r="A197" s="652" t="str">
        <f t="shared" ref="A197" si="1788">IF(AND(D197="",D199&lt;&gt;""),"×","○")</f>
        <v>○</v>
      </c>
      <c r="B197" s="2174" t="str">
        <f t="shared" ref="B197" si="1789">IF(AND(AT197="○",BB197="○",BC197="○",A197="○"),"○","×")</f>
        <v>○</v>
      </c>
      <c r="C197" s="2120">
        <v>92</v>
      </c>
      <c r="D197" s="2006"/>
      <c r="E197" s="2004"/>
      <c r="F197" s="2041"/>
      <c r="G197" s="2118"/>
      <c r="H197" s="2106"/>
      <c r="I197" s="2141"/>
      <c r="J197" s="2142"/>
      <c r="K197" s="2104"/>
      <c r="L197" s="2140"/>
      <c r="M197" s="2110"/>
      <c r="N197" s="2111"/>
      <c r="O197" s="2104"/>
      <c r="P197" s="2104"/>
      <c r="Q197" s="2106"/>
      <c r="R197" s="2110"/>
      <c r="S197" s="2111"/>
      <c r="T197" s="2104"/>
      <c r="U197" s="2104"/>
      <c r="V197" s="2106"/>
      <c r="W197" s="2110"/>
      <c r="X197" s="2111"/>
      <c r="Y197" s="2104"/>
      <c r="Z197" s="2104"/>
      <c r="AA197" s="2106"/>
      <c r="AB197" s="2110"/>
      <c r="AC197" s="2111"/>
      <c r="AD197" s="2104"/>
      <c r="AE197" s="2104"/>
      <c r="AF197" s="2106"/>
      <c r="AG197" s="2110"/>
      <c r="AH197" s="2111"/>
      <c r="AI197" s="2104"/>
      <c r="AJ197" s="2104"/>
      <c r="AK197" s="2038"/>
      <c r="AL197" s="2039"/>
      <c r="AM197" s="2039"/>
      <c r="AN197" s="2040"/>
      <c r="AO197" s="2008"/>
      <c r="AP197" s="2009"/>
      <c r="AQ197" s="2009"/>
      <c r="AR197" s="2010"/>
      <c r="AS197" s="651"/>
      <c r="AT197" s="652" t="str">
        <f t="shared" ref="AT197" si="1790">IF(OR(AND(D197&lt;&gt;"",OR(AND(E197&lt;&gt;"",F197&lt;&gt;"",OR(G197&lt;&gt;"",H197&lt;&gt;"")),AND(E197="",F197="バス・カメラマン等"))),AND(D197="",E197="",F197="",OR(G197="",H197=""))),"○","×")</f>
        <v>○</v>
      </c>
      <c r="AU197" s="1983" t="str">
        <f t="shared" ref="AU197" si="1791">IF(AND(E197&lt;&gt;"",E197&lt;=2),"2歳児以下","")</f>
        <v/>
      </c>
      <c r="AV197" s="1983" t="str">
        <f t="shared" ref="AV197" si="1792">IF(OR(AND(3&lt;=E197,E197&lt;=6),COUNTIF(E197, "幼*"),COUNTIF(E197, "年少"),COUNTIF(E197, "年中"),COUNTIF(E197, "年長")),"3歳-学齢前","")</f>
        <v/>
      </c>
      <c r="AW197" s="1983" t="str">
        <f t="shared" ref="AW197" si="1793">IF(OR(AND(6&lt;=E197,E197&lt;=12),COUNTIF(E197, "小*")),"小学生","")</f>
        <v/>
      </c>
      <c r="AX197" s="1983" t="str">
        <f t="shared" ref="AX197" si="1794">IF(OR(AND(12&lt;=E197,E197&lt;=15),COUNTIF(E197, "中*")),"中学生","")</f>
        <v/>
      </c>
      <c r="AY197" s="1983" t="str">
        <f t="shared" ref="AY197" si="1795">IF(OR(AND(15&lt;=E197,E197&lt;=18),COUNTIF(E197, "高*")),"高校生(～18歳)","")</f>
        <v/>
      </c>
      <c r="AZ197" s="1983" t="str">
        <f t="shared" ref="AZ197" si="1796">IF(OR(19&lt;=E197,COUNTIF(E197, "大*"),COUNTIF(E197, "*院*"),COUNTIF(E197, "*専*")),"一般(19歳～)","")</f>
        <v/>
      </c>
      <c r="BA197" s="1983" t="s">
        <v>475</v>
      </c>
      <c r="BB197" s="652" t="str">
        <f t="shared" ref="BB197" si="1797">IF(OR(AND(D197="",I197="",M197="",R197="",W197="",AB197="",AG197=""),AND(D197&lt;&gt;"",OR(I197&lt;&gt;"",M197&lt;&gt;"",R197&lt;&gt;"",W197&lt;&gt;"",AB197&lt;&gt;"",AG197&lt;&gt;""))),"○","×")</f>
        <v>○</v>
      </c>
      <c r="BC197" s="652" t="str">
        <f t="shared" ref="BC197" si="1798">IF(AND(BD197="○",BE197="○",BF197="○",BG197="○",BH197="○",BI197="○"),"○","×")</f>
        <v>○</v>
      </c>
      <c r="BD197" s="653" t="str">
        <f t="shared" ref="BD197" si="1799">IF(AND($I$7=" ",OR(I197&lt;&gt;"",K197&lt;&gt;"",L197&lt;&gt;"")),"×","○")</f>
        <v>○</v>
      </c>
      <c r="BE197" s="653" t="str">
        <f t="shared" ref="BE197" si="1800">IF(AND($M$7=" ",OR(M197&lt;&gt;"",O197&lt;&gt;"",P197&lt;&gt;"",Q197&lt;&gt;"")),"×","○")</f>
        <v>○</v>
      </c>
      <c r="BF197" s="653" t="str">
        <f t="shared" ref="BF197" si="1801">IF(AND($R$7=" ",OR(R197&lt;&gt;"",T197&lt;&gt;"",U197&lt;&gt;"",V197&lt;&gt;"")),"×","○")</f>
        <v>○</v>
      </c>
      <c r="BG197" s="653" t="str">
        <f t="shared" ref="BG197" si="1802">IF(AND($W$7=" ",OR(W197&lt;&gt;"",Y197&lt;&gt;"",Z197&lt;&gt;"",AA197&lt;&gt;"")),"×","○")</f>
        <v>○</v>
      </c>
      <c r="BH197" s="653" t="str">
        <f t="shared" ref="BH197" si="1803">IF(AND($AB$7=" ",OR(AB197&lt;&gt;"",AD197&lt;&gt;"",AE197&lt;&gt;"",AF197&lt;&gt;"")),"×","○")</f>
        <v>○</v>
      </c>
      <c r="BI197" s="653" t="str">
        <f t="shared" ref="BI197" si="1804">IF(AND($AG$7=" ",OR(AG197&lt;&gt;"",AI197&lt;&gt;"",AJ197&lt;&gt;"")),"×","○")</f>
        <v>○</v>
      </c>
      <c r="BJ197" s="2225" t="e">
        <f t="shared" ref="BJ197" si="1805">SUMPRODUCT(1/COUNTIF(I197:AH197,"宿泊"))</f>
        <v>#DIV/0!</v>
      </c>
      <c r="BK197" s="2226" t="e">
        <f t="shared" ref="BK197" si="1806">SUMPRODUCT(1/COUNTIF(I197:AH197,"日帰り"))</f>
        <v>#DIV/0!</v>
      </c>
      <c r="BL197" s="1381">
        <f t="shared" ref="BL197" si="1807">COUNT(BJ197)-COUNT(BK197)</f>
        <v>0</v>
      </c>
      <c r="BM197" s="684"/>
    </row>
    <row r="198" spans="1:65" ht="14.1" customHeight="1" x14ac:dyDescent="0.15">
      <c r="A198" s="652"/>
      <c r="B198" s="2174"/>
      <c r="C198" s="2117"/>
      <c r="D198" s="2007"/>
      <c r="E198" s="2005"/>
      <c r="F198" s="2042"/>
      <c r="G198" s="2119"/>
      <c r="H198" s="2107"/>
      <c r="I198" s="2112"/>
      <c r="J198" s="2113"/>
      <c r="K198" s="2105"/>
      <c r="L198" s="2127"/>
      <c r="M198" s="2112"/>
      <c r="N198" s="2113"/>
      <c r="O198" s="2105"/>
      <c r="P198" s="2105"/>
      <c r="Q198" s="2107"/>
      <c r="R198" s="2112"/>
      <c r="S198" s="2113"/>
      <c r="T198" s="2105"/>
      <c r="U198" s="2105"/>
      <c r="V198" s="2107"/>
      <c r="W198" s="2112"/>
      <c r="X198" s="2113"/>
      <c r="Y198" s="2105"/>
      <c r="Z198" s="2105"/>
      <c r="AA198" s="2107"/>
      <c r="AB198" s="2112"/>
      <c r="AC198" s="2113"/>
      <c r="AD198" s="2105"/>
      <c r="AE198" s="2105"/>
      <c r="AF198" s="2107"/>
      <c r="AG198" s="2112"/>
      <c r="AH198" s="2113"/>
      <c r="AI198" s="2105"/>
      <c r="AJ198" s="2105"/>
      <c r="AK198" s="2011"/>
      <c r="AL198" s="2012"/>
      <c r="AM198" s="2012"/>
      <c r="AN198" s="2013"/>
      <c r="AO198" s="2011"/>
      <c r="AP198" s="2012"/>
      <c r="AQ198" s="2012"/>
      <c r="AR198" s="2013"/>
      <c r="AS198" s="651"/>
      <c r="AT198" s="652"/>
      <c r="AU198" s="1983"/>
      <c r="AV198" s="1983"/>
      <c r="AW198" s="1983"/>
      <c r="AX198" s="1983"/>
      <c r="AY198" s="1983"/>
      <c r="AZ198" s="1983"/>
      <c r="BA198" s="1983"/>
      <c r="BB198" s="654"/>
      <c r="BC198" s="654"/>
      <c r="BD198" s="652"/>
      <c r="BE198" s="652"/>
      <c r="BF198" s="652"/>
      <c r="BG198" s="652"/>
      <c r="BH198" s="652"/>
      <c r="BI198" s="652"/>
      <c r="BJ198" s="2225"/>
      <c r="BK198" s="2226"/>
      <c r="BL198" s="1381"/>
      <c r="BM198" s="684"/>
    </row>
    <row r="199" spans="1:65" ht="14.1" customHeight="1" x14ac:dyDescent="0.15">
      <c r="A199" s="652" t="str">
        <f t="shared" ref="A199" si="1808">IF(AND(D199="",D201&lt;&gt;""),"×","○")</f>
        <v>○</v>
      </c>
      <c r="B199" s="2174" t="str">
        <f t="shared" ref="B199" si="1809">IF(AND(AT199="○",BB199="○",BC199="○",A199="○"),"○","×")</f>
        <v>○</v>
      </c>
      <c r="C199" s="2116">
        <v>93</v>
      </c>
      <c r="D199" s="2006"/>
      <c r="E199" s="2004"/>
      <c r="F199" s="2041"/>
      <c r="G199" s="2118"/>
      <c r="H199" s="2106"/>
      <c r="I199" s="2141"/>
      <c r="J199" s="2142"/>
      <c r="K199" s="2104"/>
      <c r="L199" s="2140"/>
      <c r="M199" s="2110"/>
      <c r="N199" s="2111"/>
      <c r="O199" s="2104"/>
      <c r="P199" s="2104"/>
      <c r="Q199" s="2106"/>
      <c r="R199" s="2110"/>
      <c r="S199" s="2111"/>
      <c r="T199" s="2104"/>
      <c r="U199" s="2104"/>
      <c r="V199" s="2106"/>
      <c r="W199" s="2110"/>
      <c r="X199" s="2111"/>
      <c r="Y199" s="2104"/>
      <c r="Z199" s="2104"/>
      <c r="AA199" s="2106"/>
      <c r="AB199" s="2110"/>
      <c r="AC199" s="2111"/>
      <c r="AD199" s="2104"/>
      <c r="AE199" s="2104"/>
      <c r="AF199" s="2106"/>
      <c r="AG199" s="2110"/>
      <c r="AH199" s="2111"/>
      <c r="AI199" s="2104"/>
      <c r="AJ199" s="2104"/>
      <c r="AK199" s="2038"/>
      <c r="AL199" s="2039"/>
      <c r="AM199" s="2039"/>
      <c r="AN199" s="2040"/>
      <c r="AO199" s="2008"/>
      <c r="AP199" s="2009"/>
      <c r="AQ199" s="2009"/>
      <c r="AR199" s="2010"/>
      <c r="AS199" s="651"/>
      <c r="AT199" s="652" t="str">
        <f t="shared" ref="AT199" si="1810">IF(OR(AND(D199&lt;&gt;"",OR(AND(E199&lt;&gt;"",F199&lt;&gt;"",OR(G199&lt;&gt;"",H199&lt;&gt;"")),AND(E199="",F199="バス・カメラマン等"))),AND(D199="",E199="",F199="",OR(G199="",H199=""))),"○","×")</f>
        <v>○</v>
      </c>
      <c r="AU199" s="1983" t="str">
        <f t="shared" ref="AU199" si="1811">IF(AND(E199&lt;&gt;"",E199&lt;=2),"2歳児以下","")</f>
        <v/>
      </c>
      <c r="AV199" s="1983" t="str">
        <f t="shared" ref="AV199" si="1812">IF(OR(AND(3&lt;=E199,E199&lt;=6),COUNTIF(E199, "幼*"),COUNTIF(E199, "年少"),COUNTIF(E199, "年中"),COUNTIF(E199, "年長")),"3歳-学齢前","")</f>
        <v/>
      </c>
      <c r="AW199" s="1983" t="str">
        <f t="shared" ref="AW199" si="1813">IF(OR(AND(6&lt;=E199,E199&lt;=12),COUNTIF(E199, "小*")),"小学生","")</f>
        <v/>
      </c>
      <c r="AX199" s="1983" t="str">
        <f t="shared" ref="AX199" si="1814">IF(OR(AND(12&lt;=E199,E199&lt;=15),COUNTIF(E199, "中*")),"中学生","")</f>
        <v/>
      </c>
      <c r="AY199" s="1983" t="str">
        <f t="shared" ref="AY199" si="1815">IF(OR(AND(15&lt;=E199,E199&lt;=18),COUNTIF(E199, "高*")),"高校生(～18歳)","")</f>
        <v/>
      </c>
      <c r="AZ199" s="1983" t="str">
        <f t="shared" ref="AZ199" si="1816">IF(OR(19&lt;=E199,COUNTIF(E199, "大*"),COUNTIF(E199, "*院*"),COUNTIF(E199, "*専*")),"一般(19歳～)","")</f>
        <v/>
      </c>
      <c r="BA199" s="1983" t="s">
        <v>475</v>
      </c>
      <c r="BB199" s="652" t="str">
        <f t="shared" ref="BB199" si="1817">IF(OR(AND(D199="",I199="",M199="",R199="",W199="",AB199="",AG199=""),AND(D199&lt;&gt;"",OR(I199&lt;&gt;"",M199&lt;&gt;"",R199&lt;&gt;"",W199&lt;&gt;"",AB199&lt;&gt;"",AG199&lt;&gt;""))),"○","×")</f>
        <v>○</v>
      </c>
      <c r="BC199" s="652" t="str">
        <f t="shared" ref="BC199" si="1818">IF(AND(BD199="○",BE199="○",BF199="○",BG199="○",BH199="○",BI199="○"),"○","×")</f>
        <v>○</v>
      </c>
      <c r="BD199" s="653" t="str">
        <f t="shared" ref="BD199" si="1819">IF(AND($I$7=" ",OR(I199&lt;&gt;"",K199&lt;&gt;"",L199&lt;&gt;"")),"×","○")</f>
        <v>○</v>
      </c>
      <c r="BE199" s="653" t="str">
        <f t="shared" ref="BE199" si="1820">IF(AND($M$7=" ",OR(M199&lt;&gt;"",O199&lt;&gt;"",P199&lt;&gt;"",Q199&lt;&gt;"")),"×","○")</f>
        <v>○</v>
      </c>
      <c r="BF199" s="653" t="str">
        <f t="shared" ref="BF199" si="1821">IF(AND($R$7=" ",OR(R199&lt;&gt;"",T199&lt;&gt;"",U199&lt;&gt;"",V199&lt;&gt;"")),"×","○")</f>
        <v>○</v>
      </c>
      <c r="BG199" s="653" t="str">
        <f t="shared" ref="BG199" si="1822">IF(AND($W$7=" ",OR(W199&lt;&gt;"",Y199&lt;&gt;"",Z199&lt;&gt;"",AA199&lt;&gt;"")),"×","○")</f>
        <v>○</v>
      </c>
      <c r="BH199" s="653" t="str">
        <f t="shared" ref="BH199" si="1823">IF(AND($AB$7=" ",OR(AB199&lt;&gt;"",AD199&lt;&gt;"",AE199&lt;&gt;"",AF199&lt;&gt;"")),"×","○")</f>
        <v>○</v>
      </c>
      <c r="BI199" s="653" t="str">
        <f t="shared" ref="BI199" si="1824">IF(AND($AG$7=" ",OR(AG199&lt;&gt;"",AI199&lt;&gt;"",AJ199&lt;&gt;"")),"×","○")</f>
        <v>○</v>
      </c>
      <c r="BJ199" s="2225" t="e">
        <f t="shared" ref="BJ199" si="1825">SUMPRODUCT(1/COUNTIF(I199:AH199,"宿泊"))</f>
        <v>#DIV/0!</v>
      </c>
      <c r="BK199" s="2226" t="e">
        <f t="shared" ref="BK199" si="1826">SUMPRODUCT(1/COUNTIF(I199:AH199,"日帰り"))</f>
        <v>#DIV/0!</v>
      </c>
      <c r="BL199" s="1381">
        <f t="shared" ref="BL199" si="1827">COUNT(BJ199)-COUNT(BK199)</f>
        <v>0</v>
      </c>
      <c r="BM199" s="684"/>
    </row>
    <row r="200" spans="1:65" ht="14.1" customHeight="1" x14ac:dyDescent="0.15">
      <c r="A200" s="652"/>
      <c r="B200" s="2174"/>
      <c r="C200" s="2117"/>
      <c r="D200" s="2007"/>
      <c r="E200" s="2005"/>
      <c r="F200" s="2042"/>
      <c r="G200" s="2119"/>
      <c r="H200" s="2107"/>
      <c r="I200" s="2112"/>
      <c r="J200" s="2113"/>
      <c r="K200" s="2105"/>
      <c r="L200" s="2127"/>
      <c r="M200" s="2112"/>
      <c r="N200" s="2113"/>
      <c r="O200" s="2105"/>
      <c r="P200" s="2105"/>
      <c r="Q200" s="2107"/>
      <c r="R200" s="2112"/>
      <c r="S200" s="2113"/>
      <c r="T200" s="2105"/>
      <c r="U200" s="2105"/>
      <c r="V200" s="2107"/>
      <c r="W200" s="2112"/>
      <c r="X200" s="2113"/>
      <c r="Y200" s="2105"/>
      <c r="Z200" s="2105"/>
      <c r="AA200" s="2107"/>
      <c r="AB200" s="2112"/>
      <c r="AC200" s="2113"/>
      <c r="AD200" s="2105"/>
      <c r="AE200" s="2105"/>
      <c r="AF200" s="2107"/>
      <c r="AG200" s="2112"/>
      <c r="AH200" s="2113"/>
      <c r="AI200" s="2105"/>
      <c r="AJ200" s="2105"/>
      <c r="AK200" s="2011"/>
      <c r="AL200" s="2012"/>
      <c r="AM200" s="2012"/>
      <c r="AN200" s="2013"/>
      <c r="AO200" s="2011"/>
      <c r="AP200" s="2012"/>
      <c r="AQ200" s="2012"/>
      <c r="AR200" s="2013"/>
      <c r="AS200" s="651"/>
      <c r="AT200" s="652"/>
      <c r="AU200" s="1983"/>
      <c r="AV200" s="1983"/>
      <c r="AW200" s="1983"/>
      <c r="AX200" s="1983"/>
      <c r="AY200" s="1983"/>
      <c r="AZ200" s="1983"/>
      <c r="BA200" s="1983"/>
      <c r="BB200" s="654"/>
      <c r="BC200" s="654"/>
      <c r="BD200" s="652"/>
      <c r="BE200" s="652"/>
      <c r="BF200" s="652"/>
      <c r="BG200" s="652"/>
      <c r="BH200" s="652"/>
      <c r="BI200" s="652"/>
      <c r="BJ200" s="2225"/>
      <c r="BK200" s="2226"/>
      <c r="BL200" s="1381"/>
      <c r="BM200" s="684"/>
    </row>
    <row r="201" spans="1:65" ht="14.1" customHeight="1" x14ac:dyDescent="0.15">
      <c r="A201" s="652" t="str">
        <f t="shared" ref="A201" si="1828">IF(AND(D201="",D203&lt;&gt;""),"×","○")</f>
        <v>○</v>
      </c>
      <c r="B201" s="2174" t="str">
        <f t="shared" ref="B201" si="1829">IF(AND(AT201="○",BB201="○",BC201="○",A201="○"),"○","×")</f>
        <v>○</v>
      </c>
      <c r="C201" s="2116">
        <v>94</v>
      </c>
      <c r="D201" s="2006"/>
      <c r="E201" s="2004"/>
      <c r="F201" s="2041"/>
      <c r="G201" s="2118"/>
      <c r="H201" s="2106"/>
      <c r="I201" s="2141"/>
      <c r="J201" s="2142"/>
      <c r="K201" s="2104"/>
      <c r="L201" s="2140"/>
      <c r="M201" s="2110"/>
      <c r="N201" s="2111"/>
      <c r="O201" s="2104"/>
      <c r="P201" s="2104"/>
      <c r="Q201" s="2106"/>
      <c r="R201" s="2110"/>
      <c r="S201" s="2111"/>
      <c r="T201" s="2104"/>
      <c r="U201" s="2104"/>
      <c r="V201" s="2106"/>
      <c r="W201" s="2110"/>
      <c r="X201" s="2111"/>
      <c r="Y201" s="2104"/>
      <c r="Z201" s="2104"/>
      <c r="AA201" s="2106"/>
      <c r="AB201" s="2110"/>
      <c r="AC201" s="2111"/>
      <c r="AD201" s="2104"/>
      <c r="AE201" s="2104"/>
      <c r="AF201" s="2106"/>
      <c r="AG201" s="2110"/>
      <c r="AH201" s="2111"/>
      <c r="AI201" s="2104"/>
      <c r="AJ201" s="2104"/>
      <c r="AK201" s="2038"/>
      <c r="AL201" s="2039"/>
      <c r="AM201" s="2039"/>
      <c r="AN201" s="2040"/>
      <c r="AO201" s="2008"/>
      <c r="AP201" s="2009"/>
      <c r="AQ201" s="2009"/>
      <c r="AR201" s="2010"/>
      <c r="AS201" s="651"/>
      <c r="AT201" s="652" t="str">
        <f t="shared" ref="AT201" si="1830">IF(OR(AND(D201&lt;&gt;"",OR(AND(E201&lt;&gt;"",F201&lt;&gt;"",OR(G201&lt;&gt;"",H201&lt;&gt;"")),AND(E201="",F201="バス・カメラマン等"))),AND(D201="",E201="",F201="",OR(G201="",H201=""))),"○","×")</f>
        <v>○</v>
      </c>
      <c r="AU201" s="1983" t="str">
        <f t="shared" ref="AU201" si="1831">IF(AND(E201&lt;&gt;"",E201&lt;=2),"2歳児以下","")</f>
        <v/>
      </c>
      <c r="AV201" s="1983" t="str">
        <f t="shared" ref="AV201" si="1832">IF(OR(AND(3&lt;=E201,E201&lt;=6),COUNTIF(E201, "幼*"),COUNTIF(E201, "年少"),COUNTIF(E201, "年中"),COUNTIF(E201, "年長")),"3歳-学齢前","")</f>
        <v/>
      </c>
      <c r="AW201" s="1983" t="str">
        <f t="shared" ref="AW201" si="1833">IF(OR(AND(6&lt;=E201,E201&lt;=12),COUNTIF(E201, "小*")),"小学生","")</f>
        <v/>
      </c>
      <c r="AX201" s="1983" t="str">
        <f t="shared" ref="AX201" si="1834">IF(OR(AND(12&lt;=E201,E201&lt;=15),COUNTIF(E201, "中*")),"中学生","")</f>
        <v/>
      </c>
      <c r="AY201" s="1983" t="str">
        <f t="shared" ref="AY201" si="1835">IF(OR(AND(15&lt;=E201,E201&lt;=18),COUNTIF(E201, "高*")),"高校生(～18歳)","")</f>
        <v/>
      </c>
      <c r="AZ201" s="1983" t="str">
        <f t="shared" ref="AZ201" si="1836">IF(OR(19&lt;=E201,COUNTIF(E201, "大*"),COUNTIF(E201, "*院*"),COUNTIF(E201, "*専*")),"一般(19歳～)","")</f>
        <v/>
      </c>
      <c r="BA201" s="1983" t="s">
        <v>475</v>
      </c>
      <c r="BB201" s="652" t="str">
        <f t="shared" ref="BB201" si="1837">IF(OR(AND(D201="",I201="",M201="",R201="",W201="",AB201="",AG201=""),AND(D201&lt;&gt;"",OR(I201&lt;&gt;"",M201&lt;&gt;"",R201&lt;&gt;"",W201&lt;&gt;"",AB201&lt;&gt;"",AG201&lt;&gt;""))),"○","×")</f>
        <v>○</v>
      </c>
      <c r="BC201" s="652" t="str">
        <f t="shared" ref="BC201" si="1838">IF(AND(BD201="○",BE201="○",BF201="○",BG201="○",BH201="○",BI201="○"),"○","×")</f>
        <v>○</v>
      </c>
      <c r="BD201" s="653" t="str">
        <f t="shared" ref="BD201" si="1839">IF(AND($I$7=" ",OR(I201&lt;&gt;"",K201&lt;&gt;"",L201&lt;&gt;"")),"×","○")</f>
        <v>○</v>
      </c>
      <c r="BE201" s="653" t="str">
        <f t="shared" ref="BE201" si="1840">IF(AND($M$7=" ",OR(M201&lt;&gt;"",O201&lt;&gt;"",P201&lt;&gt;"",Q201&lt;&gt;"")),"×","○")</f>
        <v>○</v>
      </c>
      <c r="BF201" s="653" t="str">
        <f t="shared" ref="BF201" si="1841">IF(AND($R$7=" ",OR(R201&lt;&gt;"",T201&lt;&gt;"",U201&lt;&gt;"",V201&lt;&gt;"")),"×","○")</f>
        <v>○</v>
      </c>
      <c r="BG201" s="653" t="str">
        <f t="shared" ref="BG201" si="1842">IF(AND($W$7=" ",OR(W201&lt;&gt;"",Y201&lt;&gt;"",Z201&lt;&gt;"",AA201&lt;&gt;"")),"×","○")</f>
        <v>○</v>
      </c>
      <c r="BH201" s="653" t="str">
        <f t="shared" ref="BH201" si="1843">IF(AND($AB$7=" ",OR(AB201&lt;&gt;"",AD201&lt;&gt;"",AE201&lt;&gt;"",AF201&lt;&gt;"")),"×","○")</f>
        <v>○</v>
      </c>
      <c r="BI201" s="653" t="str">
        <f t="shared" ref="BI201" si="1844">IF(AND($AG$7=" ",OR(AG201&lt;&gt;"",AI201&lt;&gt;"",AJ201&lt;&gt;"")),"×","○")</f>
        <v>○</v>
      </c>
      <c r="BJ201" s="2225" t="e">
        <f t="shared" ref="BJ201" si="1845">SUMPRODUCT(1/COUNTIF(I201:AH201,"宿泊"))</f>
        <v>#DIV/0!</v>
      </c>
      <c r="BK201" s="2226" t="e">
        <f t="shared" ref="BK201" si="1846">SUMPRODUCT(1/COUNTIF(I201:AH201,"日帰り"))</f>
        <v>#DIV/0!</v>
      </c>
      <c r="BL201" s="1381">
        <f t="shared" ref="BL201" si="1847">COUNT(BJ201)-COUNT(BK201)</f>
        <v>0</v>
      </c>
      <c r="BM201" s="684"/>
    </row>
    <row r="202" spans="1:65" ht="14.1" customHeight="1" x14ac:dyDescent="0.15">
      <c r="A202" s="652"/>
      <c r="B202" s="2174"/>
      <c r="C202" s="2117"/>
      <c r="D202" s="2007"/>
      <c r="E202" s="2005"/>
      <c r="F202" s="2042"/>
      <c r="G202" s="2119"/>
      <c r="H202" s="2107"/>
      <c r="I202" s="2112"/>
      <c r="J202" s="2113"/>
      <c r="K202" s="2105"/>
      <c r="L202" s="2127"/>
      <c r="M202" s="2112"/>
      <c r="N202" s="2113"/>
      <c r="O202" s="2105"/>
      <c r="P202" s="2105"/>
      <c r="Q202" s="2107"/>
      <c r="R202" s="2112"/>
      <c r="S202" s="2113"/>
      <c r="T202" s="2105"/>
      <c r="U202" s="2105"/>
      <c r="V202" s="2107"/>
      <c r="W202" s="2112"/>
      <c r="X202" s="2113"/>
      <c r="Y202" s="2105"/>
      <c r="Z202" s="2105"/>
      <c r="AA202" s="2107"/>
      <c r="AB202" s="2112"/>
      <c r="AC202" s="2113"/>
      <c r="AD202" s="2105"/>
      <c r="AE202" s="2105"/>
      <c r="AF202" s="2107"/>
      <c r="AG202" s="2112"/>
      <c r="AH202" s="2113"/>
      <c r="AI202" s="2105"/>
      <c r="AJ202" s="2105"/>
      <c r="AK202" s="2011"/>
      <c r="AL202" s="2012"/>
      <c r="AM202" s="2012"/>
      <c r="AN202" s="2013"/>
      <c r="AO202" s="2011"/>
      <c r="AP202" s="2012"/>
      <c r="AQ202" s="2012"/>
      <c r="AR202" s="2013"/>
      <c r="AS202" s="651"/>
      <c r="AT202" s="652"/>
      <c r="AU202" s="1983"/>
      <c r="AV202" s="1983"/>
      <c r="AW202" s="1983"/>
      <c r="AX202" s="1983"/>
      <c r="AY202" s="1983"/>
      <c r="AZ202" s="1983"/>
      <c r="BA202" s="1983"/>
      <c r="BB202" s="654"/>
      <c r="BC202" s="654"/>
      <c r="BD202" s="652"/>
      <c r="BE202" s="652"/>
      <c r="BF202" s="652"/>
      <c r="BG202" s="652"/>
      <c r="BH202" s="652"/>
      <c r="BI202" s="652"/>
      <c r="BJ202" s="2225"/>
      <c r="BK202" s="2226"/>
      <c r="BL202" s="1381"/>
      <c r="BM202" s="684"/>
    </row>
    <row r="203" spans="1:65" ht="14.1" customHeight="1" x14ac:dyDescent="0.15">
      <c r="A203" s="652" t="str">
        <f t="shared" ref="A203" si="1848">IF(AND(D203="",D205&lt;&gt;""),"×","○")</f>
        <v>○</v>
      </c>
      <c r="B203" s="2174" t="str">
        <f t="shared" ref="B203" si="1849">IF(AND(AT203="○",BB203="○",BC203="○",A203="○"),"○","×")</f>
        <v>○</v>
      </c>
      <c r="C203" s="2116">
        <v>95</v>
      </c>
      <c r="D203" s="2006"/>
      <c r="E203" s="2004"/>
      <c r="F203" s="2041"/>
      <c r="G203" s="2118"/>
      <c r="H203" s="2106"/>
      <c r="I203" s="2141"/>
      <c r="J203" s="2142"/>
      <c r="K203" s="2104"/>
      <c r="L203" s="2140"/>
      <c r="M203" s="2110"/>
      <c r="N203" s="2111"/>
      <c r="O203" s="2104"/>
      <c r="P203" s="2104"/>
      <c r="Q203" s="2106"/>
      <c r="R203" s="2110"/>
      <c r="S203" s="2111"/>
      <c r="T203" s="2104"/>
      <c r="U203" s="2104"/>
      <c r="V203" s="2106"/>
      <c r="W203" s="2110"/>
      <c r="X203" s="2111"/>
      <c r="Y203" s="2104"/>
      <c r="Z203" s="2104"/>
      <c r="AA203" s="2106"/>
      <c r="AB203" s="2110"/>
      <c r="AC203" s="2111"/>
      <c r="AD203" s="2104"/>
      <c r="AE203" s="2104"/>
      <c r="AF203" s="2106"/>
      <c r="AG203" s="2110"/>
      <c r="AH203" s="2111"/>
      <c r="AI203" s="2104"/>
      <c r="AJ203" s="2104"/>
      <c r="AK203" s="2038"/>
      <c r="AL203" s="2039"/>
      <c r="AM203" s="2039"/>
      <c r="AN203" s="2040"/>
      <c r="AO203" s="2008"/>
      <c r="AP203" s="2009"/>
      <c r="AQ203" s="2009"/>
      <c r="AR203" s="2010"/>
      <c r="AS203" s="651"/>
      <c r="AT203" s="652" t="str">
        <f t="shared" ref="AT203" si="1850">IF(OR(AND(D203&lt;&gt;"",OR(AND(E203&lt;&gt;"",F203&lt;&gt;"",OR(G203&lt;&gt;"",H203&lt;&gt;"")),AND(E203="",F203="バス・カメラマン等"))),AND(D203="",E203="",F203="",OR(G203="",H203=""))),"○","×")</f>
        <v>○</v>
      </c>
      <c r="AU203" s="1983" t="str">
        <f t="shared" ref="AU203" si="1851">IF(AND(E203&lt;&gt;"",E203&lt;=2),"2歳児以下","")</f>
        <v/>
      </c>
      <c r="AV203" s="1983" t="str">
        <f t="shared" ref="AV203" si="1852">IF(OR(AND(3&lt;=E203,E203&lt;=6),COUNTIF(E203, "幼*"),COUNTIF(E203, "年少"),COUNTIF(E203, "年中"),COUNTIF(E203, "年長")),"3歳-学齢前","")</f>
        <v/>
      </c>
      <c r="AW203" s="1983" t="str">
        <f t="shared" ref="AW203" si="1853">IF(OR(AND(6&lt;=E203,E203&lt;=12),COUNTIF(E203, "小*")),"小学生","")</f>
        <v/>
      </c>
      <c r="AX203" s="1983" t="str">
        <f t="shared" ref="AX203" si="1854">IF(OR(AND(12&lt;=E203,E203&lt;=15),COUNTIF(E203, "中*")),"中学生","")</f>
        <v/>
      </c>
      <c r="AY203" s="1983" t="str">
        <f t="shared" ref="AY203" si="1855">IF(OR(AND(15&lt;=E203,E203&lt;=18),COUNTIF(E203, "高*")),"高校生(～18歳)","")</f>
        <v/>
      </c>
      <c r="AZ203" s="1983" t="str">
        <f t="shared" ref="AZ203" si="1856">IF(OR(19&lt;=E203,COUNTIF(E203, "大*"),COUNTIF(E203, "*院*"),COUNTIF(E203, "*専*")),"一般(19歳～)","")</f>
        <v/>
      </c>
      <c r="BA203" s="1983" t="s">
        <v>475</v>
      </c>
      <c r="BB203" s="652" t="str">
        <f t="shared" ref="BB203" si="1857">IF(OR(AND(D203="",I203="",M203="",R203="",W203="",AB203="",AG203=""),AND(D203&lt;&gt;"",OR(I203&lt;&gt;"",M203&lt;&gt;"",R203&lt;&gt;"",W203&lt;&gt;"",AB203&lt;&gt;"",AG203&lt;&gt;""))),"○","×")</f>
        <v>○</v>
      </c>
      <c r="BC203" s="652" t="str">
        <f t="shared" ref="BC203" si="1858">IF(AND(BD203="○",BE203="○",BF203="○",BG203="○",BH203="○",BI203="○"),"○","×")</f>
        <v>○</v>
      </c>
      <c r="BD203" s="653" t="str">
        <f t="shared" ref="BD203" si="1859">IF(AND($I$7=" ",OR(I203&lt;&gt;"",K203&lt;&gt;"",L203&lt;&gt;"")),"×","○")</f>
        <v>○</v>
      </c>
      <c r="BE203" s="653" t="str">
        <f t="shared" ref="BE203" si="1860">IF(AND($M$7=" ",OR(M203&lt;&gt;"",O203&lt;&gt;"",P203&lt;&gt;"",Q203&lt;&gt;"")),"×","○")</f>
        <v>○</v>
      </c>
      <c r="BF203" s="653" t="str">
        <f t="shared" ref="BF203" si="1861">IF(AND($R$7=" ",OR(R203&lt;&gt;"",T203&lt;&gt;"",U203&lt;&gt;"",V203&lt;&gt;"")),"×","○")</f>
        <v>○</v>
      </c>
      <c r="BG203" s="653" t="str">
        <f t="shared" ref="BG203" si="1862">IF(AND($W$7=" ",OR(W203&lt;&gt;"",Y203&lt;&gt;"",Z203&lt;&gt;"",AA203&lt;&gt;"")),"×","○")</f>
        <v>○</v>
      </c>
      <c r="BH203" s="653" t="str">
        <f t="shared" ref="BH203" si="1863">IF(AND($AB$7=" ",OR(AB203&lt;&gt;"",AD203&lt;&gt;"",AE203&lt;&gt;"",AF203&lt;&gt;"")),"×","○")</f>
        <v>○</v>
      </c>
      <c r="BI203" s="653" t="str">
        <f t="shared" ref="BI203" si="1864">IF(AND($AG$7=" ",OR(AG203&lt;&gt;"",AI203&lt;&gt;"",AJ203&lt;&gt;"")),"×","○")</f>
        <v>○</v>
      </c>
      <c r="BJ203" s="2225" t="e">
        <f t="shared" ref="BJ203" si="1865">SUMPRODUCT(1/COUNTIF(I203:AH203,"宿泊"))</f>
        <v>#DIV/0!</v>
      </c>
      <c r="BK203" s="2226" t="e">
        <f t="shared" ref="BK203" si="1866">SUMPRODUCT(1/COUNTIF(I203:AH203,"日帰り"))</f>
        <v>#DIV/0!</v>
      </c>
      <c r="BL203" s="1381">
        <f t="shared" ref="BL203" si="1867">COUNT(BJ203)-COUNT(BK203)</f>
        <v>0</v>
      </c>
      <c r="BM203" s="684"/>
    </row>
    <row r="204" spans="1:65" ht="14.1" customHeight="1" x14ac:dyDescent="0.15">
      <c r="A204" s="652"/>
      <c r="B204" s="2174"/>
      <c r="C204" s="2117"/>
      <c r="D204" s="2007"/>
      <c r="E204" s="2005"/>
      <c r="F204" s="2042"/>
      <c r="G204" s="2119"/>
      <c r="H204" s="2107"/>
      <c r="I204" s="2112"/>
      <c r="J204" s="2113"/>
      <c r="K204" s="2105"/>
      <c r="L204" s="2127"/>
      <c r="M204" s="2112"/>
      <c r="N204" s="2113"/>
      <c r="O204" s="2105"/>
      <c r="P204" s="2105"/>
      <c r="Q204" s="2107"/>
      <c r="R204" s="2112"/>
      <c r="S204" s="2113"/>
      <c r="T204" s="2105"/>
      <c r="U204" s="2105"/>
      <c r="V204" s="2107"/>
      <c r="W204" s="2112"/>
      <c r="X204" s="2113"/>
      <c r="Y204" s="2105"/>
      <c r="Z204" s="2105"/>
      <c r="AA204" s="2107"/>
      <c r="AB204" s="2112"/>
      <c r="AC204" s="2113"/>
      <c r="AD204" s="2105"/>
      <c r="AE204" s="2105"/>
      <c r="AF204" s="2107"/>
      <c r="AG204" s="2112"/>
      <c r="AH204" s="2113"/>
      <c r="AI204" s="2105"/>
      <c r="AJ204" s="2105"/>
      <c r="AK204" s="2011"/>
      <c r="AL204" s="2012"/>
      <c r="AM204" s="2012"/>
      <c r="AN204" s="2013"/>
      <c r="AO204" s="2011"/>
      <c r="AP204" s="2012"/>
      <c r="AQ204" s="2012"/>
      <c r="AR204" s="2013"/>
      <c r="AS204" s="651"/>
      <c r="AT204" s="652"/>
      <c r="AU204" s="1983"/>
      <c r="AV204" s="1983"/>
      <c r="AW204" s="1983"/>
      <c r="AX204" s="1983"/>
      <c r="AY204" s="1983"/>
      <c r="AZ204" s="1983"/>
      <c r="BA204" s="1983"/>
      <c r="BB204" s="654"/>
      <c r="BC204" s="654"/>
      <c r="BD204" s="652"/>
      <c r="BE204" s="652"/>
      <c r="BF204" s="652"/>
      <c r="BG204" s="652"/>
      <c r="BH204" s="652"/>
      <c r="BI204" s="652"/>
      <c r="BJ204" s="2225"/>
      <c r="BK204" s="2226"/>
      <c r="BL204" s="1381"/>
      <c r="BM204" s="684"/>
    </row>
    <row r="205" spans="1:65" ht="14.1" customHeight="1" x14ac:dyDescent="0.15">
      <c r="A205" s="652" t="str">
        <f t="shared" ref="A205" si="1868">IF(AND(D205="",D207&lt;&gt;""),"×","○")</f>
        <v>○</v>
      </c>
      <c r="B205" s="2174" t="str">
        <f t="shared" ref="B205" si="1869">IF(AND(AT205="○",BB205="○",BC205="○",A205="○"),"○","×")</f>
        <v>○</v>
      </c>
      <c r="C205" s="2116">
        <v>96</v>
      </c>
      <c r="D205" s="2006"/>
      <c r="E205" s="2004"/>
      <c r="F205" s="2041"/>
      <c r="G205" s="2118"/>
      <c r="H205" s="2106"/>
      <c r="I205" s="2141"/>
      <c r="J205" s="2142"/>
      <c r="K205" s="2104"/>
      <c r="L205" s="2140"/>
      <c r="M205" s="2110"/>
      <c r="N205" s="2111"/>
      <c r="O205" s="2104"/>
      <c r="P205" s="2104"/>
      <c r="Q205" s="2106"/>
      <c r="R205" s="2110"/>
      <c r="S205" s="2111"/>
      <c r="T205" s="2104"/>
      <c r="U205" s="2104"/>
      <c r="V205" s="2106"/>
      <c r="W205" s="2110"/>
      <c r="X205" s="2111"/>
      <c r="Y205" s="2104"/>
      <c r="Z205" s="2104"/>
      <c r="AA205" s="2106"/>
      <c r="AB205" s="2110"/>
      <c r="AC205" s="2111"/>
      <c r="AD205" s="2104"/>
      <c r="AE205" s="2104"/>
      <c r="AF205" s="2106"/>
      <c r="AG205" s="2110"/>
      <c r="AH205" s="2111"/>
      <c r="AI205" s="2104"/>
      <c r="AJ205" s="2104"/>
      <c r="AK205" s="2038"/>
      <c r="AL205" s="2039"/>
      <c r="AM205" s="2039"/>
      <c r="AN205" s="2040"/>
      <c r="AO205" s="2008"/>
      <c r="AP205" s="2009"/>
      <c r="AQ205" s="2009"/>
      <c r="AR205" s="2010"/>
      <c r="AS205" s="651"/>
      <c r="AT205" s="652" t="str">
        <f t="shared" ref="AT205" si="1870">IF(OR(AND(D205&lt;&gt;"",OR(AND(E205&lt;&gt;"",F205&lt;&gt;"",OR(G205&lt;&gt;"",H205&lt;&gt;"")),AND(E205="",F205="バス・カメラマン等"))),AND(D205="",E205="",F205="",OR(G205="",H205=""))),"○","×")</f>
        <v>○</v>
      </c>
      <c r="AU205" s="1983" t="str">
        <f t="shared" ref="AU205" si="1871">IF(AND(E205&lt;&gt;"",E205&lt;=2),"2歳児以下","")</f>
        <v/>
      </c>
      <c r="AV205" s="1983" t="str">
        <f t="shared" ref="AV205" si="1872">IF(OR(AND(3&lt;=E205,E205&lt;=6),COUNTIF(E205, "幼*"),COUNTIF(E205, "年少"),COUNTIF(E205, "年中"),COUNTIF(E205, "年長")),"3歳-学齢前","")</f>
        <v/>
      </c>
      <c r="AW205" s="1983" t="str">
        <f t="shared" ref="AW205" si="1873">IF(OR(AND(6&lt;=E205,E205&lt;=12),COUNTIF(E205, "小*")),"小学生","")</f>
        <v/>
      </c>
      <c r="AX205" s="1983" t="str">
        <f t="shared" ref="AX205" si="1874">IF(OR(AND(12&lt;=E205,E205&lt;=15),COUNTIF(E205, "中*")),"中学生","")</f>
        <v/>
      </c>
      <c r="AY205" s="1983" t="str">
        <f t="shared" ref="AY205" si="1875">IF(OR(AND(15&lt;=E205,E205&lt;=18),COUNTIF(E205, "高*")),"高校生(～18歳)","")</f>
        <v/>
      </c>
      <c r="AZ205" s="1983" t="str">
        <f t="shared" ref="AZ205" si="1876">IF(OR(19&lt;=E205,COUNTIF(E205, "大*"),COUNTIF(E205, "*院*"),COUNTIF(E205, "*専*")),"一般(19歳～)","")</f>
        <v/>
      </c>
      <c r="BA205" s="1983" t="s">
        <v>475</v>
      </c>
      <c r="BB205" s="652" t="str">
        <f t="shared" ref="BB205" si="1877">IF(OR(AND(D205="",I205="",M205="",R205="",W205="",AB205="",AG205=""),AND(D205&lt;&gt;"",OR(I205&lt;&gt;"",M205&lt;&gt;"",R205&lt;&gt;"",W205&lt;&gt;"",AB205&lt;&gt;"",AG205&lt;&gt;""))),"○","×")</f>
        <v>○</v>
      </c>
      <c r="BC205" s="652" t="str">
        <f t="shared" ref="BC205" si="1878">IF(AND(BD205="○",BE205="○",BF205="○",BG205="○",BH205="○",BI205="○"),"○","×")</f>
        <v>○</v>
      </c>
      <c r="BD205" s="653" t="str">
        <f t="shared" ref="BD205" si="1879">IF(AND($I$7=" ",OR(I205&lt;&gt;"",K205&lt;&gt;"",L205&lt;&gt;"")),"×","○")</f>
        <v>○</v>
      </c>
      <c r="BE205" s="653" t="str">
        <f t="shared" ref="BE205" si="1880">IF(AND($M$7=" ",OR(M205&lt;&gt;"",O205&lt;&gt;"",P205&lt;&gt;"",Q205&lt;&gt;"")),"×","○")</f>
        <v>○</v>
      </c>
      <c r="BF205" s="653" t="str">
        <f t="shared" ref="BF205" si="1881">IF(AND($R$7=" ",OR(R205&lt;&gt;"",T205&lt;&gt;"",U205&lt;&gt;"",V205&lt;&gt;"")),"×","○")</f>
        <v>○</v>
      </c>
      <c r="BG205" s="653" t="str">
        <f t="shared" ref="BG205" si="1882">IF(AND($W$7=" ",OR(W205&lt;&gt;"",Y205&lt;&gt;"",Z205&lt;&gt;"",AA205&lt;&gt;"")),"×","○")</f>
        <v>○</v>
      </c>
      <c r="BH205" s="653" t="str">
        <f t="shared" ref="BH205" si="1883">IF(AND($AB$7=" ",OR(AB205&lt;&gt;"",AD205&lt;&gt;"",AE205&lt;&gt;"",AF205&lt;&gt;"")),"×","○")</f>
        <v>○</v>
      </c>
      <c r="BI205" s="653" t="str">
        <f t="shared" ref="BI205" si="1884">IF(AND($AG$7=" ",OR(AG205&lt;&gt;"",AI205&lt;&gt;"",AJ205&lt;&gt;"")),"×","○")</f>
        <v>○</v>
      </c>
      <c r="BJ205" s="2225" t="e">
        <f t="shared" ref="BJ205" si="1885">SUMPRODUCT(1/COUNTIF(I205:AH205,"宿泊"))</f>
        <v>#DIV/0!</v>
      </c>
      <c r="BK205" s="2226" t="e">
        <f t="shared" ref="BK205" si="1886">SUMPRODUCT(1/COUNTIF(I205:AH205,"日帰り"))</f>
        <v>#DIV/0!</v>
      </c>
      <c r="BL205" s="1381">
        <f t="shared" ref="BL205" si="1887">COUNT(BJ205)-COUNT(BK205)</f>
        <v>0</v>
      </c>
      <c r="BM205" s="684"/>
    </row>
    <row r="206" spans="1:65" ht="14.1" customHeight="1" x14ac:dyDescent="0.15">
      <c r="A206" s="652"/>
      <c r="B206" s="2174"/>
      <c r="C206" s="2117"/>
      <c r="D206" s="2007"/>
      <c r="E206" s="2005"/>
      <c r="F206" s="2042"/>
      <c r="G206" s="2119"/>
      <c r="H206" s="2107"/>
      <c r="I206" s="2112"/>
      <c r="J206" s="2113"/>
      <c r="K206" s="2105"/>
      <c r="L206" s="2127"/>
      <c r="M206" s="2112"/>
      <c r="N206" s="2113"/>
      <c r="O206" s="2105"/>
      <c r="P206" s="2105"/>
      <c r="Q206" s="2107"/>
      <c r="R206" s="2112"/>
      <c r="S206" s="2113"/>
      <c r="T206" s="2105"/>
      <c r="U206" s="2105"/>
      <c r="V206" s="2107"/>
      <c r="W206" s="2112"/>
      <c r="X206" s="2113"/>
      <c r="Y206" s="2105"/>
      <c r="Z206" s="2105"/>
      <c r="AA206" s="2107"/>
      <c r="AB206" s="2112"/>
      <c r="AC206" s="2113"/>
      <c r="AD206" s="2105"/>
      <c r="AE206" s="2105"/>
      <c r="AF206" s="2107"/>
      <c r="AG206" s="2112"/>
      <c r="AH206" s="2113"/>
      <c r="AI206" s="2105"/>
      <c r="AJ206" s="2105"/>
      <c r="AK206" s="2011"/>
      <c r="AL206" s="2012"/>
      <c r="AM206" s="2012"/>
      <c r="AN206" s="2013"/>
      <c r="AO206" s="2011"/>
      <c r="AP206" s="2012"/>
      <c r="AQ206" s="2012"/>
      <c r="AR206" s="2013"/>
      <c r="AS206" s="651"/>
      <c r="AT206" s="652"/>
      <c r="AU206" s="1983"/>
      <c r="AV206" s="1983"/>
      <c r="AW206" s="1983"/>
      <c r="AX206" s="1983"/>
      <c r="AY206" s="1983"/>
      <c r="AZ206" s="1983"/>
      <c r="BA206" s="1983"/>
      <c r="BB206" s="654"/>
      <c r="BC206" s="654"/>
      <c r="BD206" s="652"/>
      <c r="BE206" s="652"/>
      <c r="BF206" s="652"/>
      <c r="BG206" s="652"/>
      <c r="BH206" s="652"/>
      <c r="BI206" s="652"/>
      <c r="BJ206" s="2225"/>
      <c r="BK206" s="2226"/>
      <c r="BL206" s="1381"/>
      <c r="BM206" s="684"/>
    </row>
    <row r="207" spans="1:65" ht="14.1" customHeight="1" x14ac:dyDescent="0.15">
      <c r="A207" s="652" t="str">
        <f t="shared" ref="A207" si="1888">IF(AND(D207="",D209&lt;&gt;""),"×","○")</f>
        <v>○</v>
      </c>
      <c r="B207" s="2174" t="str">
        <f t="shared" ref="B207" si="1889">IF(AND(AT207="○",BB207="○",BC207="○",A207="○"),"○","×")</f>
        <v>○</v>
      </c>
      <c r="C207" s="2116">
        <v>97</v>
      </c>
      <c r="D207" s="2006"/>
      <c r="E207" s="2004"/>
      <c r="F207" s="2041"/>
      <c r="G207" s="2118"/>
      <c r="H207" s="2106"/>
      <c r="I207" s="2141"/>
      <c r="J207" s="2142"/>
      <c r="K207" s="2104"/>
      <c r="L207" s="2140"/>
      <c r="M207" s="2110"/>
      <c r="N207" s="2111"/>
      <c r="O207" s="2104"/>
      <c r="P207" s="2104"/>
      <c r="Q207" s="2106"/>
      <c r="R207" s="2110"/>
      <c r="S207" s="2111"/>
      <c r="T207" s="2104"/>
      <c r="U207" s="2104"/>
      <c r="V207" s="2106"/>
      <c r="W207" s="2110"/>
      <c r="X207" s="2111"/>
      <c r="Y207" s="2104"/>
      <c r="Z207" s="2104"/>
      <c r="AA207" s="2106"/>
      <c r="AB207" s="2110"/>
      <c r="AC207" s="2111"/>
      <c r="AD207" s="2104"/>
      <c r="AE207" s="2104"/>
      <c r="AF207" s="2106"/>
      <c r="AG207" s="2110"/>
      <c r="AH207" s="2111"/>
      <c r="AI207" s="2104"/>
      <c r="AJ207" s="2104"/>
      <c r="AK207" s="2038"/>
      <c r="AL207" s="2039"/>
      <c r="AM207" s="2039"/>
      <c r="AN207" s="2040"/>
      <c r="AO207" s="2008"/>
      <c r="AP207" s="2009"/>
      <c r="AQ207" s="2009"/>
      <c r="AR207" s="2010"/>
      <c r="AS207" s="651"/>
      <c r="AT207" s="652" t="str">
        <f t="shared" ref="AT207" si="1890">IF(OR(AND(D207&lt;&gt;"",OR(AND(E207&lt;&gt;"",F207&lt;&gt;"",OR(G207&lt;&gt;"",H207&lt;&gt;"")),AND(E207="",F207="バス・カメラマン等"))),AND(D207="",E207="",F207="",OR(G207="",H207=""))),"○","×")</f>
        <v>○</v>
      </c>
      <c r="AU207" s="1983" t="str">
        <f t="shared" ref="AU207" si="1891">IF(AND(E207&lt;&gt;"",E207&lt;=2),"2歳児以下","")</f>
        <v/>
      </c>
      <c r="AV207" s="1983" t="str">
        <f t="shared" ref="AV207" si="1892">IF(OR(AND(3&lt;=E207,E207&lt;=6),COUNTIF(E207, "幼*"),COUNTIF(E207, "年少"),COUNTIF(E207, "年中"),COUNTIF(E207, "年長")),"3歳-学齢前","")</f>
        <v/>
      </c>
      <c r="AW207" s="1983" t="str">
        <f t="shared" ref="AW207" si="1893">IF(OR(AND(6&lt;=E207,E207&lt;=12),COUNTIF(E207, "小*")),"小学生","")</f>
        <v/>
      </c>
      <c r="AX207" s="1983" t="str">
        <f t="shared" ref="AX207" si="1894">IF(OR(AND(12&lt;=E207,E207&lt;=15),COUNTIF(E207, "中*")),"中学生","")</f>
        <v/>
      </c>
      <c r="AY207" s="1983" t="str">
        <f t="shared" ref="AY207" si="1895">IF(OR(AND(15&lt;=E207,E207&lt;=18),COUNTIF(E207, "高*")),"高校生(～18歳)","")</f>
        <v/>
      </c>
      <c r="AZ207" s="1983" t="str">
        <f t="shared" ref="AZ207" si="1896">IF(OR(19&lt;=E207,COUNTIF(E207, "大*"),COUNTIF(E207, "*院*"),COUNTIF(E207, "*専*")),"一般(19歳～)","")</f>
        <v/>
      </c>
      <c r="BA207" s="1983" t="s">
        <v>475</v>
      </c>
      <c r="BB207" s="652" t="str">
        <f t="shared" ref="BB207" si="1897">IF(OR(AND(D207="",I207="",M207="",R207="",W207="",AB207="",AG207=""),AND(D207&lt;&gt;"",OR(I207&lt;&gt;"",M207&lt;&gt;"",R207&lt;&gt;"",W207&lt;&gt;"",AB207&lt;&gt;"",AG207&lt;&gt;""))),"○","×")</f>
        <v>○</v>
      </c>
      <c r="BC207" s="652" t="str">
        <f t="shared" ref="BC207" si="1898">IF(AND(BD207="○",BE207="○",BF207="○",BG207="○",BH207="○",BI207="○"),"○","×")</f>
        <v>○</v>
      </c>
      <c r="BD207" s="653" t="str">
        <f t="shared" ref="BD207" si="1899">IF(AND($I$7=" ",OR(I207&lt;&gt;"",K207&lt;&gt;"",L207&lt;&gt;"")),"×","○")</f>
        <v>○</v>
      </c>
      <c r="BE207" s="653" t="str">
        <f t="shared" ref="BE207" si="1900">IF(AND($M$7=" ",OR(M207&lt;&gt;"",O207&lt;&gt;"",P207&lt;&gt;"",Q207&lt;&gt;"")),"×","○")</f>
        <v>○</v>
      </c>
      <c r="BF207" s="653" t="str">
        <f t="shared" ref="BF207" si="1901">IF(AND($R$7=" ",OR(R207&lt;&gt;"",T207&lt;&gt;"",U207&lt;&gt;"",V207&lt;&gt;"")),"×","○")</f>
        <v>○</v>
      </c>
      <c r="BG207" s="653" t="str">
        <f t="shared" ref="BG207" si="1902">IF(AND($W$7=" ",OR(W207&lt;&gt;"",Y207&lt;&gt;"",Z207&lt;&gt;"",AA207&lt;&gt;"")),"×","○")</f>
        <v>○</v>
      </c>
      <c r="BH207" s="653" t="str">
        <f t="shared" ref="BH207" si="1903">IF(AND($AB$7=" ",OR(AB207&lt;&gt;"",AD207&lt;&gt;"",AE207&lt;&gt;"",AF207&lt;&gt;"")),"×","○")</f>
        <v>○</v>
      </c>
      <c r="BI207" s="653" t="str">
        <f t="shared" ref="BI207" si="1904">IF(AND($AG$7=" ",OR(AG207&lt;&gt;"",AI207&lt;&gt;"",AJ207&lt;&gt;"")),"×","○")</f>
        <v>○</v>
      </c>
      <c r="BJ207" s="2225" t="e">
        <f t="shared" ref="BJ207" si="1905">SUMPRODUCT(1/COUNTIF(I207:AH207,"宿泊"))</f>
        <v>#DIV/0!</v>
      </c>
      <c r="BK207" s="2226" t="e">
        <f t="shared" ref="BK207" si="1906">SUMPRODUCT(1/COUNTIF(I207:AH207,"日帰り"))</f>
        <v>#DIV/0!</v>
      </c>
      <c r="BL207" s="1381">
        <f t="shared" ref="BL207" si="1907">COUNT(BJ207)-COUNT(BK207)</f>
        <v>0</v>
      </c>
      <c r="BM207" s="684"/>
    </row>
    <row r="208" spans="1:65" ht="14.1" customHeight="1" x14ac:dyDescent="0.15">
      <c r="A208" s="652"/>
      <c r="B208" s="2174"/>
      <c r="C208" s="2117"/>
      <c r="D208" s="2007"/>
      <c r="E208" s="2005"/>
      <c r="F208" s="2042"/>
      <c r="G208" s="2119"/>
      <c r="H208" s="2107"/>
      <c r="I208" s="2112"/>
      <c r="J208" s="2113"/>
      <c r="K208" s="2105"/>
      <c r="L208" s="2127"/>
      <c r="M208" s="2112"/>
      <c r="N208" s="2113"/>
      <c r="O208" s="2105"/>
      <c r="P208" s="2105"/>
      <c r="Q208" s="2107"/>
      <c r="R208" s="2112"/>
      <c r="S208" s="2113"/>
      <c r="T208" s="2105"/>
      <c r="U208" s="2105"/>
      <c r="V208" s="2107"/>
      <c r="W208" s="2112"/>
      <c r="X208" s="2113"/>
      <c r="Y208" s="2105"/>
      <c r="Z208" s="2105"/>
      <c r="AA208" s="2107"/>
      <c r="AB208" s="2112"/>
      <c r="AC208" s="2113"/>
      <c r="AD208" s="2105"/>
      <c r="AE208" s="2105"/>
      <c r="AF208" s="2107"/>
      <c r="AG208" s="2112"/>
      <c r="AH208" s="2113"/>
      <c r="AI208" s="2105"/>
      <c r="AJ208" s="2105"/>
      <c r="AK208" s="2011"/>
      <c r="AL208" s="2012"/>
      <c r="AM208" s="2012"/>
      <c r="AN208" s="2013"/>
      <c r="AO208" s="2011"/>
      <c r="AP208" s="2012"/>
      <c r="AQ208" s="2012"/>
      <c r="AR208" s="2013"/>
      <c r="AS208" s="651"/>
      <c r="AT208" s="652"/>
      <c r="AU208" s="1983"/>
      <c r="AV208" s="1983"/>
      <c r="AW208" s="1983"/>
      <c r="AX208" s="1983"/>
      <c r="AY208" s="1983"/>
      <c r="AZ208" s="1983"/>
      <c r="BA208" s="1983"/>
      <c r="BB208" s="654"/>
      <c r="BC208" s="654"/>
      <c r="BD208" s="652"/>
      <c r="BE208" s="652"/>
      <c r="BF208" s="652"/>
      <c r="BG208" s="652"/>
      <c r="BH208" s="652"/>
      <c r="BI208" s="652"/>
      <c r="BJ208" s="2225"/>
      <c r="BK208" s="2226"/>
      <c r="BL208" s="1381"/>
      <c r="BM208" s="684"/>
    </row>
    <row r="209" spans="1:65" ht="14.1" customHeight="1" x14ac:dyDescent="0.15">
      <c r="A209" s="652" t="str">
        <f t="shared" ref="A209" si="1908">IF(AND(D209="",D211&lt;&gt;""),"×","○")</f>
        <v>○</v>
      </c>
      <c r="B209" s="2174" t="str">
        <f t="shared" ref="B209" si="1909">IF(AND(AT209="○",BB209="○",BC209="○",A209="○"),"○","×")</f>
        <v>○</v>
      </c>
      <c r="C209" s="2120">
        <v>98</v>
      </c>
      <c r="D209" s="2006"/>
      <c r="E209" s="2004"/>
      <c r="F209" s="2041"/>
      <c r="G209" s="2118"/>
      <c r="H209" s="2106"/>
      <c r="I209" s="2141"/>
      <c r="J209" s="2142"/>
      <c r="K209" s="2104"/>
      <c r="L209" s="2140"/>
      <c r="M209" s="2110"/>
      <c r="N209" s="2111"/>
      <c r="O209" s="2104"/>
      <c r="P209" s="2104"/>
      <c r="Q209" s="2106"/>
      <c r="R209" s="2110"/>
      <c r="S209" s="2111"/>
      <c r="T209" s="2104"/>
      <c r="U209" s="2104"/>
      <c r="V209" s="2106"/>
      <c r="W209" s="2110"/>
      <c r="X209" s="2111"/>
      <c r="Y209" s="2104"/>
      <c r="Z209" s="2104"/>
      <c r="AA209" s="2106"/>
      <c r="AB209" s="2110"/>
      <c r="AC209" s="2111"/>
      <c r="AD209" s="2104"/>
      <c r="AE209" s="2104"/>
      <c r="AF209" s="2106"/>
      <c r="AG209" s="2110"/>
      <c r="AH209" s="2111"/>
      <c r="AI209" s="2104"/>
      <c r="AJ209" s="2104"/>
      <c r="AK209" s="2038"/>
      <c r="AL209" s="2039"/>
      <c r="AM209" s="2039"/>
      <c r="AN209" s="2040"/>
      <c r="AO209" s="2008"/>
      <c r="AP209" s="2009"/>
      <c r="AQ209" s="2009"/>
      <c r="AR209" s="2010"/>
      <c r="AS209" s="651"/>
      <c r="AT209" s="652" t="str">
        <f t="shared" ref="AT209" si="1910">IF(OR(AND(D209&lt;&gt;"",OR(AND(E209&lt;&gt;"",F209&lt;&gt;"",OR(G209&lt;&gt;"",H209&lt;&gt;"")),AND(E209="",F209="バス・カメラマン等"))),AND(D209="",E209="",F209="",OR(G209="",H209=""))),"○","×")</f>
        <v>○</v>
      </c>
      <c r="AU209" s="1983" t="str">
        <f t="shared" ref="AU209" si="1911">IF(AND(E209&lt;&gt;"",E209&lt;=2),"2歳児以下","")</f>
        <v/>
      </c>
      <c r="AV209" s="1983" t="str">
        <f t="shared" ref="AV209" si="1912">IF(OR(AND(3&lt;=E209,E209&lt;=6),COUNTIF(E209, "幼*"),COUNTIF(E209, "年少"),COUNTIF(E209, "年中"),COUNTIF(E209, "年長")),"3歳-学齢前","")</f>
        <v/>
      </c>
      <c r="AW209" s="1983" t="str">
        <f t="shared" ref="AW209" si="1913">IF(OR(AND(6&lt;=E209,E209&lt;=12),COUNTIF(E209, "小*")),"小学生","")</f>
        <v/>
      </c>
      <c r="AX209" s="1983" t="str">
        <f t="shared" ref="AX209" si="1914">IF(OR(AND(12&lt;=E209,E209&lt;=15),COUNTIF(E209, "中*")),"中学生","")</f>
        <v/>
      </c>
      <c r="AY209" s="1983" t="str">
        <f t="shared" ref="AY209" si="1915">IF(OR(AND(15&lt;=E209,E209&lt;=18),COUNTIF(E209, "高*")),"高校生(～18歳)","")</f>
        <v/>
      </c>
      <c r="AZ209" s="1983" t="str">
        <f t="shared" ref="AZ209" si="1916">IF(OR(19&lt;=E209,COUNTIF(E209, "大*"),COUNTIF(E209, "*院*"),COUNTIF(E209, "*専*")),"一般(19歳～)","")</f>
        <v/>
      </c>
      <c r="BA209" s="1983" t="s">
        <v>475</v>
      </c>
      <c r="BB209" s="652" t="str">
        <f t="shared" ref="BB209" si="1917">IF(OR(AND(D209="",I209="",M209="",R209="",W209="",AB209="",AG209=""),AND(D209&lt;&gt;"",OR(I209&lt;&gt;"",M209&lt;&gt;"",R209&lt;&gt;"",W209&lt;&gt;"",AB209&lt;&gt;"",AG209&lt;&gt;""))),"○","×")</f>
        <v>○</v>
      </c>
      <c r="BC209" s="652" t="str">
        <f t="shared" ref="BC209" si="1918">IF(AND(BD209="○",BE209="○",BF209="○",BG209="○",BH209="○",BI209="○"),"○","×")</f>
        <v>○</v>
      </c>
      <c r="BD209" s="653" t="str">
        <f t="shared" ref="BD209" si="1919">IF(AND($I$7=" ",OR(I209&lt;&gt;"",K209&lt;&gt;"",L209&lt;&gt;"")),"×","○")</f>
        <v>○</v>
      </c>
      <c r="BE209" s="653" t="str">
        <f t="shared" ref="BE209" si="1920">IF(AND($M$7=" ",OR(M209&lt;&gt;"",O209&lt;&gt;"",P209&lt;&gt;"",Q209&lt;&gt;"")),"×","○")</f>
        <v>○</v>
      </c>
      <c r="BF209" s="653" t="str">
        <f t="shared" ref="BF209" si="1921">IF(AND($R$7=" ",OR(R209&lt;&gt;"",T209&lt;&gt;"",U209&lt;&gt;"",V209&lt;&gt;"")),"×","○")</f>
        <v>○</v>
      </c>
      <c r="BG209" s="653" t="str">
        <f t="shared" ref="BG209" si="1922">IF(AND($W$7=" ",OR(W209&lt;&gt;"",Y209&lt;&gt;"",Z209&lt;&gt;"",AA209&lt;&gt;"")),"×","○")</f>
        <v>○</v>
      </c>
      <c r="BH209" s="653" t="str">
        <f t="shared" ref="BH209" si="1923">IF(AND($AB$7=" ",OR(AB209&lt;&gt;"",AD209&lt;&gt;"",AE209&lt;&gt;"",AF209&lt;&gt;"")),"×","○")</f>
        <v>○</v>
      </c>
      <c r="BI209" s="653" t="str">
        <f t="shared" ref="BI209" si="1924">IF(AND($AG$7=" ",OR(AG209&lt;&gt;"",AI209&lt;&gt;"",AJ209&lt;&gt;"")),"×","○")</f>
        <v>○</v>
      </c>
      <c r="BJ209" s="2225" t="e">
        <f t="shared" ref="BJ209" si="1925">SUMPRODUCT(1/COUNTIF(I209:AH209,"宿泊"))</f>
        <v>#DIV/0!</v>
      </c>
      <c r="BK209" s="2226" t="e">
        <f t="shared" ref="BK209" si="1926">SUMPRODUCT(1/COUNTIF(I209:AH209,"日帰り"))</f>
        <v>#DIV/0!</v>
      </c>
      <c r="BL209" s="1381">
        <f t="shared" ref="BL209" si="1927">COUNT(BJ209)-COUNT(BK209)</f>
        <v>0</v>
      </c>
      <c r="BM209" s="684"/>
    </row>
    <row r="210" spans="1:65" ht="14.1" customHeight="1" x14ac:dyDescent="0.15">
      <c r="A210" s="652"/>
      <c r="B210" s="2174"/>
      <c r="C210" s="2117"/>
      <c r="D210" s="2007"/>
      <c r="E210" s="2005"/>
      <c r="F210" s="2042"/>
      <c r="G210" s="2119"/>
      <c r="H210" s="2107"/>
      <c r="I210" s="2112"/>
      <c r="J210" s="2113"/>
      <c r="K210" s="2105"/>
      <c r="L210" s="2127"/>
      <c r="M210" s="2112"/>
      <c r="N210" s="2113"/>
      <c r="O210" s="2105"/>
      <c r="P210" s="2105"/>
      <c r="Q210" s="2107"/>
      <c r="R210" s="2112"/>
      <c r="S210" s="2113"/>
      <c r="T210" s="2105"/>
      <c r="U210" s="2105"/>
      <c r="V210" s="2107"/>
      <c r="W210" s="2112"/>
      <c r="X210" s="2113"/>
      <c r="Y210" s="2105"/>
      <c r="Z210" s="2105"/>
      <c r="AA210" s="2107"/>
      <c r="AB210" s="2112"/>
      <c r="AC210" s="2113"/>
      <c r="AD210" s="2105"/>
      <c r="AE210" s="2105"/>
      <c r="AF210" s="2107"/>
      <c r="AG210" s="2112"/>
      <c r="AH210" s="2113"/>
      <c r="AI210" s="2105"/>
      <c r="AJ210" s="2105"/>
      <c r="AK210" s="2011"/>
      <c r="AL210" s="2012"/>
      <c r="AM210" s="2012"/>
      <c r="AN210" s="2013"/>
      <c r="AO210" s="2011"/>
      <c r="AP210" s="2012"/>
      <c r="AQ210" s="2012"/>
      <c r="AR210" s="2013"/>
      <c r="AS210" s="651"/>
      <c r="AT210" s="652"/>
      <c r="AU210" s="1983"/>
      <c r="AV210" s="1983"/>
      <c r="AW210" s="1983"/>
      <c r="AX210" s="1983"/>
      <c r="AY210" s="1983"/>
      <c r="AZ210" s="1983"/>
      <c r="BA210" s="1983"/>
      <c r="BB210" s="654"/>
      <c r="BC210" s="654"/>
      <c r="BD210" s="652"/>
      <c r="BE210" s="652"/>
      <c r="BF210" s="652"/>
      <c r="BG210" s="652"/>
      <c r="BH210" s="652"/>
      <c r="BI210" s="652"/>
      <c r="BJ210" s="2225"/>
      <c r="BK210" s="2226"/>
      <c r="BL210" s="1381"/>
      <c r="BM210" s="684"/>
    </row>
    <row r="211" spans="1:65" ht="14.1" customHeight="1" x14ac:dyDescent="0.15">
      <c r="A211" s="652" t="str">
        <f t="shared" ref="A211" si="1928">IF(AND(D211="",D213&lt;&gt;""),"×","○")</f>
        <v>○</v>
      </c>
      <c r="B211" s="2174" t="str">
        <f t="shared" ref="B211" si="1929">IF(AND(AT211="○",BB211="○",BC211="○",A211="○"),"○","×")</f>
        <v>○</v>
      </c>
      <c r="C211" s="2116">
        <v>99</v>
      </c>
      <c r="D211" s="2006"/>
      <c r="E211" s="2004"/>
      <c r="F211" s="2041"/>
      <c r="G211" s="2118"/>
      <c r="H211" s="2106"/>
      <c r="I211" s="2141"/>
      <c r="J211" s="2142"/>
      <c r="K211" s="2104"/>
      <c r="L211" s="2140"/>
      <c r="M211" s="2110"/>
      <c r="N211" s="2111"/>
      <c r="O211" s="2104"/>
      <c r="P211" s="2104"/>
      <c r="Q211" s="2106"/>
      <c r="R211" s="2110"/>
      <c r="S211" s="2111"/>
      <c r="T211" s="2104"/>
      <c r="U211" s="2104"/>
      <c r="V211" s="2106"/>
      <c r="W211" s="2110"/>
      <c r="X211" s="2111"/>
      <c r="Y211" s="2104"/>
      <c r="Z211" s="2104"/>
      <c r="AA211" s="2106"/>
      <c r="AB211" s="2110"/>
      <c r="AC211" s="2111"/>
      <c r="AD211" s="2104"/>
      <c r="AE211" s="2104"/>
      <c r="AF211" s="2106"/>
      <c r="AG211" s="2110"/>
      <c r="AH211" s="2111"/>
      <c r="AI211" s="2104"/>
      <c r="AJ211" s="2104"/>
      <c r="AK211" s="2038"/>
      <c r="AL211" s="2039"/>
      <c r="AM211" s="2039"/>
      <c r="AN211" s="2040"/>
      <c r="AO211" s="2008"/>
      <c r="AP211" s="2009"/>
      <c r="AQ211" s="2009"/>
      <c r="AR211" s="2010"/>
      <c r="AS211" s="651"/>
      <c r="AT211" s="652" t="str">
        <f t="shared" ref="AT211" si="1930">IF(OR(AND(D211&lt;&gt;"",OR(AND(E211&lt;&gt;"",F211&lt;&gt;"",OR(G211&lt;&gt;"",H211&lt;&gt;"")),AND(E211="",F211="バス・カメラマン等"))),AND(D211="",E211="",F211="",OR(G211="",H211=""))),"○","×")</f>
        <v>○</v>
      </c>
      <c r="AU211" s="1983" t="str">
        <f t="shared" ref="AU211" si="1931">IF(AND(E211&lt;&gt;"",E211&lt;=2),"2歳児以下","")</f>
        <v/>
      </c>
      <c r="AV211" s="1983" t="str">
        <f t="shared" ref="AV211" si="1932">IF(OR(AND(3&lt;=E211,E211&lt;=6),COUNTIF(E211, "幼*"),COUNTIF(E211, "年少"),COUNTIF(E211, "年中"),COUNTIF(E211, "年長")),"3歳-学齢前","")</f>
        <v/>
      </c>
      <c r="AW211" s="1983" t="str">
        <f t="shared" ref="AW211" si="1933">IF(OR(AND(6&lt;=E211,E211&lt;=12),COUNTIF(E211, "小*")),"小学生","")</f>
        <v/>
      </c>
      <c r="AX211" s="1983" t="str">
        <f t="shared" ref="AX211" si="1934">IF(OR(AND(12&lt;=E211,E211&lt;=15),COUNTIF(E211, "中*")),"中学生","")</f>
        <v/>
      </c>
      <c r="AY211" s="1983" t="str">
        <f t="shared" ref="AY211" si="1935">IF(OR(AND(15&lt;=E211,E211&lt;=18),COUNTIF(E211, "高*")),"高校生(～18歳)","")</f>
        <v/>
      </c>
      <c r="AZ211" s="1983" t="str">
        <f t="shared" ref="AZ211" si="1936">IF(OR(19&lt;=E211,COUNTIF(E211, "大*"),COUNTIF(E211, "*院*"),COUNTIF(E211, "*専*")),"一般(19歳～)","")</f>
        <v/>
      </c>
      <c r="BA211" s="1983" t="s">
        <v>475</v>
      </c>
      <c r="BB211" s="652" t="str">
        <f t="shared" ref="BB211" si="1937">IF(OR(AND(D211="",I211="",M211="",R211="",W211="",AB211="",AG211=""),AND(D211&lt;&gt;"",OR(I211&lt;&gt;"",M211&lt;&gt;"",R211&lt;&gt;"",W211&lt;&gt;"",AB211&lt;&gt;"",AG211&lt;&gt;""))),"○","×")</f>
        <v>○</v>
      </c>
      <c r="BC211" s="652" t="str">
        <f t="shared" ref="BC211" si="1938">IF(AND(BD211="○",BE211="○",BF211="○",BG211="○",BH211="○",BI211="○"),"○","×")</f>
        <v>○</v>
      </c>
      <c r="BD211" s="653" t="str">
        <f t="shared" ref="BD211" si="1939">IF(AND($I$7=" ",OR(I211&lt;&gt;"",K211&lt;&gt;"",L211&lt;&gt;"")),"×","○")</f>
        <v>○</v>
      </c>
      <c r="BE211" s="653" t="str">
        <f t="shared" ref="BE211" si="1940">IF(AND($M$7=" ",OR(M211&lt;&gt;"",O211&lt;&gt;"",P211&lt;&gt;"",Q211&lt;&gt;"")),"×","○")</f>
        <v>○</v>
      </c>
      <c r="BF211" s="653" t="str">
        <f t="shared" ref="BF211" si="1941">IF(AND($R$7=" ",OR(R211&lt;&gt;"",T211&lt;&gt;"",U211&lt;&gt;"",V211&lt;&gt;"")),"×","○")</f>
        <v>○</v>
      </c>
      <c r="BG211" s="653" t="str">
        <f t="shared" ref="BG211" si="1942">IF(AND($W$7=" ",OR(W211&lt;&gt;"",Y211&lt;&gt;"",Z211&lt;&gt;"",AA211&lt;&gt;"")),"×","○")</f>
        <v>○</v>
      </c>
      <c r="BH211" s="653" t="str">
        <f t="shared" ref="BH211" si="1943">IF(AND($AB$7=" ",OR(AB211&lt;&gt;"",AD211&lt;&gt;"",AE211&lt;&gt;"",AF211&lt;&gt;"")),"×","○")</f>
        <v>○</v>
      </c>
      <c r="BI211" s="653" t="str">
        <f t="shared" ref="BI211" si="1944">IF(AND($AG$7=" ",OR(AG211&lt;&gt;"",AI211&lt;&gt;"",AJ211&lt;&gt;"")),"×","○")</f>
        <v>○</v>
      </c>
      <c r="BJ211" s="2225" t="e">
        <f t="shared" ref="BJ211" si="1945">SUMPRODUCT(1/COUNTIF(I211:AH211,"宿泊"))</f>
        <v>#DIV/0!</v>
      </c>
      <c r="BK211" s="2226" t="e">
        <f t="shared" ref="BK211" si="1946">SUMPRODUCT(1/COUNTIF(I211:AH211,"日帰り"))</f>
        <v>#DIV/0!</v>
      </c>
      <c r="BL211" s="1381">
        <f t="shared" ref="BL211" si="1947">COUNT(BJ211)-COUNT(BK211)</f>
        <v>0</v>
      </c>
      <c r="BM211" s="684"/>
    </row>
    <row r="212" spans="1:65" ht="14.1" customHeight="1" x14ac:dyDescent="0.15">
      <c r="A212" s="652"/>
      <c r="B212" s="2174"/>
      <c r="C212" s="2117"/>
      <c r="D212" s="2007"/>
      <c r="E212" s="2005"/>
      <c r="F212" s="2042"/>
      <c r="G212" s="2119"/>
      <c r="H212" s="2107"/>
      <c r="I212" s="2112"/>
      <c r="J212" s="2113"/>
      <c r="K212" s="2105"/>
      <c r="L212" s="2127"/>
      <c r="M212" s="2112"/>
      <c r="N212" s="2113"/>
      <c r="O212" s="2105"/>
      <c r="P212" s="2105"/>
      <c r="Q212" s="2107"/>
      <c r="R212" s="2112"/>
      <c r="S212" s="2113"/>
      <c r="T212" s="2105"/>
      <c r="U212" s="2105"/>
      <c r="V212" s="2107"/>
      <c r="W212" s="2112"/>
      <c r="X212" s="2113"/>
      <c r="Y212" s="2105"/>
      <c r="Z212" s="2105"/>
      <c r="AA212" s="2107"/>
      <c r="AB212" s="2112"/>
      <c r="AC212" s="2113"/>
      <c r="AD212" s="2105"/>
      <c r="AE212" s="2105"/>
      <c r="AF212" s="2107"/>
      <c r="AG212" s="2112"/>
      <c r="AH212" s="2113"/>
      <c r="AI212" s="2105"/>
      <c r="AJ212" s="2105"/>
      <c r="AK212" s="2011"/>
      <c r="AL212" s="2012"/>
      <c r="AM212" s="2012"/>
      <c r="AN212" s="2013"/>
      <c r="AO212" s="2011"/>
      <c r="AP212" s="2012"/>
      <c r="AQ212" s="2012"/>
      <c r="AR212" s="2013"/>
      <c r="AS212" s="651"/>
      <c r="AT212" s="652"/>
      <c r="AU212" s="1983"/>
      <c r="AV212" s="1983"/>
      <c r="AW212" s="1983"/>
      <c r="AX212" s="1983"/>
      <c r="AY212" s="1983"/>
      <c r="AZ212" s="1983"/>
      <c r="BA212" s="1983"/>
      <c r="BB212" s="654"/>
      <c r="BC212" s="654"/>
      <c r="BD212" s="652"/>
      <c r="BE212" s="652"/>
      <c r="BF212" s="652"/>
      <c r="BG212" s="652"/>
      <c r="BH212" s="652"/>
      <c r="BI212" s="652"/>
      <c r="BJ212" s="2225"/>
      <c r="BK212" s="2226"/>
      <c r="BL212" s="1381"/>
      <c r="BM212" s="684"/>
    </row>
    <row r="213" spans="1:65" ht="14.1" customHeight="1" x14ac:dyDescent="0.15">
      <c r="A213" s="652" t="str">
        <f t="shared" ref="A213" si="1948">IF(AND(D213="",D215&lt;&gt;""),"×","○")</f>
        <v>○</v>
      </c>
      <c r="B213" s="2174" t="str">
        <f t="shared" ref="B213" si="1949">IF(AND(AT213="○",BB213="○",BC213="○",A213="○"),"○","×")</f>
        <v>○</v>
      </c>
      <c r="C213" s="2116">
        <v>100</v>
      </c>
      <c r="D213" s="2006"/>
      <c r="E213" s="2004"/>
      <c r="F213" s="2041"/>
      <c r="G213" s="2118"/>
      <c r="H213" s="2106"/>
      <c r="I213" s="2141"/>
      <c r="J213" s="2142"/>
      <c r="K213" s="2104"/>
      <c r="L213" s="2140"/>
      <c r="M213" s="2110"/>
      <c r="N213" s="2111"/>
      <c r="O213" s="2104"/>
      <c r="P213" s="2104"/>
      <c r="Q213" s="2106"/>
      <c r="R213" s="2110"/>
      <c r="S213" s="2111"/>
      <c r="T213" s="2104"/>
      <c r="U213" s="2104"/>
      <c r="V213" s="2106"/>
      <c r="W213" s="2110"/>
      <c r="X213" s="2111"/>
      <c r="Y213" s="2104"/>
      <c r="Z213" s="2104"/>
      <c r="AA213" s="2106"/>
      <c r="AB213" s="2110"/>
      <c r="AC213" s="2111"/>
      <c r="AD213" s="2104"/>
      <c r="AE213" s="2104"/>
      <c r="AF213" s="2106"/>
      <c r="AG213" s="2110"/>
      <c r="AH213" s="2111"/>
      <c r="AI213" s="2104"/>
      <c r="AJ213" s="2104"/>
      <c r="AK213" s="2038"/>
      <c r="AL213" s="2039"/>
      <c r="AM213" s="2039"/>
      <c r="AN213" s="2040"/>
      <c r="AO213" s="2008"/>
      <c r="AP213" s="2009"/>
      <c r="AQ213" s="2009"/>
      <c r="AR213" s="2010"/>
      <c r="AS213" s="651"/>
      <c r="AT213" s="652" t="str">
        <f t="shared" ref="AT213" si="1950">IF(OR(AND(D213&lt;&gt;"",OR(AND(E213&lt;&gt;"",F213&lt;&gt;"",OR(G213&lt;&gt;"",H213&lt;&gt;"")),AND(E213="",F213="バス・カメラマン等"))),AND(D213="",E213="",F213="",OR(G213="",H213=""))),"○","×")</f>
        <v>○</v>
      </c>
      <c r="AU213" s="1983" t="str">
        <f t="shared" ref="AU213" si="1951">IF(AND(E213&lt;&gt;"",E213&lt;=2),"2歳児以下","")</f>
        <v/>
      </c>
      <c r="AV213" s="1983" t="str">
        <f t="shared" ref="AV213" si="1952">IF(OR(AND(3&lt;=E213,E213&lt;=6),COUNTIF(E213, "幼*"),COUNTIF(E213, "年少"),COUNTIF(E213, "年中"),COUNTIF(E213, "年長")),"3歳-学齢前","")</f>
        <v/>
      </c>
      <c r="AW213" s="1983" t="str">
        <f t="shared" ref="AW213" si="1953">IF(OR(AND(6&lt;=E213,E213&lt;=12),COUNTIF(E213, "小*")),"小学生","")</f>
        <v/>
      </c>
      <c r="AX213" s="1983" t="str">
        <f t="shared" ref="AX213" si="1954">IF(OR(AND(12&lt;=E213,E213&lt;=15),COUNTIF(E213, "中*")),"中学生","")</f>
        <v/>
      </c>
      <c r="AY213" s="1983" t="str">
        <f t="shared" ref="AY213" si="1955">IF(OR(AND(15&lt;=E213,E213&lt;=18),COUNTIF(E213, "高*")),"高校生(～18歳)","")</f>
        <v/>
      </c>
      <c r="AZ213" s="1983" t="str">
        <f t="shared" ref="AZ213" si="1956">IF(OR(19&lt;=E213,COUNTIF(E213, "大*"),COUNTIF(E213, "*院*"),COUNTIF(E213, "*専*")),"一般(19歳～)","")</f>
        <v/>
      </c>
      <c r="BA213" s="1983" t="s">
        <v>475</v>
      </c>
      <c r="BB213" s="652" t="str">
        <f t="shared" ref="BB213" si="1957">IF(OR(AND(D213="",I213="",M213="",R213="",W213="",AB213="",AG213=""),AND(D213&lt;&gt;"",OR(I213&lt;&gt;"",M213&lt;&gt;"",R213&lt;&gt;"",W213&lt;&gt;"",AB213&lt;&gt;"",AG213&lt;&gt;""))),"○","×")</f>
        <v>○</v>
      </c>
      <c r="BC213" s="652" t="str">
        <f t="shared" ref="BC213" si="1958">IF(AND(BD213="○",BE213="○",BF213="○",BG213="○",BH213="○",BI213="○"),"○","×")</f>
        <v>○</v>
      </c>
      <c r="BD213" s="653" t="str">
        <f t="shared" ref="BD213" si="1959">IF(AND($I$7=" ",OR(I213&lt;&gt;"",K213&lt;&gt;"",L213&lt;&gt;"")),"×","○")</f>
        <v>○</v>
      </c>
      <c r="BE213" s="653" t="str">
        <f t="shared" ref="BE213" si="1960">IF(AND($M$7=" ",OR(M213&lt;&gt;"",O213&lt;&gt;"",P213&lt;&gt;"",Q213&lt;&gt;"")),"×","○")</f>
        <v>○</v>
      </c>
      <c r="BF213" s="653" t="str">
        <f t="shared" ref="BF213" si="1961">IF(AND($R$7=" ",OR(R213&lt;&gt;"",T213&lt;&gt;"",U213&lt;&gt;"",V213&lt;&gt;"")),"×","○")</f>
        <v>○</v>
      </c>
      <c r="BG213" s="653" t="str">
        <f t="shared" ref="BG213" si="1962">IF(AND($W$7=" ",OR(W213&lt;&gt;"",Y213&lt;&gt;"",Z213&lt;&gt;"",AA213&lt;&gt;"")),"×","○")</f>
        <v>○</v>
      </c>
      <c r="BH213" s="653" t="str">
        <f t="shared" ref="BH213" si="1963">IF(AND($AB$7=" ",OR(AB213&lt;&gt;"",AD213&lt;&gt;"",AE213&lt;&gt;"",AF213&lt;&gt;"")),"×","○")</f>
        <v>○</v>
      </c>
      <c r="BI213" s="653" t="str">
        <f t="shared" ref="BI213" si="1964">IF(AND($AG$7=" ",OR(AG213&lt;&gt;"",AI213&lt;&gt;"",AJ213&lt;&gt;"")),"×","○")</f>
        <v>○</v>
      </c>
      <c r="BJ213" s="2225" t="e">
        <f t="shared" ref="BJ213" si="1965">SUMPRODUCT(1/COUNTIF(I213:AH213,"宿泊"))</f>
        <v>#DIV/0!</v>
      </c>
      <c r="BK213" s="2226" t="e">
        <f t="shared" ref="BK213" si="1966">SUMPRODUCT(1/COUNTIF(I213:AH213,"日帰り"))</f>
        <v>#DIV/0!</v>
      </c>
      <c r="BL213" s="1381">
        <f t="shared" ref="BL213" si="1967">COUNT(BJ213)-COUNT(BK213)</f>
        <v>0</v>
      </c>
      <c r="BM213" s="684"/>
    </row>
    <row r="214" spans="1:65" ht="14.1" customHeight="1" x14ac:dyDescent="0.15">
      <c r="A214" s="652"/>
      <c r="B214" s="2174"/>
      <c r="C214" s="2117"/>
      <c r="D214" s="2007"/>
      <c r="E214" s="2005"/>
      <c r="F214" s="2042"/>
      <c r="G214" s="2119"/>
      <c r="H214" s="2107"/>
      <c r="I214" s="2112"/>
      <c r="J214" s="2113"/>
      <c r="K214" s="2105"/>
      <c r="L214" s="2127"/>
      <c r="M214" s="2112"/>
      <c r="N214" s="2113"/>
      <c r="O214" s="2105"/>
      <c r="P214" s="2105"/>
      <c r="Q214" s="2107"/>
      <c r="R214" s="2112"/>
      <c r="S214" s="2113"/>
      <c r="T214" s="2105"/>
      <c r="U214" s="2105"/>
      <c r="V214" s="2107"/>
      <c r="W214" s="2112"/>
      <c r="X214" s="2113"/>
      <c r="Y214" s="2105"/>
      <c r="Z214" s="2105"/>
      <c r="AA214" s="2107"/>
      <c r="AB214" s="2112"/>
      <c r="AC214" s="2113"/>
      <c r="AD214" s="2105"/>
      <c r="AE214" s="2105"/>
      <c r="AF214" s="2107"/>
      <c r="AG214" s="2112"/>
      <c r="AH214" s="2113"/>
      <c r="AI214" s="2105"/>
      <c r="AJ214" s="2105"/>
      <c r="AK214" s="2011"/>
      <c r="AL214" s="2012"/>
      <c r="AM214" s="2012"/>
      <c r="AN214" s="2013"/>
      <c r="AO214" s="2011"/>
      <c r="AP214" s="2012"/>
      <c r="AQ214" s="2012"/>
      <c r="AR214" s="2013"/>
      <c r="AS214" s="651"/>
      <c r="AT214" s="652"/>
      <c r="AU214" s="1983"/>
      <c r="AV214" s="1983"/>
      <c r="AW214" s="1983"/>
      <c r="AX214" s="1983"/>
      <c r="AY214" s="1983"/>
      <c r="AZ214" s="1983"/>
      <c r="BA214" s="1983"/>
      <c r="BB214" s="654"/>
      <c r="BC214" s="654"/>
      <c r="BD214" s="652"/>
      <c r="BE214" s="652"/>
      <c r="BF214" s="652"/>
      <c r="BG214" s="652"/>
      <c r="BH214" s="652"/>
      <c r="BI214" s="652"/>
      <c r="BJ214" s="2225"/>
      <c r="BK214" s="2226"/>
      <c r="BL214" s="1381"/>
      <c r="BM214" s="684"/>
    </row>
    <row r="215" spans="1:65" ht="14.1" customHeight="1" x14ac:dyDescent="0.15">
      <c r="A215" s="652" t="str">
        <f t="shared" ref="A215" si="1968">IF(AND(D215="",D217&lt;&gt;""),"×","○")</f>
        <v>○</v>
      </c>
      <c r="B215" s="2174" t="str">
        <f t="shared" ref="B215" si="1969">IF(AND(AT215="○",BB215="○",BC215="○",A215="○"),"○","×")</f>
        <v>○</v>
      </c>
      <c r="C215" s="2120">
        <v>101</v>
      </c>
      <c r="D215" s="2006"/>
      <c r="E215" s="2004"/>
      <c r="F215" s="2041"/>
      <c r="G215" s="2123"/>
      <c r="H215" s="2109"/>
      <c r="I215" s="2141"/>
      <c r="J215" s="2142"/>
      <c r="K215" s="2104"/>
      <c r="L215" s="2140"/>
      <c r="M215" s="2110"/>
      <c r="N215" s="2111"/>
      <c r="O215" s="2108"/>
      <c r="P215" s="2108"/>
      <c r="Q215" s="2109"/>
      <c r="R215" s="2110"/>
      <c r="S215" s="2111"/>
      <c r="T215" s="2108"/>
      <c r="U215" s="2108"/>
      <c r="V215" s="2109"/>
      <c r="W215" s="2110"/>
      <c r="X215" s="2111"/>
      <c r="Y215" s="2108"/>
      <c r="Z215" s="2108"/>
      <c r="AA215" s="2109"/>
      <c r="AB215" s="2110"/>
      <c r="AC215" s="2111"/>
      <c r="AD215" s="2108"/>
      <c r="AE215" s="2108"/>
      <c r="AF215" s="2109"/>
      <c r="AG215" s="2110"/>
      <c r="AH215" s="2111"/>
      <c r="AI215" s="2108"/>
      <c r="AJ215" s="2108"/>
      <c r="AK215" s="2038"/>
      <c r="AL215" s="2039"/>
      <c r="AM215" s="2039"/>
      <c r="AN215" s="2040"/>
      <c r="AO215" s="2008"/>
      <c r="AP215" s="2009"/>
      <c r="AQ215" s="2009"/>
      <c r="AR215" s="2010"/>
      <c r="AS215" s="651"/>
      <c r="AT215" s="652" t="str">
        <f t="shared" ref="AT215" si="1970">IF(OR(AND(D215&lt;&gt;"",OR(AND(E215&lt;&gt;"",F215&lt;&gt;"",OR(G215&lt;&gt;"",H215&lt;&gt;"")),AND(E215="",F215="バス・カメラマン等"))),AND(D215="",E215="",F215="",OR(G215="",H215=""))),"○","×")</f>
        <v>○</v>
      </c>
      <c r="AU215" s="1983" t="str">
        <f t="shared" ref="AU215" si="1971">IF(AND(E215&lt;&gt;"",E215&lt;=2),"2歳児以下","")</f>
        <v/>
      </c>
      <c r="AV215" s="1983" t="str">
        <f t="shared" ref="AV215" si="1972">IF(OR(AND(3&lt;=E215,E215&lt;=6),COUNTIF(E215, "幼*"),COUNTIF(E215, "年少"),COUNTIF(E215, "年中"),COUNTIF(E215, "年長")),"3歳-学齢前","")</f>
        <v/>
      </c>
      <c r="AW215" s="1983" t="str">
        <f t="shared" ref="AW215" si="1973">IF(OR(AND(6&lt;=E215,E215&lt;=12),COUNTIF(E215, "小*")),"小学生","")</f>
        <v/>
      </c>
      <c r="AX215" s="1983" t="str">
        <f t="shared" ref="AX215" si="1974">IF(OR(AND(12&lt;=E215,E215&lt;=15),COUNTIF(E215, "中*")),"中学生","")</f>
        <v/>
      </c>
      <c r="AY215" s="1983" t="str">
        <f t="shared" ref="AY215" si="1975">IF(OR(AND(15&lt;=E215,E215&lt;=18),COUNTIF(E215, "高*")),"高校生(～18歳)","")</f>
        <v/>
      </c>
      <c r="AZ215" s="1983" t="str">
        <f t="shared" ref="AZ215" si="1976">IF(OR(19&lt;=E215,COUNTIF(E215, "大*"),COUNTIF(E215, "*院*"),COUNTIF(E215, "*専*")),"一般(19歳～)","")</f>
        <v/>
      </c>
      <c r="BA215" s="1983" t="s">
        <v>475</v>
      </c>
      <c r="BB215" s="652" t="str">
        <f t="shared" ref="BB215" si="1977">IF(OR(AND(D215="",I215="",M215="",R215="",W215="",AB215="",AG215=""),AND(D215&lt;&gt;"",OR(I215&lt;&gt;"",M215&lt;&gt;"",R215&lt;&gt;"",W215&lt;&gt;"",AB215&lt;&gt;"",AG215&lt;&gt;""))),"○","×")</f>
        <v>○</v>
      </c>
      <c r="BC215" s="652" t="str">
        <f t="shared" ref="BC215" si="1978">IF(AND(BD215="○",BE215="○",BF215="○",BG215="○",BH215="○",BI215="○"),"○","×")</f>
        <v>○</v>
      </c>
      <c r="BD215" s="653" t="str">
        <f t="shared" ref="BD215" si="1979">IF(AND($I$7=" ",OR(I215&lt;&gt;"",K215&lt;&gt;"",L215&lt;&gt;"")),"×","○")</f>
        <v>○</v>
      </c>
      <c r="BE215" s="653" t="str">
        <f t="shared" ref="BE215" si="1980">IF(AND($M$7=" ",OR(M215&lt;&gt;"",O215&lt;&gt;"",P215&lt;&gt;"",Q215&lt;&gt;"")),"×","○")</f>
        <v>○</v>
      </c>
      <c r="BF215" s="653" t="str">
        <f t="shared" ref="BF215" si="1981">IF(AND($R$7=" ",OR(R215&lt;&gt;"",T215&lt;&gt;"",U215&lt;&gt;"",V215&lt;&gt;"")),"×","○")</f>
        <v>○</v>
      </c>
      <c r="BG215" s="653" t="str">
        <f t="shared" ref="BG215" si="1982">IF(AND($W$7=" ",OR(W215&lt;&gt;"",Y215&lt;&gt;"",Z215&lt;&gt;"",AA215&lt;&gt;"")),"×","○")</f>
        <v>○</v>
      </c>
      <c r="BH215" s="653" t="str">
        <f t="shared" ref="BH215" si="1983">IF(AND($AB$7=" ",OR(AB215&lt;&gt;"",AD215&lt;&gt;"",AE215&lt;&gt;"",AF215&lt;&gt;"")),"×","○")</f>
        <v>○</v>
      </c>
      <c r="BI215" s="653" t="str">
        <f t="shared" ref="BI215" si="1984">IF(AND($AG$7=" ",OR(AG215&lt;&gt;"",AI215&lt;&gt;"",AJ215&lt;&gt;"")),"×","○")</f>
        <v>○</v>
      </c>
      <c r="BJ215" s="2225" t="e">
        <f t="shared" ref="BJ215" si="1985">SUMPRODUCT(1/COUNTIF(I215:AH215,"宿泊"))</f>
        <v>#DIV/0!</v>
      </c>
      <c r="BK215" s="2226" t="e">
        <f t="shared" ref="BK215" si="1986">SUMPRODUCT(1/COUNTIF(I215:AH215,"日帰り"))</f>
        <v>#DIV/0!</v>
      </c>
      <c r="BL215" s="1381">
        <f t="shared" ref="BL215" si="1987">COUNT(BJ215)-COUNT(BK215)</f>
        <v>0</v>
      </c>
      <c r="BM215" s="684"/>
    </row>
    <row r="216" spans="1:65" ht="14.1" customHeight="1" x14ac:dyDescent="0.15">
      <c r="A216" s="652"/>
      <c r="B216" s="2174"/>
      <c r="C216" s="2117"/>
      <c r="D216" s="2007"/>
      <c r="E216" s="2005"/>
      <c r="F216" s="2042"/>
      <c r="G216" s="2119"/>
      <c r="H216" s="2107"/>
      <c r="I216" s="2112"/>
      <c r="J216" s="2113"/>
      <c r="K216" s="2105"/>
      <c r="L216" s="2127"/>
      <c r="M216" s="2112"/>
      <c r="N216" s="2113"/>
      <c r="O216" s="2105"/>
      <c r="P216" s="2105"/>
      <c r="Q216" s="2107"/>
      <c r="R216" s="2112"/>
      <c r="S216" s="2113"/>
      <c r="T216" s="2105"/>
      <c r="U216" s="2105"/>
      <c r="V216" s="2107"/>
      <c r="W216" s="2112"/>
      <c r="X216" s="2113"/>
      <c r="Y216" s="2105"/>
      <c r="Z216" s="2105"/>
      <c r="AA216" s="2107"/>
      <c r="AB216" s="2112"/>
      <c r="AC216" s="2113"/>
      <c r="AD216" s="2105"/>
      <c r="AE216" s="2105"/>
      <c r="AF216" s="2107"/>
      <c r="AG216" s="2112"/>
      <c r="AH216" s="2113"/>
      <c r="AI216" s="2105"/>
      <c r="AJ216" s="2105"/>
      <c r="AK216" s="2011"/>
      <c r="AL216" s="2012"/>
      <c r="AM216" s="2012"/>
      <c r="AN216" s="2013"/>
      <c r="AO216" s="2011"/>
      <c r="AP216" s="2012"/>
      <c r="AQ216" s="2012"/>
      <c r="AR216" s="2013"/>
      <c r="AS216" s="651"/>
      <c r="AT216" s="652"/>
      <c r="AU216" s="1983"/>
      <c r="AV216" s="1983"/>
      <c r="AW216" s="1983"/>
      <c r="AX216" s="1983"/>
      <c r="AY216" s="1983"/>
      <c r="AZ216" s="1983"/>
      <c r="BA216" s="1983"/>
      <c r="BB216" s="654"/>
      <c r="BC216" s="654"/>
      <c r="BD216" s="652"/>
      <c r="BE216" s="652"/>
      <c r="BF216" s="652"/>
      <c r="BG216" s="652"/>
      <c r="BH216" s="652"/>
      <c r="BI216" s="652"/>
      <c r="BJ216" s="2225"/>
      <c r="BK216" s="2226"/>
      <c r="BL216" s="1381"/>
      <c r="BM216" s="684"/>
    </row>
    <row r="217" spans="1:65" ht="14.1" customHeight="1" x14ac:dyDescent="0.15">
      <c r="A217" s="652" t="str">
        <f t="shared" ref="A217" si="1988">IF(AND(D217="",D219&lt;&gt;""),"×","○")</f>
        <v>○</v>
      </c>
      <c r="B217" s="2174" t="str">
        <f t="shared" ref="B217" si="1989">IF(AND(AT217="○",BB217="○",BC217="○",A217="○"),"○","×")</f>
        <v>○</v>
      </c>
      <c r="C217" s="2116">
        <v>102</v>
      </c>
      <c r="D217" s="2006"/>
      <c r="E217" s="2004"/>
      <c r="F217" s="2041"/>
      <c r="G217" s="2118"/>
      <c r="H217" s="2106"/>
      <c r="I217" s="2141"/>
      <c r="J217" s="2142"/>
      <c r="K217" s="2104"/>
      <c r="L217" s="2140"/>
      <c r="M217" s="2110"/>
      <c r="N217" s="2111"/>
      <c r="O217" s="2104"/>
      <c r="P217" s="2104"/>
      <c r="Q217" s="2106"/>
      <c r="R217" s="2110"/>
      <c r="S217" s="2111"/>
      <c r="T217" s="2104"/>
      <c r="U217" s="2104"/>
      <c r="V217" s="2106"/>
      <c r="W217" s="2110"/>
      <c r="X217" s="2111"/>
      <c r="Y217" s="2104"/>
      <c r="Z217" s="2104"/>
      <c r="AA217" s="2106"/>
      <c r="AB217" s="2110"/>
      <c r="AC217" s="2111"/>
      <c r="AD217" s="2104"/>
      <c r="AE217" s="2104"/>
      <c r="AF217" s="2106"/>
      <c r="AG217" s="2110"/>
      <c r="AH217" s="2111"/>
      <c r="AI217" s="2104"/>
      <c r="AJ217" s="2104"/>
      <c r="AK217" s="2038"/>
      <c r="AL217" s="2039"/>
      <c r="AM217" s="2039"/>
      <c r="AN217" s="2040"/>
      <c r="AO217" s="2008"/>
      <c r="AP217" s="2009"/>
      <c r="AQ217" s="2009"/>
      <c r="AR217" s="2010"/>
      <c r="AS217" s="651"/>
      <c r="AT217" s="652" t="str">
        <f t="shared" ref="AT217" si="1990">IF(OR(AND(D217&lt;&gt;"",OR(AND(E217&lt;&gt;"",F217&lt;&gt;"",OR(G217&lt;&gt;"",H217&lt;&gt;"")),AND(E217="",F217="バス・カメラマン等"))),AND(D217="",E217="",F217="",OR(G217="",H217=""))),"○","×")</f>
        <v>○</v>
      </c>
      <c r="AU217" s="1983" t="str">
        <f t="shared" ref="AU217" si="1991">IF(AND(E217&lt;&gt;"",E217&lt;=2),"2歳児以下","")</f>
        <v/>
      </c>
      <c r="AV217" s="1983" t="str">
        <f t="shared" ref="AV217" si="1992">IF(OR(AND(3&lt;=E217,E217&lt;=6),COUNTIF(E217, "幼*"),COUNTIF(E217, "年少"),COUNTIF(E217, "年中"),COUNTIF(E217, "年長")),"3歳-学齢前","")</f>
        <v/>
      </c>
      <c r="AW217" s="1983" t="str">
        <f t="shared" ref="AW217" si="1993">IF(OR(AND(6&lt;=E217,E217&lt;=12),COUNTIF(E217, "小*")),"小学生","")</f>
        <v/>
      </c>
      <c r="AX217" s="1983" t="str">
        <f t="shared" ref="AX217" si="1994">IF(OR(AND(12&lt;=E217,E217&lt;=15),COUNTIF(E217, "中*")),"中学生","")</f>
        <v/>
      </c>
      <c r="AY217" s="1983" t="str">
        <f t="shared" ref="AY217" si="1995">IF(OR(AND(15&lt;=E217,E217&lt;=18),COUNTIF(E217, "高*")),"高校生(～18歳)","")</f>
        <v/>
      </c>
      <c r="AZ217" s="1983" t="str">
        <f t="shared" ref="AZ217" si="1996">IF(OR(19&lt;=E217,COUNTIF(E217, "大*"),COUNTIF(E217, "*院*"),COUNTIF(E217, "*専*")),"一般(19歳～)","")</f>
        <v/>
      </c>
      <c r="BA217" s="1983" t="s">
        <v>475</v>
      </c>
      <c r="BB217" s="652" t="str">
        <f t="shared" ref="BB217" si="1997">IF(OR(AND(D217="",I217="",M217="",R217="",W217="",AB217="",AG217=""),AND(D217&lt;&gt;"",OR(I217&lt;&gt;"",M217&lt;&gt;"",R217&lt;&gt;"",W217&lt;&gt;"",AB217&lt;&gt;"",AG217&lt;&gt;""))),"○","×")</f>
        <v>○</v>
      </c>
      <c r="BC217" s="652" t="str">
        <f t="shared" ref="BC217" si="1998">IF(AND(BD217="○",BE217="○",BF217="○",BG217="○",BH217="○",BI217="○"),"○","×")</f>
        <v>○</v>
      </c>
      <c r="BD217" s="653" t="str">
        <f t="shared" ref="BD217" si="1999">IF(AND($I$7=" ",OR(I217&lt;&gt;"",K217&lt;&gt;"",L217&lt;&gt;"")),"×","○")</f>
        <v>○</v>
      </c>
      <c r="BE217" s="653" t="str">
        <f t="shared" ref="BE217" si="2000">IF(AND($M$7=" ",OR(M217&lt;&gt;"",O217&lt;&gt;"",P217&lt;&gt;"",Q217&lt;&gt;"")),"×","○")</f>
        <v>○</v>
      </c>
      <c r="BF217" s="653" t="str">
        <f t="shared" ref="BF217" si="2001">IF(AND($R$7=" ",OR(R217&lt;&gt;"",T217&lt;&gt;"",U217&lt;&gt;"",V217&lt;&gt;"")),"×","○")</f>
        <v>○</v>
      </c>
      <c r="BG217" s="653" t="str">
        <f t="shared" ref="BG217" si="2002">IF(AND($W$7=" ",OR(W217&lt;&gt;"",Y217&lt;&gt;"",Z217&lt;&gt;"",AA217&lt;&gt;"")),"×","○")</f>
        <v>○</v>
      </c>
      <c r="BH217" s="653" t="str">
        <f t="shared" ref="BH217" si="2003">IF(AND($AB$7=" ",OR(AB217&lt;&gt;"",AD217&lt;&gt;"",AE217&lt;&gt;"",AF217&lt;&gt;"")),"×","○")</f>
        <v>○</v>
      </c>
      <c r="BI217" s="653" t="str">
        <f t="shared" ref="BI217" si="2004">IF(AND($AG$7=" ",OR(AG217&lt;&gt;"",AI217&lt;&gt;"",AJ217&lt;&gt;"")),"×","○")</f>
        <v>○</v>
      </c>
      <c r="BJ217" s="2225" t="e">
        <f t="shared" ref="BJ217" si="2005">SUMPRODUCT(1/COUNTIF(I217:AH217,"宿泊"))</f>
        <v>#DIV/0!</v>
      </c>
      <c r="BK217" s="2226" t="e">
        <f t="shared" ref="BK217" si="2006">SUMPRODUCT(1/COUNTIF(I217:AH217,"日帰り"))</f>
        <v>#DIV/0!</v>
      </c>
      <c r="BL217" s="1381">
        <f t="shared" ref="BL217" si="2007">COUNT(BJ217)-COUNT(BK217)</f>
        <v>0</v>
      </c>
      <c r="BM217" s="684"/>
    </row>
    <row r="218" spans="1:65" ht="14.1" customHeight="1" x14ac:dyDescent="0.15">
      <c r="A218" s="652"/>
      <c r="B218" s="2174"/>
      <c r="C218" s="2117"/>
      <c r="D218" s="2007"/>
      <c r="E218" s="2005"/>
      <c r="F218" s="2042"/>
      <c r="G218" s="2119"/>
      <c r="H218" s="2107"/>
      <c r="I218" s="2112"/>
      <c r="J218" s="2113"/>
      <c r="K218" s="2105"/>
      <c r="L218" s="2127"/>
      <c r="M218" s="2112"/>
      <c r="N218" s="2113"/>
      <c r="O218" s="2105"/>
      <c r="P218" s="2105"/>
      <c r="Q218" s="2107"/>
      <c r="R218" s="2112"/>
      <c r="S218" s="2113"/>
      <c r="T218" s="2105"/>
      <c r="U218" s="2105"/>
      <c r="V218" s="2107"/>
      <c r="W218" s="2112"/>
      <c r="X218" s="2113"/>
      <c r="Y218" s="2105"/>
      <c r="Z218" s="2105"/>
      <c r="AA218" s="2107"/>
      <c r="AB218" s="2112"/>
      <c r="AC218" s="2113"/>
      <c r="AD218" s="2105"/>
      <c r="AE218" s="2105"/>
      <c r="AF218" s="2107"/>
      <c r="AG218" s="2112"/>
      <c r="AH218" s="2113"/>
      <c r="AI218" s="2105"/>
      <c r="AJ218" s="2105"/>
      <c r="AK218" s="2011"/>
      <c r="AL218" s="2012"/>
      <c r="AM218" s="2012"/>
      <c r="AN218" s="2013"/>
      <c r="AO218" s="2011"/>
      <c r="AP218" s="2012"/>
      <c r="AQ218" s="2012"/>
      <c r="AR218" s="2013"/>
      <c r="AS218" s="651"/>
      <c r="AT218" s="652"/>
      <c r="AU218" s="1983"/>
      <c r="AV218" s="1983"/>
      <c r="AW218" s="1983"/>
      <c r="AX218" s="1983"/>
      <c r="AY218" s="1983"/>
      <c r="AZ218" s="1983"/>
      <c r="BA218" s="1983"/>
      <c r="BB218" s="654"/>
      <c r="BC218" s="654"/>
      <c r="BD218" s="652"/>
      <c r="BE218" s="652"/>
      <c r="BF218" s="652"/>
      <c r="BG218" s="652"/>
      <c r="BH218" s="652"/>
      <c r="BI218" s="652"/>
      <c r="BJ218" s="2225"/>
      <c r="BK218" s="2226"/>
      <c r="BL218" s="1381"/>
      <c r="BM218" s="684"/>
    </row>
    <row r="219" spans="1:65" ht="14.1" customHeight="1" x14ac:dyDescent="0.15">
      <c r="A219" s="652" t="str">
        <f t="shared" ref="A219" si="2008">IF(AND(D219="",D221&lt;&gt;""),"×","○")</f>
        <v>○</v>
      </c>
      <c r="B219" s="2174" t="str">
        <f t="shared" ref="B219" si="2009">IF(AND(AT219="○",BB219="○",BC219="○",A219="○"),"○","×")</f>
        <v>○</v>
      </c>
      <c r="C219" s="2116">
        <v>103</v>
      </c>
      <c r="D219" s="2006"/>
      <c r="E219" s="2004"/>
      <c r="F219" s="2041"/>
      <c r="G219" s="2118"/>
      <c r="H219" s="2106"/>
      <c r="I219" s="2141"/>
      <c r="J219" s="2142"/>
      <c r="K219" s="2104"/>
      <c r="L219" s="2140"/>
      <c r="M219" s="2110"/>
      <c r="N219" s="2111"/>
      <c r="O219" s="2104"/>
      <c r="P219" s="2104"/>
      <c r="Q219" s="2106"/>
      <c r="R219" s="2110"/>
      <c r="S219" s="2111"/>
      <c r="T219" s="2104"/>
      <c r="U219" s="2104"/>
      <c r="V219" s="2106"/>
      <c r="W219" s="2110"/>
      <c r="X219" s="2111"/>
      <c r="Y219" s="2104"/>
      <c r="Z219" s="2104"/>
      <c r="AA219" s="2106"/>
      <c r="AB219" s="2110"/>
      <c r="AC219" s="2111"/>
      <c r="AD219" s="2104"/>
      <c r="AE219" s="2104"/>
      <c r="AF219" s="2106"/>
      <c r="AG219" s="2110"/>
      <c r="AH219" s="2111"/>
      <c r="AI219" s="2104"/>
      <c r="AJ219" s="2104"/>
      <c r="AK219" s="2038"/>
      <c r="AL219" s="2039"/>
      <c r="AM219" s="2039"/>
      <c r="AN219" s="2040"/>
      <c r="AO219" s="2008"/>
      <c r="AP219" s="2009"/>
      <c r="AQ219" s="2009"/>
      <c r="AR219" s="2010"/>
      <c r="AS219" s="651"/>
      <c r="AT219" s="652" t="str">
        <f t="shared" ref="AT219" si="2010">IF(OR(AND(D219&lt;&gt;"",OR(AND(E219&lt;&gt;"",F219&lt;&gt;"",OR(G219&lt;&gt;"",H219&lt;&gt;"")),AND(E219="",F219="バス・カメラマン等"))),AND(D219="",E219="",F219="",OR(G219="",H219=""))),"○","×")</f>
        <v>○</v>
      </c>
      <c r="AU219" s="1983" t="str">
        <f t="shared" ref="AU219" si="2011">IF(AND(E219&lt;&gt;"",E219&lt;=2),"2歳児以下","")</f>
        <v/>
      </c>
      <c r="AV219" s="1983" t="str">
        <f t="shared" ref="AV219" si="2012">IF(OR(AND(3&lt;=E219,E219&lt;=6),COUNTIF(E219, "幼*"),COUNTIF(E219, "年少"),COUNTIF(E219, "年中"),COUNTIF(E219, "年長")),"3歳-学齢前","")</f>
        <v/>
      </c>
      <c r="AW219" s="1983" t="str">
        <f t="shared" ref="AW219" si="2013">IF(OR(AND(6&lt;=E219,E219&lt;=12),COUNTIF(E219, "小*")),"小学生","")</f>
        <v/>
      </c>
      <c r="AX219" s="1983" t="str">
        <f t="shared" ref="AX219" si="2014">IF(OR(AND(12&lt;=E219,E219&lt;=15),COUNTIF(E219, "中*")),"中学生","")</f>
        <v/>
      </c>
      <c r="AY219" s="1983" t="str">
        <f t="shared" ref="AY219" si="2015">IF(OR(AND(15&lt;=E219,E219&lt;=18),COUNTIF(E219, "高*")),"高校生(～18歳)","")</f>
        <v/>
      </c>
      <c r="AZ219" s="1983" t="str">
        <f t="shared" ref="AZ219" si="2016">IF(OR(19&lt;=E219,COUNTIF(E219, "大*"),COUNTIF(E219, "*院*"),COUNTIF(E219, "*専*")),"一般(19歳～)","")</f>
        <v/>
      </c>
      <c r="BA219" s="1983" t="s">
        <v>475</v>
      </c>
      <c r="BB219" s="652" t="str">
        <f t="shared" ref="BB219" si="2017">IF(OR(AND(D219="",I219="",M219="",R219="",W219="",AB219="",AG219=""),AND(D219&lt;&gt;"",OR(I219&lt;&gt;"",M219&lt;&gt;"",R219&lt;&gt;"",W219&lt;&gt;"",AB219&lt;&gt;"",AG219&lt;&gt;""))),"○","×")</f>
        <v>○</v>
      </c>
      <c r="BC219" s="652" t="str">
        <f t="shared" ref="BC219" si="2018">IF(AND(BD219="○",BE219="○",BF219="○",BG219="○",BH219="○",BI219="○"),"○","×")</f>
        <v>○</v>
      </c>
      <c r="BD219" s="653" t="str">
        <f t="shared" ref="BD219" si="2019">IF(AND($I$7=" ",OR(I219&lt;&gt;"",K219&lt;&gt;"",L219&lt;&gt;"")),"×","○")</f>
        <v>○</v>
      </c>
      <c r="BE219" s="653" t="str">
        <f t="shared" ref="BE219" si="2020">IF(AND($M$7=" ",OR(M219&lt;&gt;"",O219&lt;&gt;"",P219&lt;&gt;"",Q219&lt;&gt;"")),"×","○")</f>
        <v>○</v>
      </c>
      <c r="BF219" s="653" t="str">
        <f t="shared" ref="BF219" si="2021">IF(AND($R$7=" ",OR(R219&lt;&gt;"",T219&lt;&gt;"",U219&lt;&gt;"",V219&lt;&gt;"")),"×","○")</f>
        <v>○</v>
      </c>
      <c r="BG219" s="653" t="str">
        <f t="shared" ref="BG219" si="2022">IF(AND($W$7=" ",OR(W219&lt;&gt;"",Y219&lt;&gt;"",Z219&lt;&gt;"",AA219&lt;&gt;"")),"×","○")</f>
        <v>○</v>
      </c>
      <c r="BH219" s="653" t="str">
        <f t="shared" ref="BH219" si="2023">IF(AND($AB$7=" ",OR(AB219&lt;&gt;"",AD219&lt;&gt;"",AE219&lt;&gt;"",AF219&lt;&gt;"")),"×","○")</f>
        <v>○</v>
      </c>
      <c r="BI219" s="653" t="str">
        <f t="shared" ref="BI219" si="2024">IF(AND($AG$7=" ",OR(AG219&lt;&gt;"",AI219&lt;&gt;"",AJ219&lt;&gt;"")),"×","○")</f>
        <v>○</v>
      </c>
      <c r="BJ219" s="2225" t="e">
        <f t="shared" ref="BJ219" si="2025">SUMPRODUCT(1/COUNTIF(I219:AH219,"宿泊"))</f>
        <v>#DIV/0!</v>
      </c>
      <c r="BK219" s="2226" t="e">
        <f t="shared" ref="BK219" si="2026">SUMPRODUCT(1/COUNTIF(I219:AH219,"日帰り"))</f>
        <v>#DIV/0!</v>
      </c>
      <c r="BL219" s="1381">
        <f t="shared" ref="BL219" si="2027">COUNT(BJ219)-COUNT(BK219)</f>
        <v>0</v>
      </c>
      <c r="BM219" s="684"/>
    </row>
    <row r="220" spans="1:65" ht="14.1" customHeight="1" x14ac:dyDescent="0.15">
      <c r="A220" s="652"/>
      <c r="B220" s="2174"/>
      <c r="C220" s="2117"/>
      <c r="D220" s="2007"/>
      <c r="E220" s="2005"/>
      <c r="F220" s="2042"/>
      <c r="G220" s="2119"/>
      <c r="H220" s="2107"/>
      <c r="I220" s="2112"/>
      <c r="J220" s="2113"/>
      <c r="K220" s="2105"/>
      <c r="L220" s="2127"/>
      <c r="M220" s="2112"/>
      <c r="N220" s="2113"/>
      <c r="O220" s="2105"/>
      <c r="P220" s="2105"/>
      <c r="Q220" s="2107"/>
      <c r="R220" s="2112"/>
      <c r="S220" s="2113"/>
      <c r="T220" s="2105"/>
      <c r="U220" s="2105"/>
      <c r="V220" s="2107"/>
      <c r="W220" s="2112"/>
      <c r="X220" s="2113"/>
      <c r="Y220" s="2105"/>
      <c r="Z220" s="2105"/>
      <c r="AA220" s="2107"/>
      <c r="AB220" s="2112"/>
      <c r="AC220" s="2113"/>
      <c r="AD220" s="2105"/>
      <c r="AE220" s="2105"/>
      <c r="AF220" s="2107"/>
      <c r="AG220" s="2112"/>
      <c r="AH220" s="2113"/>
      <c r="AI220" s="2105"/>
      <c r="AJ220" s="2105"/>
      <c r="AK220" s="2011"/>
      <c r="AL220" s="2012"/>
      <c r="AM220" s="2012"/>
      <c r="AN220" s="2013"/>
      <c r="AO220" s="2011"/>
      <c r="AP220" s="2012"/>
      <c r="AQ220" s="2012"/>
      <c r="AR220" s="2013"/>
      <c r="AS220" s="651"/>
      <c r="AT220" s="652"/>
      <c r="AU220" s="1983"/>
      <c r="AV220" s="1983"/>
      <c r="AW220" s="1983"/>
      <c r="AX220" s="1983"/>
      <c r="AY220" s="1983"/>
      <c r="AZ220" s="1983"/>
      <c r="BA220" s="1983"/>
      <c r="BB220" s="654"/>
      <c r="BC220" s="654"/>
      <c r="BD220" s="652"/>
      <c r="BE220" s="652"/>
      <c r="BF220" s="652"/>
      <c r="BG220" s="652"/>
      <c r="BH220" s="652"/>
      <c r="BI220" s="652"/>
      <c r="BJ220" s="2225"/>
      <c r="BK220" s="2226"/>
      <c r="BL220" s="1381"/>
      <c r="BM220" s="684"/>
    </row>
    <row r="221" spans="1:65" ht="14.1" customHeight="1" x14ac:dyDescent="0.15">
      <c r="A221" s="652" t="str">
        <f t="shared" ref="A221" si="2028">IF(AND(D221="",D223&lt;&gt;""),"×","○")</f>
        <v>○</v>
      </c>
      <c r="B221" s="2174" t="str">
        <f t="shared" ref="B221" si="2029">IF(AND(AT221="○",BB221="○",BC221="○",A221="○"),"○","×")</f>
        <v>○</v>
      </c>
      <c r="C221" s="2116">
        <v>104</v>
      </c>
      <c r="D221" s="2006"/>
      <c r="E221" s="2004"/>
      <c r="F221" s="2041"/>
      <c r="G221" s="2118"/>
      <c r="H221" s="2106"/>
      <c r="I221" s="2141"/>
      <c r="J221" s="2142"/>
      <c r="K221" s="2104"/>
      <c r="L221" s="2140"/>
      <c r="M221" s="2110"/>
      <c r="N221" s="2111"/>
      <c r="O221" s="2104"/>
      <c r="P221" s="2104"/>
      <c r="Q221" s="2106"/>
      <c r="R221" s="2110"/>
      <c r="S221" s="2111"/>
      <c r="T221" s="2104"/>
      <c r="U221" s="2104"/>
      <c r="V221" s="2106"/>
      <c r="W221" s="2110"/>
      <c r="X221" s="2111"/>
      <c r="Y221" s="2104"/>
      <c r="Z221" s="2104"/>
      <c r="AA221" s="2106"/>
      <c r="AB221" s="2110"/>
      <c r="AC221" s="2111"/>
      <c r="AD221" s="2104"/>
      <c r="AE221" s="2104"/>
      <c r="AF221" s="2106"/>
      <c r="AG221" s="2110"/>
      <c r="AH221" s="2111"/>
      <c r="AI221" s="2104"/>
      <c r="AJ221" s="2104"/>
      <c r="AK221" s="2038"/>
      <c r="AL221" s="2039"/>
      <c r="AM221" s="2039"/>
      <c r="AN221" s="2040"/>
      <c r="AO221" s="2008"/>
      <c r="AP221" s="2009"/>
      <c r="AQ221" s="2009"/>
      <c r="AR221" s="2010"/>
      <c r="AS221" s="651"/>
      <c r="AT221" s="652" t="str">
        <f t="shared" ref="AT221" si="2030">IF(OR(AND(D221&lt;&gt;"",OR(AND(E221&lt;&gt;"",F221&lt;&gt;"",OR(G221&lt;&gt;"",H221&lt;&gt;"")),AND(E221="",F221="バス・カメラマン等"))),AND(D221="",E221="",F221="",OR(G221="",H221=""))),"○","×")</f>
        <v>○</v>
      </c>
      <c r="AU221" s="1983" t="str">
        <f t="shared" ref="AU221" si="2031">IF(AND(E221&lt;&gt;"",E221&lt;=2),"2歳児以下","")</f>
        <v/>
      </c>
      <c r="AV221" s="1983" t="str">
        <f t="shared" ref="AV221" si="2032">IF(OR(AND(3&lt;=E221,E221&lt;=6),COUNTIF(E221, "幼*"),COUNTIF(E221, "年少"),COUNTIF(E221, "年中"),COUNTIF(E221, "年長")),"3歳-学齢前","")</f>
        <v/>
      </c>
      <c r="AW221" s="1983" t="str">
        <f t="shared" ref="AW221" si="2033">IF(OR(AND(6&lt;=E221,E221&lt;=12),COUNTIF(E221, "小*")),"小学生","")</f>
        <v/>
      </c>
      <c r="AX221" s="1983" t="str">
        <f t="shared" ref="AX221" si="2034">IF(OR(AND(12&lt;=E221,E221&lt;=15),COUNTIF(E221, "中*")),"中学生","")</f>
        <v/>
      </c>
      <c r="AY221" s="1983" t="str">
        <f t="shared" ref="AY221" si="2035">IF(OR(AND(15&lt;=E221,E221&lt;=18),COUNTIF(E221, "高*")),"高校生(～18歳)","")</f>
        <v/>
      </c>
      <c r="AZ221" s="1983" t="str">
        <f t="shared" ref="AZ221" si="2036">IF(OR(19&lt;=E221,COUNTIF(E221, "大*"),COUNTIF(E221, "*院*"),COUNTIF(E221, "*専*")),"一般(19歳～)","")</f>
        <v/>
      </c>
      <c r="BA221" s="1983" t="s">
        <v>475</v>
      </c>
      <c r="BB221" s="652" t="str">
        <f t="shared" ref="BB221" si="2037">IF(OR(AND(D221="",I221="",M221="",R221="",W221="",AB221="",AG221=""),AND(D221&lt;&gt;"",OR(I221&lt;&gt;"",M221&lt;&gt;"",R221&lt;&gt;"",W221&lt;&gt;"",AB221&lt;&gt;"",AG221&lt;&gt;""))),"○","×")</f>
        <v>○</v>
      </c>
      <c r="BC221" s="652" t="str">
        <f t="shared" ref="BC221" si="2038">IF(AND(BD221="○",BE221="○",BF221="○",BG221="○",BH221="○",BI221="○"),"○","×")</f>
        <v>○</v>
      </c>
      <c r="BD221" s="653" t="str">
        <f t="shared" ref="BD221" si="2039">IF(AND($I$7=" ",OR(I221&lt;&gt;"",K221&lt;&gt;"",L221&lt;&gt;"")),"×","○")</f>
        <v>○</v>
      </c>
      <c r="BE221" s="653" t="str">
        <f t="shared" ref="BE221" si="2040">IF(AND($M$7=" ",OR(M221&lt;&gt;"",O221&lt;&gt;"",P221&lt;&gt;"",Q221&lt;&gt;"")),"×","○")</f>
        <v>○</v>
      </c>
      <c r="BF221" s="653" t="str">
        <f t="shared" ref="BF221" si="2041">IF(AND($R$7=" ",OR(R221&lt;&gt;"",T221&lt;&gt;"",U221&lt;&gt;"",V221&lt;&gt;"")),"×","○")</f>
        <v>○</v>
      </c>
      <c r="BG221" s="653" t="str">
        <f t="shared" ref="BG221" si="2042">IF(AND($W$7=" ",OR(W221&lt;&gt;"",Y221&lt;&gt;"",Z221&lt;&gt;"",AA221&lt;&gt;"")),"×","○")</f>
        <v>○</v>
      </c>
      <c r="BH221" s="653" t="str">
        <f t="shared" ref="BH221" si="2043">IF(AND($AB$7=" ",OR(AB221&lt;&gt;"",AD221&lt;&gt;"",AE221&lt;&gt;"",AF221&lt;&gt;"")),"×","○")</f>
        <v>○</v>
      </c>
      <c r="BI221" s="653" t="str">
        <f t="shared" ref="BI221" si="2044">IF(AND($AG$7=" ",OR(AG221&lt;&gt;"",AI221&lt;&gt;"",AJ221&lt;&gt;"")),"×","○")</f>
        <v>○</v>
      </c>
      <c r="BJ221" s="2225" t="e">
        <f t="shared" ref="BJ221" si="2045">SUMPRODUCT(1/COUNTIF(I221:AH221,"宿泊"))</f>
        <v>#DIV/0!</v>
      </c>
      <c r="BK221" s="2226" t="e">
        <f t="shared" ref="BK221" si="2046">SUMPRODUCT(1/COUNTIF(I221:AH221,"日帰り"))</f>
        <v>#DIV/0!</v>
      </c>
      <c r="BL221" s="1381">
        <f t="shared" ref="BL221" si="2047">COUNT(BJ221)-COUNT(BK221)</f>
        <v>0</v>
      </c>
      <c r="BM221" s="684"/>
    </row>
    <row r="222" spans="1:65" ht="14.1" customHeight="1" x14ac:dyDescent="0.15">
      <c r="A222" s="652"/>
      <c r="B222" s="2174"/>
      <c r="C222" s="2117"/>
      <c r="D222" s="2007"/>
      <c r="E222" s="2005"/>
      <c r="F222" s="2042"/>
      <c r="G222" s="2119"/>
      <c r="H222" s="2107"/>
      <c r="I222" s="2112"/>
      <c r="J222" s="2113"/>
      <c r="K222" s="2105"/>
      <c r="L222" s="2127"/>
      <c r="M222" s="2112"/>
      <c r="N222" s="2113"/>
      <c r="O222" s="2105"/>
      <c r="P222" s="2105"/>
      <c r="Q222" s="2107"/>
      <c r="R222" s="2112"/>
      <c r="S222" s="2113"/>
      <c r="T222" s="2105"/>
      <c r="U222" s="2105"/>
      <c r="V222" s="2107"/>
      <c r="W222" s="2112"/>
      <c r="X222" s="2113"/>
      <c r="Y222" s="2105"/>
      <c r="Z222" s="2105"/>
      <c r="AA222" s="2107"/>
      <c r="AB222" s="2112"/>
      <c r="AC222" s="2113"/>
      <c r="AD222" s="2105"/>
      <c r="AE222" s="2105"/>
      <c r="AF222" s="2107"/>
      <c r="AG222" s="2112"/>
      <c r="AH222" s="2113"/>
      <c r="AI222" s="2105"/>
      <c r="AJ222" s="2105"/>
      <c r="AK222" s="2011"/>
      <c r="AL222" s="2012"/>
      <c r="AM222" s="2012"/>
      <c r="AN222" s="2013"/>
      <c r="AO222" s="2011"/>
      <c r="AP222" s="2012"/>
      <c r="AQ222" s="2012"/>
      <c r="AR222" s="2013"/>
      <c r="AS222" s="651"/>
      <c r="AT222" s="652"/>
      <c r="AU222" s="1983"/>
      <c r="AV222" s="1983"/>
      <c r="AW222" s="1983"/>
      <c r="AX222" s="1983"/>
      <c r="AY222" s="1983"/>
      <c r="AZ222" s="1983"/>
      <c r="BA222" s="1983"/>
      <c r="BB222" s="654"/>
      <c r="BC222" s="654"/>
      <c r="BD222" s="652"/>
      <c r="BE222" s="652"/>
      <c r="BF222" s="652"/>
      <c r="BG222" s="652"/>
      <c r="BH222" s="652"/>
      <c r="BI222" s="652"/>
      <c r="BJ222" s="2225"/>
      <c r="BK222" s="2226"/>
      <c r="BL222" s="1381"/>
      <c r="BM222" s="684"/>
    </row>
    <row r="223" spans="1:65" ht="14.1" customHeight="1" x14ac:dyDescent="0.15">
      <c r="A223" s="652" t="str">
        <f t="shared" ref="A223" si="2048">IF(AND(D223="",D225&lt;&gt;""),"×","○")</f>
        <v>○</v>
      </c>
      <c r="B223" s="2174" t="str">
        <f t="shared" ref="B223" si="2049">IF(AND(AT223="○",BB223="○",BC223="○",A223="○"),"○","×")</f>
        <v>○</v>
      </c>
      <c r="C223" s="2116">
        <v>105</v>
      </c>
      <c r="D223" s="2006"/>
      <c r="E223" s="2004"/>
      <c r="F223" s="2041"/>
      <c r="G223" s="2118"/>
      <c r="H223" s="2106"/>
      <c r="I223" s="2141"/>
      <c r="J223" s="2142"/>
      <c r="K223" s="2104"/>
      <c r="L223" s="2140"/>
      <c r="M223" s="2110"/>
      <c r="N223" s="2111"/>
      <c r="O223" s="2104"/>
      <c r="P223" s="2104"/>
      <c r="Q223" s="2106"/>
      <c r="R223" s="2110"/>
      <c r="S223" s="2111"/>
      <c r="T223" s="2104"/>
      <c r="U223" s="2104"/>
      <c r="V223" s="2106"/>
      <c r="W223" s="2110"/>
      <c r="X223" s="2111"/>
      <c r="Y223" s="2104"/>
      <c r="Z223" s="2104"/>
      <c r="AA223" s="2106"/>
      <c r="AB223" s="2110"/>
      <c r="AC223" s="2111"/>
      <c r="AD223" s="2104"/>
      <c r="AE223" s="2104"/>
      <c r="AF223" s="2106"/>
      <c r="AG223" s="2110"/>
      <c r="AH223" s="2111"/>
      <c r="AI223" s="2104"/>
      <c r="AJ223" s="2104"/>
      <c r="AK223" s="2038"/>
      <c r="AL223" s="2039"/>
      <c r="AM223" s="2039"/>
      <c r="AN223" s="2040"/>
      <c r="AO223" s="2008"/>
      <c r="AP223" s="2009"/>
      <c r="AQ223" s="2009"/>
      <c r="AR223" s="2010"/>
      <c r="AS223" s="651"/>
      <c r="AT223" s="652" t="str">
        <f t="shared" ref="AT223" si="2050">IF(OR(AND(D223&lt;&gt;"",OR(AND(E223&lt;&gt;"",F223&lt;&gt;"",OR(G223&lt;&gt;"",H223&lt;&gt;"")),AND(E223="",F223="バス・カメラマン等"))),AND(D223="",E223="",F223="",OR(G223="",H223=""))),"○","×")</f>
        <v>○</v>
      </c>
      <c r="AU223" s="1983" t="str">
        <f t="shared" ref="AU223" si="2051">IF(AND(E223&lt;&gt;"",E223&lt;=2),"2歳児以下","")</f>
        <v/>
      </c>
      <c r="AV223" s="1983" t="str">
        <f t="shared" ref="AV223" si="2052">IF(OR(AND(3&lt;=E223,E223&lt;=6),COUNTIF(E223, "幼*"),COUNTIF(E223, "年少"),COUNTIF(E223, "年中"),COUNTIF(E223, "年長")),"3歳-学齢前","")</f>
        <v/>
      </c>
      <c r="AW223" s="1983" t="str">
        <f t="shared" ref="AW223" si="2053">IF(OR(AND(6&lt;=E223,E223&lt;=12),COUNTIF(E223, "小*")),"小学生","")</f>
        <v/>
      </c>
      <c r="AX223" s="1983" t="str">
        <f t="shared" ref="AX223" si="2054">IF(OR(AND(12&lt;=E223,E223&lt;=15),COUNTIF(E223, "中*")),"中学生","")</f>
        <v/>
      </c>
      <c r="AY223" s="1983" t="str">
        <f t="shared" ref="AY223" si="2055">IF(OR(AND(15&lt;=E223,E223&lt;=18),COUNTIF(E223, "高*")),"高校生(～18歳)","")</f>
        <v/>
      </c>
      <c r="AZ223" s="1983" t="str">
        <f t="shared" ref="AZ223" si="2056">IF(OR(19&lt;=E223,COUNTIF(E223, "大*"),COUNTIF(E223, "*院*"),COUNTIF(E223, "*専*")),"一般(19歳～)","")</f>
        <v/>
      </c>
      <c r="BA223" s="1983" t="s">
        <v>475</v>
      </c>
      <c r="BB223" s="652" t="str">
        <f t="shared" ref="BB223" si="2057">IF(OR(AND(D223="",I223="",M223="",R223="",W223="",AB223="",AG223=""),AND(D223&lt;&gt;"",OR(I223&lt;&gt;"",M223&lt;&gt;"",R223&lt;&gt;"",W223&lt;&gt;"",AB223&lt;&gt;"",AG223&lt;&gt;""))),"○","×")</f>
        <v>○</v>
      </c>
      <c r="BC223" s="652" t="str">
        <f t="shared" ref="BC223" si="2058">IF(AND(BD223="○",BE223="○",BF223="○",BG223="○",BH223="○",BI223="○"),"○","×")</f>
        <v>○</v>
      </c>
      <c r="BD223" s="653" t="str">
        <f t="shared" ref="BD223" si="2059">IF(AND($I$7=" ",OR(I223&lt;&gt;"",K223&lt;&gt;"",L223&lt;&gt;"")),"×","○")</f>
        <v>○</v>
      </c>
      <c r="BE223" s="653" t="str">
        <f t="shared" ref="BE223" si="2060">IF(AND($M$7=" ",OR(M223&lt;&gt;"",O223&lt;&gt;"",P223&lt;&gt;"",Q223&lt;&gt;"")),"×","○")</f>
        <v>○</v>
      </c>
      <c r="BF223" s="653" t="str">
        <f t="shared" ref="BF223" si="2061">IF(AND($R$7=" ",OR(R223&lt;&gt;"",T223&lt;&gt;"",U223&lt;&gt;"",V223&lt;&gt;"")),"×","○")</f>
        <v>○</v>
      </c>
      <c r="BG223" s="653" t="str">
        <f t="shared" ref="BG223" si="2062">IF(AND($W$7=" ",OR(W223&lt;&gt;"",Y223&lt;&gt;"",Z223&lt;&gt;"",AA223&lt;&gt;"")),"×","○")</f>
        <v>○</v>
      </c>
      <c r="BH223" s="653" t="str">
        <f t="shared" ref="BH223" si="2063">IF(AND($AB$7=" ",OR(AB223&lt;&gt;"",AD223&lt;&gt;"",AE223&lt;&gt;"",AF223&lt;&gt;"")),"×","○")</f>
        <v>○</v>
      </c>
      <c r="BI223" s="653" t="str">
        <f t="shared" ref="BI223" si="2064">IF(AND($AG$7=" ",OR(AG223&lt;&gt;"",AI223&lt;&gt;"",AJ223&lt;&gt;"")),"×","○")</f>
        <v>○</v>
      </c>
      <c r="BJ223" s="2225" t="e">
        <f t="shared" ref="BJ223" si="2065">SUMPRODUCT(1/COUNTIF(I223:AH223,"宿泊"))</f>
        <v>#DIV/0!</v>
      </c>
      <c r="BK223" s="2226" t="e">
        <f t="shared" ref="BK223" si="2066">SUMPRODUCT(1/COUNTIF(I223:AH223,"日帰り"))</f>
        <v>#DIV/0!</v>
      </c>
      <c r="BL223" s="1381">
        <f t="shared" ref="BL223" si="2067">COUNT(BJ223)-COUNT(BK223)</f>
        <v>0</v>
      </c>
      <c r="BM223" s="684"/>
    </row>
    <row r="224" spans="1:65" ht="14.1" customHeight="1" x14ac:dyDescent="0.15">
      <c r="A224" s="652"/>
      <c r="B224" s="2174"/>
      <c r="C224" s="2117"/>
      <c r="D224" s="2007"/>
      <c r="E224" s="2005"/>
      <c r="F224" s="2042"/>
      <c r="G224" s="2119"/>
      <c r="H224" s="2107"/>
      <c r="I224" s="2112"/>
      <c r="J224" s="2113"/>
      <c r="K224" s="2105"/>
      <c r="L224" s="2127"/>
      <c r="M224" s="2112"/>
      <c r="N224" s="2113"/>
      <c r="O224" s="2105"/>
      <c r="P224" s="2105"/>
      <c r="Q224" s="2107"/>
      <c r="R224" s="2112"/>
      <c r="S224" s="2113"/>
      <c r="T224" s="2105"/>
      <c r="U224" s="2105"/>
      <c r="V224" s="2107"/>
      <c r="W224" s="2112"/>
      <c r="X224" s="2113"/>
      <c r="Y224" s="2105"/>
      <c r="Z224" s="2105"/>
      <c r="AA224" s="2107"/>
      <c r="AB224" s="2112"/>
      <c r="AC224" s="2113"/>
      <c r="AD224" s="2105"/>
      <c r="AE224" s="2105"/>
      <c r="AF224" s="2107"/>
      <c r="AG224" s="2112"/>
      <c r="AH224" s="2113"/>
      <c r="AI224" s="2105"/>
      <c r="AJ224" s="2105"/>
      <c r="AK224" s="2011"/>
      <c r="AL224" s="2012"/>
      <c r="AM224" s="2012"/>
      <c r="AN224" s="2013"/>
      <c r="AO224" s="2011"/>
      <c r="AP224" s="2012"/>
      <c r="AQ224" s="2012"/>
      <c r="AR224" s="2013"/>
      <c r="AS224" s="651"/>
      <c r="AT224" s="652"/>
      <c r="AU224" s="1983"/>
      <c r="AV224" s="1983"/>
      <c r="AW224" s="1983"/>
      <c r="AX224" s="1983"/>
      <c r="AY224" s="1983"/>
      <c r="AZ224" s="1983"/>
      <c r="BA224" s="1983"/>
      <c r="BB224" s="654"/>
      <c r="BC224" s="654"/>
      <c r="BD224" s="652"/>
      <c r="BE224" s="652"/>
      <c r="BF224" s="652"/>
      <c r="BG224" s="652"/>
      <c r="BH224" s="652"/>
      <c r="BI224" s="652"/>
      <c r="BJ224" s="2225"/>
      <c r="BK224" s="2226"/>
      <c r="BL224" s="1381"/>
      <c r="BM224" s="684"/>
    </row>
    <row r="225" spans="1:65" ht="14.1" customHeight="1" x14ac:dyDescent="0.15">
      <c r="A225" s="652" t="str">
        <f t="shared" ref="A225" si="2068">IF(AND(D225="",D227&lt;&gt;""),"×","○")</f>
        <v>○</v>
      </c>
      <c r="B225" s="2174" t="str">
        <f t="shared" ref="B225" si="2069">IF(AND(AT225="○",BB225="○",BC225="○",A225="○"),"○","×")</f>
        <v>○</v>
      </c>
      <c r="C225" s="2143">
        <v>106</v>
      </c>
      <c r="D225" s="2006"/>
      <c r="E225" s="2004"/>
      <c r="F225" s="2041"/>
      <c r="G225" s="2123"/>
      <c r="H225" s="2109"/>
      <c r="I225" s="2141"/>
      <c r="J225" s="2142"/>
      <c r="K225" s="2104"/>
      <c r="L225" s="2140"/>
      <c r="M225" s="2110"/>
      <c r="N225" s="2111"/>
      <c r="O225" s="2108"/>
      <c r="P225" s="2108"/>
      <c r="Q225" s="2109"/>
      <c r="R225" s="2110"/>
      <c r="S225" s="2111"/>
      <c r="T225" s="2108"/>
      <c r="U225" s="2108"/>
      <c r="V225" s="2109"/>
      <c r="W225" s="2110"/>
      <c r="X225" s="2111"/>
      <c r="Y225" s="2108"/>
      <c r="Z225" s="2108"/>
      <c r="AA225" s="2109"/>
      <c r="AB225" s="2110"/>
      <c r="AC225" s="2111"/>
      <c r="AD225" s="2108"/>
      <c r="AE225" s="2108"/>
      <c r="AF225" s="2109"/>
      <c r="AG225" s="2110"/>
      <c r="AH225" s="2111"/>
      <c r="AI225" s="2108"/>
      <c r="AJ225" s="2108"/>
      <c r="AK225" s="2038"/>
      <c r="AL225" s="2039"/>
      <c r="AM225" s="2039"/>
      <c r="AN225" s="2040"/>
      <c r="AO225" s="2008"/>
      <c r="AP225" s="2009"/>
      <c r="AQ225" s="2009"/>
      <c r="AR225" s="2010"/>
      <c r="AS225" s="651"/>
      <c r="AT225" s="652" t="str">
        <f t="shared" ref="AT225" si="2070">IF(OR(AND(D225&lt;&gt;"",OR(AND(E225&lt;&gt;"",F225&lt;&gt;"",OR(G225&lt;&gt;"",H225&lt;&gt;"")),AND(E225="",F225="バス・カメラマン等"))),AND(D225="",E225="",F225="",OR(G225="",H225=""))),"○","×")</f>
        <v>○</v>
      </c>
      <c r="AU225" s="1983" t="str">
        <f t="shared" ref="AU225" si="2071">IF(AND(E225&lt;&gt;"",E225&lt;=2),"2歳児以下","")</f>
        <v/>
      </c>
      <c r="AV225" s="1983" t="str">
        <f t="shared" ref="AV225" si="2072">IF(OR(AND(3&lt;=E225,E225&lt;=6),COUNTIF(E225, "幼*"),COUNTIF(E225, "年少"),COUNTIF(E225, "年中"),COUNTIF(E225, "年長")),"3歳-学齢前","")</f>
        <v/>
      </c>
      <c r="AW225" s="1983" t="str">
        <f t="shared" ref="AW225" si="2073">IF(OR(AND(6&lt;=E225,E225&lt;=12),COUNTIF(E225, "小*")),"小学生","")</f>
        <v/>
      </c>
      <c r="AX225" s="1983" t="str">
        <f t="shared" ref="AX225" si="2074">IF(OR(AND(12&lt;=E225,E225&lt;=15),COUNTIF(E225, "中*")),"中学生","")</f>
        <v/>
      </c>
      <c r="AY225" s="1983" t="str">
        <f t="shared" ref="AY225" si="2075">IF(OR(AND(15&lt;=E225,E225&lt;=18),COUNTIF(E225, "高*")),"高校生(～18歳)","")</f>
        <v/>
      </c>
      <c r="AZ225" s="1983" t="str">
        <f t="shared" ref="AZ225" si="2076">IF(OR(19&lt;=E225,COUNTIF(E225, "大*"),COUNTIF(E225, "*院*"),COUNTIF(E225, "*専*")),"一般(19歳～)","")</f>
        <v/>
      </c>
      <c r="BA225" s="1983" t="s">
        <v>475</v>
      </c>
      <c r="BB225" s="652" t="str">
        <f t="shared" ref="BB225" si="2077">IF(OR(AND(D225="",I225="",M225="",R225="",W225="",AB225="",AG225=""),AND(D225&lt;&gt;"",OR(I225&lt;&gt;"",M225&lt;&gt;"",R225&lt;&gt;"",W225&lt;&gt;"",AB225&lt;&gt;"",AG225&lt;&gt;""))),"○","×")</f>
        <v>○</v>
      </c>
      <c r="BC225" s="652" t="str">
        <f t="shared" ref="BC225" si="2078">IF(AND(BD225="○",BE225="○",BF225="○",BG225="○",BH225="○",BI225="○"),"○","×")</f>
        <v>○</v>
      </c>
      <c r="BD225" s="653" t="str">
        <f t="shared" ref="BD225" si="2079">IF(AND($I$7=" ",OR(I225&lt;&gt;"",K225&lt;&gt;"",L225&lt;&gt;"")),"×","○")</f>
        <v>○</v>
      </c>
      <c r="BE225" s="653" t="str">
        <f t="shared" ref="BE225" si="2080">IF(AND($M$7=" ",OR(M225&lt;&gt;"",O225&lt;&gt;"",P225&lt;&gt;"",Q225&lt;&gt;"")),"×","○")</f>
        <v>○</v>
      </c>
      <c r="BF225" s="653" t="str">
        <f t="shared" ref="BF225" si="2081">IF(AND($R$7=" ",OR(R225&lt;&gt;"",T225&lt;&gt;"",U225&lt;&gt;"",V225&lt;&gt;"")),"×","○")</f>
        <v>○</v>
      </c>
      <c r="BG225" s="653" t="str">
        <f t="shared" ref="BG225" si="2082">IF(AND($W$7=" ",OR(W225&lt;&gt;"",Y225&lt;&gt;"",Z225&lt;&gt;"",AA225&lt;&gt;"")),"×","○")</f>
        <v>○</v>
      </c>
      <c r="BH225" s="653" t="str">
        <f t="shared" ref="BH225" si="2083">IF(AND($AB$7=" ",OR(AB225&lt;&gt;"",AD225&lt;&gt;"",AE225&lt;&gt;"",AF225&lt;&gt;"")),"×","○")</f>
        <v>○</v>
      </c>
      <c r="BI225" s="653" t="str">
        <f t="shared" ref="BI225" si="2084">IF(AND($AG$7=" ",OR(AG225&lt;&gt;"",AI225&lt;&gt;"",AJ225&lt;&gt;"")),"×","○")</f>
        <v>○</v>
      </c>
      <c r="BJ225" s="2225" t="e">
        <f t="shared" ref="BJ225" si="2085">SUMPRODUCT(1/COUNTIF(I225:AH225,"宿泊"))</f>
        <v>#DIV/0!</v>
      </c>
      <c r="BK225" s="2226" t="e">
        <f t="shared" ref="BK225" si="2086">SUMPRODUCT(1/COUNTIF(I225:AH225,"日帰り"))</f>
        <v>#DIV/0!</v>
      </c>
      <c r="BL225" s="1381">
        <f t="shared" ref="BL225" si="2087">COUNT(BJ225)-COUNT(BK225)</f>
        <v>0</v>
      </c>
      <c r="BM225" s="684"/>
    </row>
    <row r="226" spans="1:65" ht="14.1" customHeight="1" x14ac:dyDescent="0.15">
      <c r="A226" s="652"/>
      <c r="B226" s="2174"/>
      <c r="C226" s="2144"/>
      <c r="D226" s="2007"/>
      <c r="E226" s="2005"/>
      <c r="F226" s="2042"/>
      <c r="G226" s="2119"/>
      <c r="H226" s="2107"/>
      <c r="I226" s="2112"/>
      <c r="J226" s="2113"/>
      <c r="K226" s="2105"/>
      <c r="L226" s="2127"/>
      <c r="M226" s="2112"/>
      <c r="N226" s="2113"/>
      <c r="O226" s="2105"/>
      <c r="P226" s="2105"/>
      <c r="Q226" s="2107"/>
      <c r="R226" s="2112"/>
      <c r="S226" s="2113"/>
      <c r="T226" s="2105"/>
      <c r="U226" s="2105"/>
      <c r="V226" s="2107"/>
      <c r="W226" s="2112"/>
      <c r="X226" s="2113"/>
      <c r="Y226" s="2105"/>
      <c r="Z226" s="2105"/>
      <c r="AA226" s="2107"/>
      <c r="AB226" s="2112"/>
      <c r="AC226" s="2113"/>
      <c r="AD226" s="2105"/>
      <c r="AE226" s="2105"/>
      <c r="AF226" s="2107"/>
      <c r="AG226" s="2112"/>
      <c r="AH226" s="2113"/>
      <c r="AI226" s="2105"/>
      <c r="AJ226" s="2105"/>
      <c r="AK226" s="2011"/>
      <c r="AL226" s="2012"/>
      <c r="AM226" s="2012"/>
      <c r="AN226" s="2013"/>
      <c r="AO226" s="2011"/>
      <c r="AP226" s="2012"/>
      <c r="AQ226" s="2012"/>
      <c r="AR226" s="2013"/>
      <c r="AS226" s="651"/>
      <c r="AT226" s="652"/>
      <c r="AU226" s="1983"/>
      <c r="AV226" s="1983"/>
      <c r="AW226" s="1983"/>
      <c r="AX226" s="1983"/>
      <c r="AY226" s="1983"/>
      <c r="AZ226" s="1983"/>
      <c r="BA226" s="1983"/>
      <c r="BB226" s="654"/>
      <c r="BC226" s="654"/>
      <c r="BD226" s="652"/>
      <c r="BE226" s="652"/>
      <c r="BF226" s="652"/>
      <c r="BG226" s="652"/>
      <c r="BH226" s="652"/>
      <c r="BI226" s="652"/>
      <c r="BJ226" s="2225"/>
      <c r="BK226" s="2226"/>
      <c r="BL226" s="1381"/>
      <c r="BM226" s="684"/>
    </row>
    <row r="227" spans="1:65" ht="14.1" customHeight="1" x14ac:dyDescent="0.15">
      <c r="A227" s="652" t="str">
        <f t="shared" ref="A227" si="2088">IF(AND(D227="",D229&lt;&gt;""),"×","○")</f>
        <v>○</v>
      </c>
      <c r="B227" s="2174" t="str">
        <f t="shared" ref="B227" si="2089">IF(AND(AT227="○",BB227="○",BC227="○",A227="○"),"○","×")</f>
        <v>○</v>
      </c>
      <c r="C227" s="2143">
        <v>107</v>
      </c>
      <c r="D227" s="2006"/>
      <c r="E227" s="2004"/>
      <c r="F227" s="2041"/>
      <c r="G227" s="2123"/>
      <c r="H227" s="2109"/>
      <c r="I227" s="2141"/>
      <c r="J227" s="2142"/>
      <c r="K227" s="2104"/>
      <c r="L227" s="2140"/>
      <c r="M227" s="2110"/>
      <c r="N227" s="2111"/>
      <c r="O227" s="2108"/>
      <c r="P227" s="2108"/>
      <c r="Q227" s="2109"/>
      <c r="R227" s="2110"/>
      <c r="S227" s="2111"/>
      <c r="T227" s="2108"/>
      <c r="U227" s="2108"/>
      <c r="V227" s="2109"/>
      <c r="W227" s="2110"/>
      <c r="X227" s="2111"/>
      <c r="Y227" s="2108"/>
      <c r="Z227" s="2108"/>
      <c r="AA227" s="2109"/>
      <c r="AB227" s="2110"/>
      <c r="AC227" s="2111"/>
      <c r="AD227" s="2108"/>
      <c r="AE227" s="2108"/>
      <c r="AF227" s="2109"/>
      <c r="AG227" s="2110"/>
      <c r="AH227" s="2111"/>
      <c r="AI227" s="2108"/>
      <c r="AJ227" s="2108"/>
      <c r="AK227" s="2038"/>
      <c r="AL227" s="2039"/>
      <c r="AM227" s="2039"/>
      <c r="AN227" s="2040"/>
      <c r="AO227" s="2008"/>
      <c r="AP227" s="2009"/>
      <c r="AQ227" s="2009"/>
      <c r="AR227" s="2010"/>
      <c r="AS227" s="651"/>
      <c r="AT227" s="652" t="str">
        <f t="shared" ref="AT227" si="2090">IF(OR(AND(D227&lt;&gt;"",OR(AND(E227&lt;&gt;"",F227&lt;&gt;"",OR(G227&lt;&gt;"",H227&lt;&gt;"")),AND(E227="",F227="バス・カメラマン等"))),AND(D227="",E227="",F227="",OR(G227="",H227=""))),"○","×")</f>
        <v>○</v>
      </c>
      <c r="AU227" s="1983" t="str">
        <f t="shared" ref="AU227" si="2091">IF(AND(E227&lt;&gt;"",E227&lt;=2),"2歳児以下","")</f>
        <v/>
      </c>
      <c r="AV227" s="1983" t="str">
        <f t="shared" ref="AV227" si="2092">IF(OR(AND(3&lt;=E227,E227&lt;=6),COUNTIF(E227, "幼*"),COUNTIF(E227, "年少"),COUNTIF(E227, "年中"),COUNTIF(E227, "年長")),"3歳-学齢前","")</f>
        <v/>
      </c>
      <c r="AW227" s="1983" t="str">
        <f t="shared" ref="AW227" si="2093">IF(OR(AND(6&lt;=E227,E227&lt;=12),COUNTIF(E227, "小*")),"小学生","")</f>
        <v/>
      </c>
      <c r="AX227" s="1983" t="str">
        <f t="shared" ref="AX227" si="2094">IF(OR(AND(12&lt;=E227,E227&lt;=15),COUNTIF(E227, "中*")),"中学生","")</f>
        <v/>
      </c>
      <c r="AY227" s="1983" t="str">
        <f t="shared" ref="AY227" si="2095">IF(OR(AND(15&lt;=E227,E227&lt;=18),COUNTIF(E227, "高*")),"高校生(～18歳)","")</f>
        <v/>
      </c>
      <c r="AZ227" s="1983" t="str">
        <f t="shared" ref="AZ227" si="2096">IF(OR(19&lt;=E227,COUNTIF(E227, "大*"),COUNTIF(E227, "*院*"),COUNTIF(E227, "*専*")),"一般(19歳～)","")</f>
        <v/>
      </c>
      <c r="BA227" s="1983" t="s">
        <v>475</v>
      </c>
      <c r="BB227" s="652" t="str">
        <f t="shared" ref="BB227" si="2097">IF(OR(AND(D227="",I227="",M227="",R227="",W227="",AB227="",AG227=""),AND(D227&lt;&gt;"",OR(I227&lt;&gt;"",M227&lt;&gt;"",R227&lt;&gt;"",W227&lt;&gt;"",AB227&lt;&gt;"",AG227&lt;&gt;""))),"○","×")</f>
        <v>○</v>
      </c>
      <c r="BC227" s="652" t="str">
        <f t="shared" ref="BC227" si="2098">IF(AND(BD227="○",BE227="○",BF227="○",BG227="○",BH227="○",BI227="○"),"○","×")</f>
        <v>○</v>
      </c>
      <c r="BD227" s="653" t="str">
        <f t="shared" ref="BD227" si="2099">IF(AND($I$7=" ",OR(I227&lt;&gt;"",K227&lt;&gt;"",L227&lt;&gt;"")),"×","○")</f>
        <v>○</v>
      </c>
      <c r="BE227" s="653" t="str">
        <f t="shared" ref="BE227" si="2100">IF(AND($M$7=" ",OR(M227&lt;&gt;"",O227&lt;&gt;"",P227&lt;&gt;"",Q227&lt;&gt;"")),"×","○")</f>
        <v>○</v>
      </c>
      <c r="BF227" s="653" t="str">
        <f t="shared" ref="BF227" si="2101">IF(AND($R$7=" ",OR(R227&lt;&gt;"",T227&lt;&gt;"",U227&lt;&gt;"",V227&lt;&gt;"")),"×","○")</f>
        <v>○</v>
      </c>
      <c r="BG227" s="653" t="str">
        <f t="shared" ref="BG227" si="2102">IF(AND($W$7=" ",OR(W227&lt;&gt;"",Y227&lt;&gt;"",Z227&lt;&gt;"",AA227&lt;&gt;"")),"×","○")</f>
        <v>○</v>
      </c>
      <c r="BH227" s="653" t="str">
        <f t="shared" ref="BH227" si="2103">IF(AND($AB$7=" ",OR(AB227&lt;&gt;"",AD227&lt;&gt;"",AE227&lt;&gt;"",AF227&lt;&gt;"")),"×","○")</f>
        <v>○</v>
      </c>
      <c r="BI227" s="653" t="str">
        <f t="shared" ref="BI227" si="2104">IF(AND($AG$7=" ",OR(AG227&lt;&gt;"",AI227&lt;&gt;"",AJ227&lt;&gt;"")),"×","○")</f>
        <v>○</v>
      </c>
      <c r="BJ227" s="2225" t="e">
        <f t="shared" ref="BJ227" si="2105">SUMPRODUCT(1/COUNTIF(I227:AH227,"宿泊"))</f>
        <v>#DIV/0!</v>
      </c>
      <c r="BK227" s="2226" t="e">
        <f t="shared" ref="BK227" si="2106">SUMPRODUCT(1/COUNTIF(I227:AH227,"日帰り"))</f>
        <v>#DIV/0!</v>
      </c>
      <c r="BL227" s="1381">
        <f t="shared" ref="BL227" si="2107">COUNT(BJ227)-COUNT(BK227)</f>
        <v>0</v>
      </c>
      <c r="BM227" s="684"/>
    </row>
    <row r="228" spans="1:65" ht="14.1" customHeight="1" x14ac:dyDescent="0.15">
      <c r="A228" s="652"/>
      <c r="B228" s="2174"/>
      <c r="C228" s="2144"/>
      <c r="D228" s="2007"/>
      <c r="E228" s="2005"/>
      <c r="F228" s="2042"/>
      <c r="G228" s="2119"/>
      <c r="H228" s="2107"/>
      <c r="I228" s="2112"/>
      <c r="J228" s="2113"/>
      <c r="K228" s="2105"/>
      <c r="L228" s="2127"/>
      <c r="M228" s="2112"/>
      <c r="N228" s="2113"/>
      <c r="O228" s="2105"/>
      <c r="P228" s="2105"/>
      <c r="Q228" s="2107"/>
      <c r="R228" s="2112"/>
      <c r="S228" s="2113"/>
      <c r="T228" s="2105"/>
      <c r="U228" s="2105"/>
      <c r="V228" s="2107"/>
      <c r="W228" s="2112"/>
      <c r="X228" s="2113"/>
      <c r="Y228" s="2105"/>
      <c r="Z228" s="2105"/>
      <c r="AA228" s="2107"/>
      <c r="AB228" s="2112"/>
      <c r="AC228" s="2113"/>
      <c r="AD228" s="2105"/>
      <c r="AE228" s="2105"/>
      <c r="AF228" s="2107"/>
      <c r="AG228" s="2112"/>
      <c r="AH228" s="2113"/>
      <c r="AI228" s="2105"/>
      <c r="AJ228" s="2105"/>
      <c r="AK228" s="2011"/>
      <c r="AL228" s="2012"/>
      <c r="AM228" s="2012"/>
      <c r="AN228" s="2013"/>
      <c r="AO228" s="2011"/>
      <c r="AP228" s="2012"/>
      <c r="AQ228" s="2012"/>
      <c r="AR228" s="2013"/>
      <c r="AS228" s="651"/>
      <c r="AT228" s="652"/>
      <c r="AU228" s="1983"/>
      <c r="AV228" s="1983"/>
      <c r="AW228" s="1983"/>
      <c r="AX228" s="1983"/>
      <c r="AY228" s="1983"/>
      <c r="AZ228" s="1983"/>
      <c r="BA228" s="1983"/>
      <c r="BB228" s="654"/>
      <c r="BC228" s="654"/>
      <c r="BD228" s="652"/>
      <c r="BE228" s="652"/>
      <c r="BF228" s="652"/>
      <c r="BG228" s="652"/>
      <c r="BH228" s="652"/>
      <c r="BI228" s="652"/>
      <c r="BJ228" s="2225"/>
      <c r="BK228" s="2226"/>
      <c r="BL228" s="1381"/>
      <c r="BM228" s="684"/>
    </row>
    <row r="229" spans="1:65" ht="14.1" customHeight="1" x14ac:dyDescent="0.15">
      <c r="A229" s="652" t="str">
        <f t="shared" ref="A229" si="2108">IF(AND(D229="",D231&lt;&gt;""),"×","○")</f>
        <v>○</v>
      </c>
      <c r="B229" s="2174" t="str">
        <f t="shared" ref="B229" si="2109">IF(AND(AT229="○",BB229="○",BC229="○",A229="○"),"○","×")</f>
        <v>○</v>
      </c>
      <c r="C229" s="2143">
        <v>108</v>
      </c>
      <c r="D229" s="2006"/>
      <c r="E229" s="2004"/>
      <c r="F229" s="2041"/>
      <c r="G229" s="2123"/>
      <c r="H229" s="2109"/>
      <c r="I229" s="2141"/>
      <c r="J229" s="2142"/>
      <c r="K229" s="2104"/>
      <c r="L229" s="2140"/>
      <c r="M229" s="2110"/>
      <c r="N229" s="2111"/>
      <c r="O229" s="2108"/>
      <c r="P229" s="2108"/>
      <c r="Q229" s="2109"/>
      <c r="R229" s="2110"/>
      <c r="S229" s="2111"/>
      <c r="T229" s="2108"/>
      <c r="U229" s="2108"/>
      <c r="V229" s="2109"/>
      <c r="W229" s="2110"/>
      <c r="X229" s="2111"/>
      <c r="Y229" s="2108"/>
      <c r="Z229" s="2108"/>
      <c r="AA229" s="2109"/>
      <c r="AB229" s="2110"/>
      <c r="AC229" s="2111"/>
      <c r="AD229" s="2108"/>
      <c r="AE229" s="2108"/>
      <c r="AF229" s="2109"/>
      <c r="AG229" s="2110"/>
      <c r="AH229" s="2111"/>
      <c r="AI229" s="2108"/>
      <c r="AJ229" s="2108"/>
      <c r="AK229" s="2038"/>
      <c r="AL229" s="2039"/>
      <c r="AM229" s="2039"/>
      <c r="AN229" s="2040"/>
      <c r="AO229" s="2008"/>
      <c r="AP229" s="2009"/>
      <c r="AQ229" s="2009"/>
      <c r="AR229" s="2010"/>
      <c r="AS229" s="651"/>
      <c r="AT229" s="652" t="str">
        <f t="shared" ref="AT229" si="2110">IF(OR(AND(D229&lt;&gt;"",OR(AND(E229&lt;&gt;"",F229&lt;&gt;"",OR(G229&lt;&gt;"",H229&lt;&gt;"")),AND(E229="",F229="バス・カメラマン等"))),AND(D229="",E229="",F229="",OR(G229="",H229=""))),"○","×")</f>
        <v>○</v>
      </c>
      <c r="AU229" s="1983" t="str">
        <f t="shared" ref="AU229" si="2111">IF(AND(E229&lt;&gt;"",E229&lt;=2),"2歳児以下","")</f>
        <v/>
      </c>
      <c r="AV229" s="1983" t="str">
        <f t="shared" ref="AV229" si="2112">IF(OR(AND(3&lt;=E229,E229&lt;=6),COUNTIF(E229, "幼*"),COUNTIF(E229, "年少"),COUNTIF(E229, "年中"),COUNTIF(E229, "年長")),"3歳-学齢前","")</f>
        <v/>
      </c>
      <c r="AW229" s="1983" t="str">
        <f t="shared" ref="AW229" si="2113">IF(OR(AND(6&lt;=E229,E229&lt;=12),COUNTIF(E229, "小*")),"小学生","")</f>
        <v/>
      </c>
      <c r="AX229" s="1983" t="str">
        <f t="shared" ref="AX229" si="2114">IF(OR(AND(12&lt;=E229,E229&lt;=15),COUNTIF(E229, "中*")),"中学生","")</f>
        <v/>
      </c>
      <c r="AY229" s="1983" t="str">
        <f t="shared" ref="AY229" si="2115">IF(OR(AND(15&lt;=E229,E229&lt;=18),COUNTIF(E229, "高*")),"高校生(～18歳)","")</f>
        <v/>
      </c>
      <c r="AZ229" s="1983" t="str">
        <f t="shared" ref="AZ229" si="2116">IF(OR(19&lt;=E229,COUNTIF(E229, "大*"),COUNTIF(E229, "*院*"),COUNTIF(E229, "*専*")),"一般(19歳～)","")</f>
        <v/>
      </c>
      <c r="BA229" s="1983" t="s">
        <v>475</v>
      </c>
      <c r="BB229" s="652" t="str">
        <f t="shared" ref="BB229" si="2117">IF(OR(AND(D229="",I229="",M229="",R229="",W229="",AB229="",AG229=""),AND(D229&lt;&gt;"",OR(I229&lt;&gt;"",M229&lt;&gt;"",R229&lt;&gt;"",W229&lt;&gt;"",AB229&lt;&gt;"",AG229&lt;&gt;""))),"○","×")</f>
        <v>○</v>
      </c>
      <c r="BC229" s="652" t="str">
        <f t="shared" ref="BC229" si="2118">IF(AND(BD229="○",BE229="○",BF229="○",BG229="○",BH229="○",BI229="○"),"○","×")</f>
        <v>○</v>
      </c>
      <c r="BD229" s="653" t="str">
        <f t="shared" ref="BD229" si="2119">IF(AND($I$7=" ",OR(I229&lt;&gt;"",K229&lt;&gt;"",L229&lt;&gt;"")),"×","○")</f>
        <v>○</v>
      </c>
      <c r="BE229" s="653" t="str">
        <f t="shared" ref="BE229" si="2120">IF(AND($M$7=" ",OR(M229&lt;&gt;"",O229&lt;&gt;"",P229&lt;&gt;"",Q229&lt;&gt;"")),"×","○")</f>
        <v>○</v>
      </c>
      <c r="BF229" s="653" t="str">
        <f t="shared" ref="BF229" si="2121">IF(AND($R$7=" ",OR(R229&lt;&gt;"",T229&lt;&gt;"",U229&lt;&gt;"",V229&lt;&gt;"")),"×","○")</f>
        <v>○</v>
      </c>
      <c r="BG229" s="653" t="str">
        <f t="shared" ref="BG229" si="2122">IF(AND($W$7=" ",OR(W229&lt;&gt;"",Y229&lt;&gt;"",Z229&lt;&gt;"",AA229&lt;&gt;"")),"×","○")</f>
        <v>○</v>
      </c>
      <c r="BH229" s="653" t="str">
        <f t="shared" ref="BH229" si="2123">IF(AND($AB$7=" ",OR(AB229&lt;&gt;"",AD229&lt;&gt;"",AE229&lt;&gt;"",AF229&lt;&gt;"")),"×","○")</f>
        <v>○</v>
      </c>
      <c r="BI229" s="653" t="str">
        <f t="shared" ref="BI229" si="2124">IF(AND($AG$7=" ",OR(AG229&lt;&gt;"",AI229&lt;&gt;"",AJ229&lt;&gt;"")),"×","○")</f>
        <v>○</v>
      </c>
      <c r="BJ229" s="2225" t="e">
        <f t="shared" ref="BJ229" si="2125">SUMPRODUCT(1/COUNTIF(I229:AH229,"宿泊"))</f>
        <v>#DIV/0!</v>
      </c>
      <c r="BK229" s="2226" t="e">
        <f t="shared" ref="BK229" si="2126">SUMPRODUCT(1/COUNTIF(I229:AH229,"日帰り"))</f>
        <v>#DIV/0!</v>
      </c>
      <c r="BL229" s="1381">
        <f t="shared" ref="BL229" si="2127">COUNT(BJ229)-COUNT(BK229)</f>
        <v>0</v>
      </c>
      <c r="BM229" s="684"/>
    </row>
    <row r="230" spans="1:65" ht="14.1" customHeight="1" x14ac:dyDescent="0.15">
      <c r="A230" s="652"/>
      <c r="B230" s="2174"/>
      <c r="C230" s="2144"/>
      <c r="D230" s="2007"/>
      <c r="E230" s="2005"/>
      <c r="F230" s="2042"/>
      <c r="G230" s="2119"/>
      <c r="H230" s="2107"/>
      <c r="I230" s="2112"/>
      <c r="J230" s="2113"/>
      <c r="K230" s="2105"/>
      <c r="L230" s="2127"/>
      <c r="M230" s="2112"/>
      <c r="N230" s="2113"/>
      <c r="O230" s="2105"/>
      <c r="P230" s="2105"/>
      <c r="Q230" s="2107"/>
      <c r="R230" s="2112"/>
      <c r="S230" s="2113"/>
      <c r="T230" s="2105"/>
      <c r="U230" s="2105"/>
      <c r="V230" s="2107"/>
      <c r="W230" s="2112"/>
      <c r="X230" s="2113"/>
      <c r="Y230" s="2105"/>
      <c r="Z230" s="2105"/>
      <c r="AA230" s="2107"/>
      <c r="AB230" s="2112"/>
      <c r="AC230" s="2113"/>
      <c r="AD230" s="2105"/>
      <c r="AE230" s="2105"/>
      <c r="AF230" s="2107"/>
      <c r="AG230" s="2112"/>
      <c r="AH230" s="2113"/>
      <c r="AI230" s="2105"/>
      <c r="AJ230" s="2105"/>
      <c r="AK230" s="2011"/>
      <c r="AL230" s="2012"/>
      <c r="AM230" s="2012"/>
      <c r="AN230" s="2013"/>
      <c r="AO230" s="2011"/>
      <c r="AP230" s="2012"/>
      <c r="AQ230" s="2012"/>
      <c r="AR230" s="2013"/>
      <c r="AS230" s="651"/>
      <c r="AT230" s="652"/>
      <c r="AU230" s="1983"/>
      <c r="AV230" s="1983"/>
      <c r="AW230" s="1983"/>
      <c r="AX230" s="1983"/>
      <c r="AY230" s="1983"/>
      <c r="AZ230" s="1983"/>
      <c r="BA230" s="1983"/>
      <c r="BB230" s="654"/>
      <c r="BC230" s="654"/>
      <c r="BD230" s="652"/>
      <c r="BE230" s="652"/>
      <c r="BF230" s="652"/>
      <c r="BG230" s="652"/>
      <c r="BH230" s="652"/>
      <c r="BI230" s="652"/>
      <c r="BJ230" s="2225"/>
      <c r="BK230" s="2226"/>
      <c r="BL230" s="1381"/>
      <c r="BM230" s="684"/>
    </row>
    <row r="231" spans="1:65" ht="14.1" customHeight="1" x14ac:dyDescent="0.15">
      <c r="A231" s="652" t="str">
        <f t="shared" ref="A231" si="2128">IF(AND(D231="",D233&lt;&gt;""),"×","○")</f>
        <v>○</v>
      </c>
      <c r="B231" s="2174" t="str">
        <f t="shared" ref="B231" si="2129">IF(AND(AT231="○",BB231="○",BC231="○",A231="○"),"○","×")</f>
        <v>○</v>
      </c>
      <c r="C231" s="2143">
        <v>109</v>
      </c>
      <c r="D231" s="2006"/>
      <c r="E231" s="2004"/>
      <c r="F231" s="2041"/>
      <c r="G231" s="2123"/>
      <c r="H231" s="2109"/>
      <c r="I231" s="2141"/>
      <c r="J231" s="2142"/>
      <c r="K231" s="2104"/>
      <c r="L231" s="2140"/>
      <c r="M231" s="2110"/>
      <c r="N231" s="2111"/>
      <c r="O231" s="2108"/>
      <c r="P231" s="2108"/>
      <c r="Q231" s="2109"/>
      <c r="R231" s="2110"/>
      <c r="S231" s="2111"/>
      <c r="T231" s="2108"/>
      <c r="U231" s="2108"/>
      <c r="V231" s="2109"/>
      <c r="W231" s="2110"/>
      <c r="X231" s="2111"/>
      <c r="Y231" s="2108"/>
      <c r="Z231" s="2108"/>
      <c r="AA231" s="2109"/>
      <c r="AB231" s="2110"/>
      <c r="AC231" s="2111"/>
      <c r="AD231" s="2108"/>
      <c r="AE231" s="2108"/>
      <c r="AF231" s="2109"/>
      <c r="AG231" s="2110"/>
      <c r="AH231" s="2111"/>
      <c r="AI231" s="2108"/>
      <c r="AJ231" s="2108"/>
      <c r="AK231" s="2038"/>
      <c r="AL231" s="2039"/>
      <c r="AM231" s="2039"/>
      <c r="AN231" s="2040"/>
      <c r="AO231" s="2008"/>
      <c r="AP231" s="2009"/>
      <c r="AQ231" s="2009"/>
      <c r="AR231" s="2010"/>
      <c r="AS231" s="651"/>
      <c r="AT231" s="652" t="str">
        <f t="shared" ref="AT231" si="2130">IF(OR(AND(D231&lt;&gt;"",OR(AND(E231&lt;&gt;"",F231&lt;&gt;"",OR(G231&lt;&gt;"",H231&lt;&gt;"")),AND(E231="",F231="バス・カメラマン等"))),AND(D231="",E231="",F231="",OR(G231="",H231=""))),"○","×")</f>
        <v>○</v>
      </c>
      <c r="AU231" s="1983" t="str">
        <f t="shared" ref="AU231" si="2131">IF(AND(E231&lt;&gt;"",E231&lt;=2),"2歳児以下","")</f>
        <v/>
      </c>
      <c r="AV231" s="1983" t="str">
        <f t="shared" ref="AV231" si="2132">IF(OR(AND(3&lt;=E231,E231&lt;=6),COUNTIF(E231, "幼*"),COUNTIF(E231, "年少"),COUNTIF(E231, "年中"),COUNTIF(E231, "年長")),"3歳-学齢前","")</f>
        <v/>
      </c>
      <c r="AW231" s="1983" t="str">
        <f t="shared" ref="AW231" si="2133">IF(OR(AND(6&lt;=E231,E231&lt;=12),COUNTIF(E231, "小*")),"小学生","")</f>
        <v/>
      </c>
      <c r="AX231" s="1983" t="str">
        <f t="shared" ref="AX231" si="2134">IF(OR(AND(12&lt;=E231,E231&lt;=15),COUNTIF(E231, "中*")),"中学生","")</f>
        <v/>
      </c>
      <c r="AY231" s="1983" t="str">
        <f t="shared" ref="AY231" si="2135">IF(OR(AND(15&lt;=E231,E231&lt;=18),COUNTIF(E231, "高*")),"高校生(～18歳)","")</f>
        <v/>
      </c>
      <c r="AZ231" s="1983" t="str">
        <f t="shared" ref="AZ231" si="2136">IF(OR(19&lt;=E231,COUNTIF(E231, "大*"),COUNTIF(E231, "*院*"),COUNTIF(E231, "*専*")),"一般(19歳～)","")</f>
        <v/>
      </c>
      <c r="BA231" s="1983" t="s">
        <v>475</v>
      </c>
      <c r="BB231" s="652" t="str">
        <f t="shared" ref="BB231" si="2137">IF(OR(AND(D231="",I231="",M231="",R231="",W231="",AB231="",AG231=""),AND(D231&lt;&gt;"",OR(I231&lt;&gt;"",M231&lt;&gt;"",R231&lt;&gt;"",W231&lt;&gt;"",AB231&lt;&gt;"",AG231&lt;&gt;""))),"○","×")</f>
        <v>○</v>
      </c>
      <c r="BC231" s="652" t="str">
        <f t="shared" ref="BC231" si="2138">IF(AND(BD231="○",BE231="○",BF231="○",BG231="○",BH231="○",BI231="○"),"○","×")</f>
        <v>○</v>
      </c>
      <c r="BD231" s="653" t="str">
        <f t="shared" ref="BD231" si="2139">IF(AND($I$7=" ",OR(I231&lt;&gt;"",K231&lt;&gt;"",L231&lt;&gt;"")),"×","○")</f>
        <v>○</v>
      </c>
      <c r="BE231" s="653" t="str">
        <f t="shared" ref="BE231" si="2140">IF(AND($M$7=" ",OR(M231&lt;&gt;"",O231&lt;&gt;"",P231&lt;&gt;"",Q231&lt;&gt;"")),"×","○")</f>
        <v>○</v>
      </c>
      <c r="BF231" s="653" t="str">
        <f t="shared" ref="BF231" si="2141">IF(AND($R$7=" ",OR(R231&lt;&gt;"",T231&lt;&gt;"",U231&lt;&gt;"",V231&lt;&gt;"")),"×","○")</f>
        <v>○</v>
      </c>
      <c r="BG231" s="653" t="str">
        <f t="shared" ref="BG231" si="2142">IF(AND($W$7=" ",OR(W231&lt;&gt;"",Y231&lt;&gt;"",Z231&lt;&gt;"",AA231&lt;&gt;"")),"×","○")</f>
        <v>○</v>
      </c>
      <c r="BH231" s="653" t="str">
        <f t="shared" ref="BH231" si="2143">IF(AND($AB$7=" ",OR(AB231&lt;&gt;"",AD231&lt;&gt;"",AE231&lt;&gt;"",AF231&lt;&gt;"")),"×","○")</f>
        <v>○</v>
      </c>
      <c r="BI231" s="653" t="str">
        <f t="shared" ref="BI231" si="2144">IF(AND($AG$7=" ",OR(AG231&lt;&gt;"",AI231&lt;&gt;"",AJ231&lt;&gt;"")),"×","○")</f>
        <v>○</v>
      </c>
      <c r="BJ231" s="2225" t="e">
        <f t="shared" ref="BJ231" si="2145">SUMPRODUCT(1/COUNTIF(I231:AH231,"宿泊"))</f>
        <v>#DIV/0!</v>
      </c>
      <c r="BK231" s="2226" t="e">
        <f t="shared" ref="BK231" si="2146">SUMPRODUCT(1/COUNTIF(I231:AH231,"日帰り"))</f>
        <v>#DIV/0!</v>
      </c>
      <c r="BL231" s="1381">
        <f t="shared" ref="BL231" si="2147">COUNT(BJ231)-COUNT(BK231)</f>
        <v>0</v>
      </c>
      <c r="BM231" s="684"/>
    </row>
    <row r="232" spans="1:65" ht="14.1" customHeight="1" x14ac:dyDescent="0.15">
      <c r="A232" s="652"/>
      <c r="B232" s="2174"/>
      <c r="C232" s="2144"/>
      <c r="D232" s="2007"/>
      <c r="E232" s="2005"/>
      <c r="F232" s="2042"/>
      <c r="G232" s="2119"/>
      <c r="H232" s="2107"/>
      <c r="I232" s="2112"/>
      <c r="J232" s="2113"/>
      <c r="K232" s="2105"/>
      <c r="L232" s="2127"/>
      <c r="M232" s="2112"/>
      <c r="N232" s="2113"/>
      <c r="O232" s="2105"/>
      <c r="P232" s="2105"/>
      <c r="Q232" s="2107"/>
      <c r="R232" s="2112"/>
      <c r="S232" s="2113"/>
      <c r="T232" s="2105"/>
      <c r="U232" s="2105"/>
      <c r="V232" s="2107"/>
      <c r="W232" s="2112"/>
      <c r="X232" s="2113"/>
      <c r="Y232" s="2105"/>
      <c r="Z232" s="2105"/>
      <c r="AA232" s="2107"/>
      <c r="AB232" s="2112"/>
      <c r="AC232" s="2113"/>
      <c r="AD232" s="2105"/>
      <c r="AE232" s="2105"/>
      <c r="AF232" s="2107"/>
      <c r="AG232" s="2112"/>
      <c r="AH232" s="2113"/>
      <c r="AI232" s="2105"/>
      <c r="AJ232" s="2105"/>
      <c r="AK232" s="2011"/>
      <c r="AL232" s="2012"/>
      <c r="AM232" s="2012"/>
      <c r="AN232" s="2013"/>
      <c r="AO232" s="2011"/>
      <c r="AP232" s="2012"/>
      <c r="AQ232" s="2012"/>
      <c r="AR232" s="2013"/>
      <c r="AS232" s="651"/>
      <c r="AT232" s="652"/>
      <c r="AU232" s="1983"/>
      <c r="AV232" s="1983"/>
      <c r="AW232" s="1983"/>
      <c r="AX232" s="1983"/>
      <c r="AY232" s="1983"/>
      <c r="AZ232" s="1983"/>
      <c r="BA232" s="1983"/>
      <c r="BB232" s="654"/>
      <c r="BC232" s="654"/>
      <c r="BD232" s="652"/>
      <c r="BE232" s="652"/>
      <c r="BF232" s="652"/>
      <c r="BG232" s="652"/>
      <c r="BH232" s="652"/>
      <c r="BI232" s="652"/>
      <c r="BJ232" s="2225"/>
      <c r="BK232" s="2226"/>
      <c r="BL232" s="1381"/>
      <c r="BM232" s="684"/>
    </row>
    <row r="233" spans="1:65" ht="14.1" customHeight="1" x14ac:dyDescent="0.15">
      <c r="A233" s="652" t="str">
        <f t="shared" ref="A233" si="2148">IF(AND(D233="",D235&lt;&gt;""),"×","○")</f>
        <v>○</v>
      </c>
      <c r="B233" s="2174" t="str">
        <f t="shared" ref="B233" si="2149">IF(AND(AT233="○",BB233="○",BC233="○",A233="○"),"○","×")</f>
        <v>○</v>
      </c>
      <c r="C233" s="2143">
        <v>110</v>
      </c>
      <c r="D233" s="2006"/>
      <c r="E233" s="2004"/>
      <c r="F233" s="2041"/>
      <c r="G233" s="2123"/>
      <c r="H233" s="2109"/>
      <c r="I233" s="2141"/>
      <c r="J233" s="2142"/>
      <c r="K233" s="2104"/>
      <c r="L233" s="2140"/>
      <c r="M233" s="2110"/>
      <c r="N233" s="2111"/>
      <c r="O233" s="2108"/>
      <c r="P233" s="2108"/>
      <c r="Q233" s="2109"/>
      <c r="R233" s="2110"/>
      <c r="S233" s="2111"/>
      <c r="T233" s="2108"/>
      <c r="U233" s="2108"/>
      <c r="V233" s="2109"/>
      <c r="W233" s="2110"/>
      <c r="X233" s="2111"/>
      <c r="Y233" s="2108"/>
      <c r="Z233" s="2108"/>
      <c r="AA233" s="2109"/>
      <c r="AB233" s="2110"/>
      <c r="AC233" s="2111"/>
      <c r="AD233" s="2108"/>
      <c r="AE233" s="2108"/>
      <c r="AF233" s="2109"/>
      <c r="AG233" s="2110"/>
      <c r="AH233" s="2111"/>
      <c r="AI233" s="2108"/>
      <c r="AJ233" s="2108"/>
      <c r="AK233" s="2038"/>
      <c r="AL233" s="2039"/>
      <c r="AM233" s="2039"/>
      <c r="AN233" s="2040"/>
      <c r="AO233" s="2008"/>
      <c r="AP233" s="2009"/>
      <c r="AQ233" s="2009"/>
      <c r="AR233" s="2010"/>
      <c r="AS233" s="651"/>
      <c r="AT233" s="652" t="str">
        <f t="shared" ref="AT233" si="2150">IF(OR(AND(D233&lt;&gt;"",OR(AND(E233&lt;&gt;"",F233&lt;&gt;"",OR(G233&lt;&gt;"",H233&lt;&gt;"")),AND(E233="",F233="バス・カメラマン等"))),AND(D233="",E233="",F233="",OR(G233="",H233=""))),"○","×")</f>
        <v>○</v>
      </c>
      <c r="AU233" s="1983" t="str">
        <f t="shared" ref="AU233" si="2151">IF(AND(E233&lt;&gt;"",E233&lt;=2),"2歳児以下","")</f>
        <v/>
      </c>
      <c r="AV233" s="1983" t="str">
        <f t="shared" ref="AV233" si="2152">IF(OR(AND(3&lt;=E233,E233&lt;=6),COUNTIF(E233, "幼*"),COUNTIF(E233, "年少"),COUNTIF(E233, "年中"),COUNTIF(E233, "年長")),"3歳-学齢前","")</f>
        <v/>
      </c>
      <c r="AW233" s="1983" t="str">
        <f t="shared" ref="AW233" si="2153">IF(OR(AND(6&lt;=E233,E233&lt;=12),COUNTIF(E233, "小*")),"小学生","")</f>
        <v/>
      </c>
      <c r="AX233" s="1983" t="str">
        <f t="shared" ref="AX233" si="2154">IF(OR(AND(12&lt;=E233,E233&lt;=15),COUNTIF(E233, "中*")),"中学生","")</f>
        <v/>
      </c>
      <c r="AY233" s="1983" t="str">
        <f t="shared" ref="AY233" si="2155">IF(OR(AND(15&lt;=E233,E233&lt;=18),COUNTIF(E233, "高*")),"高校生(～18歳)","")</f>
        <v/>
      </c>
      <c r="AZ233" s="1983" t="str">
        <f t="shared" ref="AZ233" si="2156">IF(OR(19&lt;=E233,COUNTIF(E233, "大*"),COUNTIF(E233, "*院*"),COUNTIF(E233, "*専*")),"一般(19歳～)","")</f>
        <v/>
      </c>
      <c r="BA233" s="1983" t="s">
        <v>475</v>
      </c>
      <c r="BB233" s="652" t="str">
        <f t="shared" ref="BB233" si="2157">IF(OR(AND(D233="",I233="",M233="",R233="",W233="",AB233="",AG233=""),AND(D233&lt;&gt;"",OR(I233&lt;&gt;"",M233&lt;&gt;"",R233&lt;&gt;"",W233&lt;&gt;"",AB233&lt;&gt;"",AG233&lt;&gt;""))),"○","×")</f>
        <v>○</v>
      </c>
      <c r="BC233" s="652" t="str">
        <f t="shared" ref="BC233" si="2158">IF(AND(BD233="○",BE233="○",BF233="○",BG233="○",BH233="○",BI233="○"),"○","×")</f>
        <v>○</v>
      </c>
      <c r="BD233" s="653" t="str">
        <f t="shared" ref="BD233" si="2159">IF(AND($I$7=" ",OR(I233&lt;&gt;"",K233&lt;&gt;"",L233&lt;&gt;"")),"×","○")</f>
        <v>○</v>
      </c>
      <c r="BE233" s="653" t="str">
        <f t="shared" ref="BE233" si="2160">IF(AND($M$7=" ",OR(M233&lt;&gt;"",O233&lt;&gt;"",P233&lt;&gt;"",Q233&lt;&gt;"")),"×","○")</f>
        <v>○</v>
      </c>
      <c r="BF233" s="653" t="str">
        <f t="shared" ref="BF233" si="2161">IF(AND($R$7=" ",OR(R233&lt;&gt;"",T233&lt;&gt;"",U233&lt;&gt;"",V233&lt;&gt;"")),"×","○")</f>
        <v>○</v>
      </c>
      <c r="BG233" s="653" t="str">
        <f t="shared" ref="BG233" si="2162">IF(AND($W$7=" ",OR(W233&lt;&gt;"",Y233&lt;&gt;"",Z233&lt;&gt;"",AA233&lt;&gt;"")),"×","○")</f>
        <v>○</v>
      </c>
      <c r="BH233" s="653" t="str">
        <f t="shared" ref="BH233" si="2163">IF(AND($AB$7=" ",OR(AB233&lt;&gt;"",AD233&lt;&gt;"",AE233&lt;&gt;"",AF233&lt;&gt;"")),"×","○")</f>
        <v>○</v>
      </c>
      <c r="BI233" s="653" t="str">
        <f t="shared" ref="BI233" si="2164">IF(AND($AG$7=" ",OR(AG233&lt;&gt;"",AI233&lt;&gt;"",AJ233&lt;&gt;"")),"×","○")</f>
        <v>○</v>
      </c>
      <c r="BJ233" s="2225" t="e">
        <f t="shared" ref="BJ233" si="2165">SUMPRODUCT(1/COUNTIF(I233:AH233,"宿泊"))</f>
        <v>#DIV/0!</v>
      </c>
      <c r="BK233" s="2226" t="e">
        <f t="shared" ref="BK233" si="2166">SUMPRODUCT(1/COUNTIF(I233:AH233,"日帰り"))</f>
        <v>#DIV/0!</v>
      </c>
      <c r="BL233" s="1381">
        <f t="shared" ref="BL233" si="2167">COUNT(BJ233)-COUNT(BK233)</f>
        <v>0</v>
      </c>
      <c r="BM233" s="684"/>
    </row>
    <row r="234" spans="1:65" ht="14.1" customHeight="1" x14ac:dyDescent="0.15">
      <c r="A234" s="652"/>
      <c r="B234" s="2174"/>
      <c r="C234" s="2144"/>
      <c r="D234" s="2007"/>
      <c r="E234" s="2005"/>
      <c r="F234" s="2042"/>
      <c r="G234" s="2119"/>
      <c r="H234" s="2107"/>
      <c r="I234" s="2112"/>
      <c r="J234" s="2113"/>
      <c r="K234" s="2105"/>
      <c r="L234" s="2127"/>
      <c r="M234" s="2112"/>
      <c r="N234" s="2113"/>
      <c r="O234" s="2105"/>
      <c r="P234" s="2105"/>
      <c r="Q234" s="2107"/>
      <c r="R234" s="2112"/>
      <c r="S234" s="2113"/>
      <c r="T234" s="2105"/>
      <c r="U234" s="2105"/>
      <c r="V234" s="2107"/>
      <c r="W234" s="2112"/>
      <c r="X234" s="2113"/>
      <c r="Y234" s="2105"/>
      <c r="Z234" s="2105"/>
      <c r="AA234" s="2107"/>
      <c r="AB234" s="2112"/>
      <c r="AC234" s="2113"/>
      <c r="AD234" s="2105"/>
      <c r="AE234" s="2105"/>
      <c r="AF234" s="2107"/>
      <c r="AG234" s="2112"/>
      <c r="AH234" s="2113"/>
      <c r="AI234" s="2105"/>
      <c r="AJ234" s="2105"/>
      <c r="AK234" s="2011"/>
      <c r="AL234" s="2012"/>
      <c r="AM234" s="2012"/>
      <c r="AN234" s="2013"/>
      <c r="AO234" s="2011"/>
      <c r="AP234" s="2012"/>
      <c r="AQ234" s="2012"/>
      <c r="AR234" s="2013"/>
      <c r="AS234" s="651"/>
      <c r="AT234" s="652"/>
      <c r="AU234" s="1983"/>
      <c r="AV234" s="1983"/>
      <c r="AW234" s="1983"/>
      <c r="AX234" s="1983"/>
      <c r="AY234" s="1983"/>
      <c r="AZ234" s="1983"/>
      <c r="BA234" s="1983"/>
      <c r="BB234" s="654"/>
      <c r="BC234" s="654"/>
      <c r="BD234" s="652"/>
      <c r="BE234" s="652"/>
      <c r="BF234" s="652"/>
      <c r="BG234" s="652"/>
      <c r="BH234" s="652"/>
      <c r="BI234" s="652"/>
      <c r="BJ234" s="2225"/>
      <c r="BK234" s="2226"/>
      <c r="BL234" s="1381"/>
      <c r="BM234" s="684"/>
    </row>
    <row r="235" spans="1:65" ht="14.1" customHeight="1" x14ac:dyDescent="0.15">
      <c r="A235" s="652" t="str">
        <f t="shared" ref="A235" si="2168">IF(AND(D235="",D237&lt;&gt;""),"×","○")</f>
        <v>○</v>
      </c>
      <c r="B235" s="2174" t="str">
        <f t="shared" ref="B235" si="2169">IF(AND(AT235="○",BB235="○",BC235="○",A235="○"),"○","×")</f>
        <v>○</v>
      </c>
      <c r="C235" s="2143">
        <v>111</v>
      </c>
      <c r="D235" s="2006"/>
      <c r="E235" s="2004"/>
      <c r="F235" s="2041"/>
      <c r="G235" s="2118"/>
      <c r="H235" s="2106"/>
      <c r="I235" s="2141"/>
      <c r="J235" s="2142"/>
      <c r="K235" s="2104"/>
      <c r="L235" s="2140"/>
      <c r="M235" s="2110"/>
      <c r="N235" s="2111"/>
      <c r="O235" s="2104"/>
      <c r="P235" s="2104"/>
      <c r="Q235" s="2106"/>
      <c r="R235" s="2110"/>
      <c r="S235" s="2111"/>
      <c r="T235" s="2104"/>
      <c r="U235" s="2104"/>
      <c r="V235" s="2106"/>
      <c r="W235" s="2110"/>
      <c r="X235" s="2111"/>
      <c r="Y235" s="2104"/>
      <c r="Z235" s="2104"/>
      <c r="AA235" s="2106"/>
      <c r="AB235" s="2110"/>
      <c r="AC235" s="2111"/>
      <c r="AD235" s="2104"/>
      <c r="AE235" s="2104"/>
      <c r="AF235" s="2106"/>
      <c r="AG235" s="2110"/>
      <c r="AH235" s="2111"/>
      <c r="AI235" s="2104"/>
      <c r="AJ235" s="2104"/>
      <c r="AK235" s="2038"/>
      <c r="AL235" s="2039"/>
      <c r="AM235" s="2039"/>
      <c r="AN235" s="2040"/>
      <c r="AO235" s="2008"/>
      <c r="AP235" s="2009"/>
      <c r="AQ235" s="2009"/>
      <c r="AR235" s="2010"/>
      <c r="AS235" s="651"/>
      <c r="AT235" s="652" t="str">
        <f t="shared" ref="AT235" si="2170">IF(OR(AND(D235&lt;&gt;"",OR(AND(E235&lt;&gt;"",F235&lt;&gt;"",OR(G235&lt;&gt;"",H235&lt;&gt;"")),AND(E235="",F235="バス・カメラマン等"))),AND(D235="",E235="",F235="",OR(G235="",H235=""))),"○","×")</f>
        <v>○</v>
      </c>
      <c r="AU235" s="1983" t="str">
        <f t="shared" ref="AU235" si="2171">IF(AND(E235&lt;&gt;"",E235&lt;=2),"2歳児以下","")</f>
        <v/>
      </c>
      <c r="AV235" s="1983" t="str">
        <f t="shared" ref="AV235" si="2172">IF(OR(AND(3&lt;=E235,E235&lt;=6),COUNTIF(E235, "幼*"),COUNTIF(E235, "年少"),COUNTIF(E235, "年中"),COUNTIF(E235, "年長")),"3歳-学齢前","")</f>
        <v/>
      </c>
      <c r="AW235" s="1983" t="str">
        <f t="shared" ref="AW235" si="2173">IF(OR(AND(6&lt;=E235,E235&lt;=12),COUNTIF(E235, "小*")),"小学生","")</f>
        <v/>
      </c>
      <c r="AX235" s="1983" t="str">
        <f t="shared" ref="AX235" si="2174">IF(OR(AND(12&lt;=E235,E235&lt;=15),COUNTIF(E235, "中*")),"中学生","")</f>
        <v/>
      </c>
      <c r="AY235" s="1983" t="str">
        <f t="shared" ref="AY235" si="2175">IF(OR(AND(15&lt;=E235,E235&lt;=18),COUNTIF(E235, "高*")),"高校生(～18歳)","")</f>
        <v/>
      </c>
      <c r="AZ235" s="1983" t="str">
        <f t="shared" ref="AZ235" si="2176">IF(OR(19&lt;=E235,COUNTIF(E235, "大*"),COUNTIF(E235, "*院*"),COUNTIF(E235, "*専*")),"一般(19歳～)","")</f>
        <v/>
      </c>
      <c r="BA235" s="1983" t="s">
        <v>475</v>
      </c>
      <c r="BB235" s="652" t="str">
        <f t="shared" ref="BB235" si="2177">IF(OR(AND(D235="",I235="",M235="",R235="",W235="",AB235="",AG235=""),AND(D235&lt;&gt;"",OR(I235&lt;&gt;"",M235&lt;&gt;"",R235&lt;&gt;"",W235&lt;&gt;"",AB235&lt;&gt;"",AG235&lt;&gt;""))),"○","×")</f>
        <v>○</v>
      </c>
      <c r="BC235" s="652" t="str">
        <f t="shared" ref="BC235" si="2178">IF(AND(BD235="○",BE235="○",BF235="○",BG235="○",BH235="○",BI235="○"),"○","×")</f>
        <v>○</v>
      </c>
      <c r="BD235" s="653" t="str">
        <f t="shared" ref="BD235" si="2179">IF(AND($I$7=" ",OR(I235&lt;&gt;"",K235&lt;&gt;"",L235&lt;&gt;"")),"×","○")</f>
        <v>○</v>
      </c>
      <c r="BE235" s="653" t="str">
        <f t="shared" ref="BE235" si="2180">IF(AND($M$7=" ",OR(M235&lt;&gt;"",O235&lt;&gt;"",P235&lt;&gt;"",Q235&lt;&gt;"")),"×","○")</f>
        <v>○</v>
      </c>
      <c r="BF235" s="653" t="str">
        <f t="shared" ref="BF235" si="2181">IF(AND($R$7=" ",OR(R235&lt;&gt;"",T235&lt;&gt;"",U235&lt;&gt;"",V235&lt;&gt;"")),"×","○")</f>
        <v>○</v>
      </c>
      <c r="BG235" s="653" t="str">
        <f t="shared" ref="BG235" si="2182">IF(AND($W$7=" ",OR(W235&lt;&gt;"",Y235&lt;&gt;"",Z235&lt;&gt;"",AA235&lt;&gt;"")),"×","○")</f>
        <v>○</v>
      </c>
      <c r="BH235" s="653" t="str">
        <f t="shared" ref="BH235" si="2183">IF(AND($AB$7=" ",OR(AB235&lt;&gt;"",AD235&lt;&gt;"",AE235&lt;&gt;"",AF235&lt;&gt;"")),"×","○")</f>
        <v>○</v>
      </c>
      <c r="BI235" s="653" t="str">
        <f t="shared" ref="BI235" si="2184">IF(AND($AG$7=" ",OR(AG235&lt;&gt;"",AI235&lt;&gt;"",AJ235&lt;&gt;"")),"×","○")</f>
        <v>○</v>
      </c>
      <c r="BJ235" s="2225" t="e">
        <f t="shared" ref="BJ235" si="2185">SUMPRODUCT(1/COUNTIF(I235:AH235,"宿泊"))</f>
        <v>#DIV/0!</v>
      </c>
      <c r="BK235" s="2226" t="e">
        <f t="shared" ref="BK235" si="2186">SUMPRODUCT(1/COUNTIF(I235:AH235,"日帰り"))</f>
        <v>#DIV/0!</v>
      </c>
      <c r="BL235" s="1381">
        <f t="shared" ref="BL235" si="2187">COUNT(BJ235)-COUNT(BK235)</f>
        <v>0</v>
      </c>
      <c r="BM235" s="684"/>
    </row>
    <row r="236" spans="1:65" ht="14.1" customHeight="1" x14ac:dyDescent="0.15">
      <c r="A236" s="652"/>
      <c r="B236" s="2174"/>
      <c r="C236" s="2144"/>
      <c r="D236" s="2007"/>
      <c r="E236" s="2005"/>
      <c r="F236" s="2042"/>
      <c r="G236" s="2119"/>
      <c r="H236" s="2107"/>
      <c r="I236" s="2112"/>
      <c r="J236" s="2113"/>
      <c r="K236" s="2105"/>
      <c r="L236" s="2127"/>
      <c r="M236" s="2112"/>
      <c r="N236" s="2113"/>
      <c r="O236" s="2105"/>
      <c r="P236" s="2105"/>
      <c r="Q236" s="2107"/>
      <c r="R236" s="2112"/>
      <c r="S236" s="2113"/>
      <c r="T236" s="2105"/>
      <c r="U236" s="2105"/>
      <c r="V236" s="2107"/>
      <c r="W236" s="2112"/>
      <c r="X236" s="2113"/>
      <c r="Y236" s="2105"/>
      <c r="Z236" s="2105"/>
      <c r="AA236" s="2107"/>
      <c r="AB236" s="2112"/>
      <c r="AC236" s="2113"/>
      <c r="AD236" s="2105"/>
      <c r="AE236" s="2105"/>
      <c r="AF236" s="2107"/>
      <c r="AG236" s="2112"/>
      <c r="AH236" s="2113"/>
      <c r="AI236" s="2105"/>
      <c r="AJ236" s="2105"/>
      <c r="AK236" s="2011"/>
      <c r="AL236" s="2012"/>
      <c r="AM236" s="2012"/>
      <c r="AN236" s="2013"/>
      <c r="AO236" s="2011"/>
      <c r="AP236" s="2012"/>
      <c r="AQ236" s="2012"/>
      <c r="AR236" s="2013"/>
      <c r="AS236" s="651"/>
      <c r="AT236" s="652"/>
      <c r="AU236" s="1983"/>
      <c r="AV236" s="1983"/>
      <c r="AW236" s="1983"/>
      <c r="AX236" s="1983"/>
      <c r="AY236" s="1983"/>
      <c r="AZ236" s="1983"/>
      <c r="BA236" s="1983"/>
      <c r="BB236" s="654"/>
      <c r="BC236" s="654"/>
      <c r="BD236" s="652"/>
      <c r="BE236" s="652"/>
      <c r="BF236" s="652"/>
      <c r="BG236" s="652"/>
      <c r="BH236" s="652"/>
      <c r="BI236" s="652"/>
      <c r="BJ236" s="2225"/>
      <c r="BK236" s="2226"/>
      <c r="BL236" s="1381"/>
      <c r="BM236" s="684"/>
    </row>
    <row r="237" spans="1:65" ht="14.1" customHeight="1" x14ac:dyDescent="0.15">
      <c r="A237" s="652" t="str">
        <f t="shared" ref="A237" si="2188">IF(AND(D237="",D239&lt;&gt;""),"×","○")</f>
        <v>○</v>
      </c>
      <c r="B237" s="2174" t="str">
        <f t="shared" ref="B237" si="2189">IF(AND(AT237="○",BB237="○",BC237="○",A237="○"),"○","×")</f>
        <v>○</v>
      </c>
      <c r="C237" s="2143">
        <v>112</v>
      </c>
      <c r="D237" s="2006"/>
      <c r="E237" s="2004"/>
      <c r="F237" s="2041"/>
      <c r="G237" s="2118"/>
      <c r="H237" s="2106"/>
      <c r="I237" s="2141"/>
      <c r="J237" s="2142"/>
      <c r="K237" s="2104"/>
      <c r="L237" s="2140"/>
      <c r="M237" s="2110"/>
      <c r="N237" s="2111"/>
      <c r="O237" s="2104"/>
      <c r="P237" s="2104"/>
      <c r="Q237" s="2106"/>
      <c r="R237" s="2110"/>
      <c r="S237" s="2111"/>
      <c r="T237" s="2104"/>
      <c r="U237" s="2104"/>
      <c r="V237" s="2106"/>
      <c r="W237" s="2110"/>
      <c r="X237" s="2111"/>
      <c r="Y237" s="2104"/>
      <c r="Z237" s="2104"/>
      <c r="AA237" s="2106"/>
      <c r="AB237" s="2110"/>
      <c r="AC237" s="2111"/>
      <c r="AD237" s="2104"/>
      <c r="AE237" s="2104"/>
      <c r="AF237" s="2106"/>
      <c r="AG237" s="2110"/>
      <c r="AH237" s="2111"/>
      <c r="AI237" s="2104"/>
      <c r="AJ237" s="2104"/>
      <c r="AK237" s="2038"/>
      <c r="AL237" s="2039"/>
      <c r="AM237" s="2039"/>
      <c r="AN237" s="2040"/>
      <c r="AO237" s="2008"/>
      <c r="AP237" s="2009"/>
      <c r="AQ237" s="2009"/>
      <c r="AR237" s="2010"/>
      <c r="AS237" s="651"/>
      <c r="AT237" s="652" t="str">
        <f t="shared" ref="AT237" si="2190">IF(OR(AND(D237&lt;&gt;"",OR(AND(E237&lt;&gt;"",F237&lt;&gt;"",OR(G237&lt;&gt;"",H237&lt;&gt;"")),AND(E237="",F237="バス・カメラマン等"))),AND(D237="",E237="",F237="",OR(G237="",H237=""))),"○","×")</f>
        <v>○</v>
      </c>
      <c r="AU237" s="1983" t="str">
        <f t="shared" ref="AU237" si="2191">IF(AND(E237&lt;&gt;"",E237&lt;=2),"2歳児以下","")</f>
        <v/>
      </c>
      <c r="AV237" s="1983" t="str">
        <f t="shared" ref="AV237" si="2192">IF(OR(AND(3&lt;=E237,E237&lt;=6),COUNTIF(E237, "幼*"),COUNTIF(E237, "年少"),COUNTIF(E237, "年中"),COUNTIF(E237, "年長")),"3歳-学齢前","")</f>
        <v/>
      </c>
      <c r="AW237" s="1983" t="str">
        <f t="shared" ref="AW237" si="2193">IF(OR(AND(6&lt;=E237,E237&lt;=12),COUNTIF(E237, "小*")),"小学生","")</f>
        <v/>
      </c>
      <c r="AX237" s="1983" t="str">
        <f t="shared" ref="AX237" si="2194">IF(OR(AND(12&lt;=E237,E237&lt;=15),COUNTIF(E237, "中*")),"中学生","")</f>
        <v/>
      </c>
      <c r="AY237" s="1983" t="str">
        <f t="shared" ref="AY237" si="2195">IF(OR(AND(15&lt;=E237,E237&lt;=18),COUNTIF(E237, "高*")),"高校生(～18歳)","")</f>
        <v/>
      </c>
      <c r="AZ237" s="1983" t="str">
        <f t="shared" ref="AZ237" si="2196">IF(OR(19&lt;=E237,COUNTIF(E237, "大*"),COUNTIF(E237, "*院*"),COUNTIF(E237, "*専*")),"一般(19歳～)","")</f>
        <v/>
      </c>
      <c r="BA237" s="1983" t="s">
        <v>475</v>
      </c>
      <c r="BB237" s="652" t="str">
        <f t="shared" ref="BB237" si="2197">IF(OR(AND(D237="",I237="",M237="",R237="",W237="",AB237="",AG237=""),AND(D237&lt;&gt;"",OR(I237&lt;&gt;"",M237&lt;&gt;"",R237&lt;&gt;"",W237&lt;&gt;"",AB237&lt;&gt;"",AG237&lt;&gt;""))),"○","×")</f>
        <v>○</v>
      </c>
      <c r="BC237" s="652" t="str">
        <f t="shared" ref="BC237" si="2198">IF(AND(BD237="○",BE237="○",BF237="○",BG237="○",BH237="○",BI237="○"),"○","×")</f>
        <v>○</v>
      </c>
      <c r="BD237" s="653" t="str">
        <f t="shared" ref="BD237" si="2199">IF(AND($I$7=" ",OR(I237&lt;&gt;"",K237&lt;&gt;"",L237&lt;&gt;"")),"×","○")</f>
        <v>○</v>
      </c>
      <c r="BE237" s="653" t="str">
        <f t="shared" ref="BE237" si="2200">IF(AND($M$7=" ",OR(M237&lt;&gt;"",O237&lt;&gt;"",P237&lt;&gt;"",Q237&lt;&gt;"")),"×","○")</f>
        <v>○</v>
      </c>
      <c r="BF237" s="653" t="str">
        <f t="shared" ref="BF237" si="2201">IF(AND($R$7=" ",OR(R237&lt;&gt;"",T237&lt;&gt;"",U237&lt;&gt;"",V237&lt;&gt;"")),"×","○")</f>
        <v>○</v>
      </c>
      <c r="BG237" s="653" t="str">
        <f t="shared" ref="BG237" si="2202">IF(AND($W$7=" ",OR(W237&lt;&gt;"",Y237&lt;&gt;"",Z237&lt;&gt;"",AA237&lt;&gt;"")),"×","○")</f>
        <v>○</v>
      </c>
      <c r="BH237" s="653" t="str">
        <f t="shared" ref="BH237" si="2203">IF(AND($AB$7=" ",OR(AB237&lt;&gt;"",AD237&lt;&gt;"",AE237&lt;&gt;"",AF237&lt;&gt;"")),"×","○")</f>
        <v>○</v>
      </c>
      <c r="BI237" s="653" t="str">
        <f t="shared" ref="BI237" si="2204">IF(AND($AG$7=" ",OR(AG237&lt;&gt;"",AI237&lt;&gt;"",AJ237&lt;&gt;"")),"×","○")</f>
        <v>○</v>
      </c>
      <c r="BJ237" s="2225" t="e">
        <f t="shared" ref="BJ237" si="2205">SUMPRODUCT(1/COUNTIF(I237:AH237,"宿泊"))</f>
        <v>#DIV/0!</v>
      </c>
      <c r="BK237" s="2226" t="e">
        <f t="shared" ref="BK237" si="2206">SUMPRODUCT(1/COUNTIF(I237:AH237,"日帰り"))</f>
        <v>#DIV/0!</v>
      </c>
      <c r="BL237" s="1381">
        <f t="shared" ref="BL237" si="2207">COUNT(BJ237)-COUNT(BK237)</f>
        <v>0</v>
      </c>
      <c r="BM237" s="684"/>
    </row>
    <row r="238" spans="1:65" ht="14.1" customHeight="1" x14ac:dyDescent="0.15">
      <c r="A238" s="652"/>
      <c r="B238" s="2174"/>
      <c r="C238" s="2144"/>
      <c r="D238" s="2007"/>
      <c r="E238" s="2005"/>
      <c r="F238" s="2042"/>
      <c r="G238" s="2119"/>
      <c r="H238" s="2107"/>
      <c r="I238" s="2112"/>
      <c r="J238" s="2113"/>
      <c r="K238" s="2105"/>
      <c r="L238" s="2127"/>
      <c r="M238" s="2112"/>
      <c r="N238" s="2113"/>
      <c r="O238" s="2105"/>
      <c r="P238" s="2105"/>
      <c r="Q238" s="2107"/>
      <c r="R238" s="2112"/>
      <c r="S238" s="2113"/>
      <c r="T238" s="2105"/>
      <c r="U238" s="2105"/>
      <c r="V238" s="2107"/>
      <c r="W238" s="2112"/>
      <c r="X238" s="2113"/>
      <c r="Y238" s="2105"/>
      <c r="Z238" s="2105"/>
      <c r="AA238" s="2107"/>
      <c r="AB238" s="2112"/>
      <c r="AC238" s="2113"/>
      <c r="AD238" s="2105"/>
      <c r="AE238" s="2105"/>
      <c r="AF238" s="2107"/>
      <c r="AG238" s="2112"/>
      <c r="AH238" s="2113"/>
      <c r="AI238" s="2105"/>
      <c r="AJ238" s="2105"/>
      <c r="AK238" s="2011"/>
      <c r="AL238" s="2012"/>
      <c r="AM238" s="2012"/>
      <c r="AN238" s="2013"/>
      <c r="AO238" s="2011"/>
      <c r="AP238" s="2012"/>
      <c r="AQ238" s="2012"/>
      <c r="AR238" s="2013"/>
      <c r="AS238" s="651"/>
      <c r="AT238" s="652"/>
      <c r="AU238" s="1983"/>
      <c r="AV238" s="1983"/>
      <c r="AW238" s="1983"/>
      <c r="AX238" s="1983"/>
      <c r="AY238" s="1983"/>
      <c r="AZ238" s="1983"/>
      <c r="BA238" s="1983"/>
      <c r="BB238" s="654"/>
      <c r="BC238" s="654"/>
      <c r="BD238" s="652"/>
      <c r="BE238" s="652"/>
      <c r="BF238" s="652"/>
      <c r="BG238" s="652"/>
      <c r="BH238" s="652"/>
      <c r="BI238" s="652"/>
      <c r="BJ238" s="2225"/>
      <c r="BK238" s="2226"/>
      <c r="BL238" s="1381"/>
      <c r="BM238" s="684"/>
    </row>
    <row r="239" spans="1:65" ht="14.1" customHeight="1" x14ac:dyDescent="0.15">
      <c r="A239" s="652" t="str">
        <f t="shared" ref="A239" si="2208">IF(AND(D239="",D241&lt;&gt;""),"×","○")</f>
        <v>○</v>
      </c>
      <c r="B239" s="2174" t="str">
        <f t="shared" ref="B239" si="2209">IF(AND(AT239="○",BB239="○",BC239="○",A239="○"),"○","×")</f>
        <v>○</v>
      </c>
      <c r="C239" s="2143">
        <v>113</v>
      </c>
      <c r="D239" s="2006"/>
      <c r="E239" s="2004"/>
      <c r="F239" s="2041"/>
      <c r="G239" s="2118"/>
      <c r="H239" s="2106"/>
      <c r="I239" s="2141"/>
      <c r="J239" s="2142"/>
      <c r="K239" s="2104"/>
      <c r="L239" s="2140"/>
      <c r="M239" s="2110"/>
      <c r="N239" s="2111"/>
      <c r="O239" s="2104"/>
      <c r="P239" s="2104"/>
      <c r="Q239" s="2106"/>
      <c r="R239" s="2110"/>
      <c r="S239" s="2111"/>
      <c r="T239" s="2104"/>
      <c r="U239" s="2104"/>
      <c r="V239" s="2106"/>
      <c r="W239" s="2110"/>
      <c r="X239" s="2111"/>
      <c r="Y239" s="2104"/>
      <c r="Z239" s="2104"/>
      <c r="AA239" s="2106"/>
      <c r="AB239" s="2110"/>
      <c r="AC239" s="2111"/>
      <c r="AD239" s="2104"/>
      <c r="AE239" s="2104"/>
      <c r="AF239" s="2106"/>
      <c r="AG239" s="2110"/>
      <c r="AH239" s="2111"/>
      <c r="AI239" s="2104"/>
      <c r="AJ239" s="2104"/>
      <c r="AK239" s="2038"/>
      <c r="AL239" s="2039"/>
      <c r="AM239" s="2039"/>
      <c r="AN239" s="2040"/>
      <c r="AO239" s="2008"/>
      <c r="AP239" s="2009"/>
      <c r="AQ239" s="2009"/>
      <c r="AR239" s="2010"/>
      <c r="AS239" s="651"/>
      <c r="AT239" s="652" t="str">
        <f t="shared" ref="AT239" si="2210">IF(OR(AND(D239&lt;&gt;"",OR(AND(E239&lt;&gt;"",F239&lt;&gt;"",OR(G239&lt;&gt;"",H239&lt;&gt;"")),AND(E239="",F239="バス・カメラマン等"))),AND(D239="",E239="",F239="",OR(G239="",H239=""))),"○","×")</f>
        <v>○</v>
      </c>
      <c r="AU239" s="1983" t="str">
        <f t="shared" ref="AU239" si="2211">IF(AND(E239&lt;&gt;"",E239&lt;=2),"2歳児以下","")</f>
        <v/>
      </c>
      <c r="AV239" s="1983" t="str">
        <f t="shared" ref="AV239" si="2212">IF(OR(AND(3&lt;=E239,E239&lt;=6),COUNTIF(E239, "幼*"),COUNTIF(E239, "年少"),COUNTIF(E239, "年中"),COUNTIF(E239, "年長")),"3歳-学齢前","")</f>
        <v/>
      </c>
      <c r="AW239" s="1983" t="str">
        <f t="shared" ref="AW239" si="2213">IF(OR(AND(6&lt;=E239,E239&lt;=12),COUNTIF(E239, "小*")),"小学生","")</f>
        <v/>
      </c>
      <c r="AX239" s="1983" t="str">
        <f t="shared" ref="AX239" si="2214">IF(OR(AND(12&lt;=E239,E239&lt;=15),COUNTIF(E239, "中*")),"中学生","")</f>
        <v/>
      </c>
      <c r="AY239" s="1983" t="str">
        <f t="shared" ref="AY239" si="2215">IF(OR(AND(15&lt;=E239,E239&lt;=18),COUNTIF(E239, "高*")),"高校生(～18歳)","")</f>
        <v/>
      </c>
      <c r="AZ239" s="1983" t="str">
        <f t="shared" ref="AZ239" si="2216">IF(OR(19&lt;=E239,COUNTIF(E239, "大*"),COUNTIF(E239, "*院*"),COUNTIF(E239, "*専*")),"一般(19歳～)","")</f>
        <v/>
      </c>
      <c r="BA239" s="1983" t="s">
        <v>475</v>
      </c>
      <c r="BB239" s="652" t="str">
        <f t="shared" ref="BB239" si="2217">IF(OR(AND(D239="",I239="",M239="",R239="",W239="",AB239="",AG239=""),AND(D239&lt;&gt;"",OR(I239&lt;&gt;"",M239&lt;&gt;"",R239&lt;&gt;"",W239&lt;&gt;"",AB239&lt;&gt;"",AG239&lt;&gt;""))),"○","×")</f>
        <v>○</v>
      </c>
      <c r="BC239" s="652" t="str">
        <f t="shared" ref="BC239" si="2218">IF(AND(BD239="○",BE239="○",BF239="○",BG239="○",BH239="○",BI239="○"),"○","×")</f>
        <v>○</v>
      </c>
      <c r="BD239" s="653" t="str">
        <f t="shared" ref="BD239" si="2219">IF(AND($I$7=" ",OR(I239&lt;&gt;"",K239&lt;&gt;"",L239&lt;&gt;"")),"×","○")</f>
        <v>○</v>
      </c>
      <c r="BE239" s="653" t="str">
        <f t="shared" ref="BE239" si="2220">IF(AND($M$7=" ",OR(M239&lt;&gt;"",O239&lt;&gt;"",P239&lt;&gt;"",Q239&lt;&gt;"")),"×","○")</f>
        <v>○</v>
      </c>
      <c r="BF239" s="653" t="str">
        <f t="shared" ref="BF239" si="2221">IF(AND($R$7=" ",OR(R239&lt;&gt;"",T239&lt;&gt;"",U239&lt;&gt;"",V239&lt;&gt;"")),"×","○")</f>
        <v>○</v>
      </c>
      <c r="BG239" s="653" t="str">
        <f t="shared" ref="BG239" si="2222">IF(AND($W$7=" ",OR(W239&lt;&gt;"",Y239&lt;&gt;"",Z239&lt;&gt;"",AA239&lt;&gt;"")),"×","○")</f>
        <v>○</v>
      </c>
      <c r="BH239" s="653" t="str">
        <f t="shared" ref="BH239" si="2223">IF(AND($AB$7=" ",OR(AB239&lt;&gt;"",AD239&lt;&gt;"",AE239&lt;&gt;"",AF239&lt;&gt;"")),"×","○")</f>
        <v>○</v>
      </c>
      <c r="BI239" s="653" t="str">
        <f t="shared" ref="BI239" si="2224">IF(AND($AG$7=" ",OR(AG239&lt;&gt;"",AI239&lt;&gt;"",AJ239&lt;&gt;"")),"×","○")</f>
        <v>○</v>
      </c>
      <c r="BJ239" s="2225" t="e">
        <f t="shared" ref="BJ239" si="2225">SUMPRODUCT(1/COUNTIF(I239:AH239,"宿泊"))</f>
        <v>#DIV/0!</v>
      </c>
      <c r="BK239" s="2226" t="e">
        <f t="shared" ref="BK239" si="2226">SUMPRODUCT(1/COUNTIF(I239:AH239,"日帰り"))</f>
        <v>#DIV/0!</v>
      </c>
      <c r="BL239" s="1381">
        <f t="shared" ref="BL239" si="2227">COUNT(BJ239)-COUNT(BK239)</f>
        <v>0</v>
      </c>
      <c r="BM239" s="684"/>
    </row>
    <row r="240" spans="1:65" ht="14.1" customHeight="1" x14ac:dyDescent="0.15">
      <c r="A240" s="652"/>
      <c r="B240" s="2174"/>
      <c r="C240" s="2144"/>
      <c r="D240" s="2007"/>
      <c r="E240" s="2005"/>
      <c r="F240" s="2042"/>
      <c r="G240" s="2119"/>
      <c r="H240" s="2107"/>
      <c r="I240" s="2112"/>
      <c r="J240" s="2113"/>
      <c r="K240" s="2105"/>
      <c r="L240" s="2127"/>
      <c r="M240" s="2112"/>
      <c r="N240" s="2113"/>
      <c r="O240" s="2105"/>
      <c r="P240" s="2105"/>
      <c r="Q240" s="2107"/>
      <c r="R240" s="2112"/>
      <c r="S240" s="2113"/>
      <c r="T240" s="2105"/>
      <c r="U240" s="2105"/>
      <c r="V240" s="2107"/>
      <c r="W240" s="2112"/>
      <c r="X240" s="2113"/>
      <c r="Y240" s="2105"/>
      <c r="Z240" s="2105"/>
      <c r="AA240" s="2107"/>
      <c r="AB240" s="2112"/>
      <c r="AC240" s="2113"/>
      <c r="AD240" s="2105"/>
      <c r="AE240" s="2105"/>
      <c r="AF240" s="2107"/>
      <c r="AG240" s="2112"/>
      <c r="AH240" s="2113"/>
      <c r="AI240" s="2105"/>
      <c r="AJ240" s="2105"/>
      <c r="AK240" s="2011"/>
      <c r="AL240" s="2012"/>
      <c r="AM240" s="2012"/>
      <c r="AN240" s="2013"/>
      <c r="AO240" s="2011"/>
      <c r="AP240" s="2012"/>
      <c r="AQ240" s="2012"/>
      <c r="AR240" s="2013"/>
      <c r="AS240" s="651"/>
      <c r="AT240" s="652"/>
      <c r="AU240" s="1983"/>
      <c r="AV240" s="1983"/>
      <c r="AW240" s="1983"/>
      <c r="AX240" s="1983"/>
      <c r="AY240" s="1983"/>
      <c r="AZ240" s="1983"/>
      <c r="BA240" s="1983"/>
      <c r="BB240" s="654"/>
      <c r="BC240" s="654"/>
      <c r="BD240" s="652"/>
      <c r="BE240" s="652"/>
      <c r="BF240" s="652"/>
      <c r="BG240" s="652"/>
      <c r="BH240" s="652"/>
      <c r="BI240" s="652"/>
      <c r="BJ240" s="2225"/>
      <c r="BK240" s="2226"/>
      <c r="BL240" s="1381"/>
      <c r="BM240" s="684"/>
    </row>
    <row r="241" spans="1:65" ht="14.1" customHeight="1" x14ac:dyDescent="0.15">
      <c r="A241" s="652" t="str">
        <f t="shared" ref="A241" si="2228">IF(AND(D241="",D243&lt;&gt;""),"×","○")</f>
        <v>○</v>
      </c>
      <c r="B241" s="2174" t="str">
        <f t="shared" ref="B241" si="2229">IF(AND(AT241="○",BB241="○",BC241="○",A241="○"),"○","×")</f>
        <v>○</v>
      </c>
      <c r="C241" s="2143">
        <v>114</v>
      </c>
      <c r="D241" s="2006"/>
      <c r="E241" s="2004"/>
      <c r="F241" s="2041"/>
      <c r="G241" s="2118"/>
      <c r="H241" s="2106"/>
      <c r="I241" s="2141"/>
      <c r="J241" s="2142"/>
      <c r="K241" s="2104"/>
      <c r="L241" s="2140"/>
      <c r="M241" s="2110"/>
      <c r="N241" s="2111"/>
      <c r="O241" s="2104"/>
      <c r="P241" s="2104"/>
      <c r="Q241" s="2106"/>
      <c r="R241" s="2110"/>
      <c r="S241" s="2111"/>
      <c r="T241" s="2104"/>
      <c r="U241" s="2104"/>
      <c r="V241" s="2106"/>
      <c r="W241" s="2110"/>
      <c r="X241" s="2111"/>
      <c r="Y241" s="2104"/>
      <c r="Z241" s="2104"/>
      <c r="AA241" s="2106"/>
      <c r="AB241" s="2110"/>
      <c r="AC241" s="2111"/>
      <c r="AD241" s="2104"/>
      <c r="AE241" s="2104"/>
      <c r="AF241" s="2106"/>
      <c r="AG241" s="2110"/>
      <c r="AH241" s="2111"/>
      <c r="AI241" s="2104"/>
      <c r="AJ241" s="2104"/>
      <c r="AK241" s="2038"/>
      <c r="AL241" s="2039"/>
      <c r="AM241" s="2039"/>
      <c r="AN241" s="2040"/>
      <c r="AO241" s="2008"/>
      <c r="AP241" s="2009"/>
      <c r="AQ241" s="2009"/>
      <c r="AR241" s="2010"/>
      <c r="AS241" s="651"/>
      <c r="AT241" s="652" t="str">
        <f t="shared" ref="AT241" si="2230">IF(OR(AND(D241&lt;&gt;"",OR(AND(E241&lt;&gt;"",F241&lt;&gt;"",OR(G241&lt;&gt;"",H241&lt;&gt;"")),AND(E241="",F241="バス・カメラマン等"))),AND(D241="",E241="",F241="",OR(G241="",H241=""))),"○","×")</f>
        <v>○</v>
      </c>
      <c r="AU241" s="1983" t="str">
        <f t="shared" ref="AU241" si="2231">IF(AND(E241&lt;&gt;"",E241&lt;=2),"2歳児以下","")</f>
        <v/>
      </c>
      <c r="AV241" s="1983" t="str">
        <f t="shared" ref="AV241" si="2232">IF(OR(AND(3&lt;=E241,E241&lt;=6),COUNTIF(E241, "幼*"),COUNTIF(E241, "年少"),COUNTIF(E241, "年中"),COUNTIF(E241, "年長")),"3歳-学齢前","")</f>
        <v/>
      </c>
      <c r="AW241" s="1983" t="str">
        <f t="shared" ref="AW241" si="2233">IF(OR(AND(6&lt;=E241,E241&lt;=12),COUNTIF(E241, "小*")),"小学生","")</f>
        <v/>
      </c>
      <c r="AX241" s="1983" t="str">
        <f t="shared" ref="AX241" si="2234">IF(OR(AND(12&lt;=E241,E241&lt;=15),COUNTIF(E241, "中*")),"中学生","")</f>
        <v/>
      </c>
      <c r="AY241" s="1983" t="str">
        <f t="shared" ref="AY241" si="2235">IF(OR(AND(15&lt;=E241,E241&lt;=18),COUNTIF(E241, "高*")),"高校生(～18歳)","")</f>
        <v/>
      </c>
      <c r="AZ241" s="1983" t="str">
        <f t="shared" ref="AZ241" si="2236">IF(OR(19&lt;=E241,COUNTIF(E241, "大*"),COUNTIF(E241, "*院*"),COUNTIF(E241, "*専*")),"一般(19歳～)","")</f>
        <v/>
      </c>
      <c r="BA241" s="1983" t="s">
        <v>475</v>
      </c>
      <c r="BB241" s="652" t="str">
        <f t="shared" ref="BB241" si="2237">IF(OR(AND(D241="",I241="",M241="",R241="",W241="",AB241="",AG241=""),AND(D241&lt;&gt;"",OR(I241&lt;&gt;"",M241&lt;&gt;"",R241&lt;&gt;"",W241&lt;&gt;"",AB241&lt;&gt;"",AG241&lt;&gt;""))),"○","×")</f>
        <v>○</v>
      </c>
      <c r="BC241" s="652" t="str">
        <f t="shared" ref="BC241" si="2238">IF(AND(BD241="○",BE241="○",BF241="○",BG241="○",BH241="○",BI241="○"),"○","×")</f>
        <v>○</v>
      </c>
      <c r="BD241" s="653" t="str">
        <f t="shared" ref="BD241" si="2239">IF(AND($I$7=" ",OR(I241&lt;&gt;"",K241&lt;&gt;"",L241&lt;&gt;"")),"×","○")</f>
        <v>○</v>
      </c>
      <c r="BE241" s="653" t="str">
        <f t="shared" ref="BE241" si="2240">IF(AND($M$7=" ",OR(M241&lt;&gt;"",O241&lt;&gt;"",P241&lt;&gt;"",Q241&lt;&gt;"")),"×","○")</f>
        <v>○</v>
      </c>
      <c r="BF241" s="653" t="str">
        <f t="shared" ref="BF241" si="2241">IF(AND($R$7=" ",OR(R241&lt;&gt;"",T241&lt;&gt;"",U241&lt;&gt;"",V241&lt;&gt;"")),"×","○")</f>
        <v>○</v>
      </c>
      <c r="BG241" s="653" t="str">
        <f t="shared" ref="BG241" si="2242">IF(AND($W$7=" ",OR(W241&lt;&gt;"",Y241&lt;&gt;"",Z241&lt;&gt;"",AA241&lt;&gt;"")),"×","○")</f>
        <v>○</v>
      </c>
      <c r="BH241" s="653" t="str">
        <f t="shared" ref="BH241" si="2243">IF(AND($AB$7=" ",OR(AB241&lt;&gt;"",AD241&lt;&gt;"",AE241&lt;&gt;"",AF241&lt;&gt;"")),"×","○")</f>
        <v>○</v>
      </c>
      <c r="BI241" s="653" t="str">
        <f t="shared" ref="BI241" si="2244">IF(AND($AG$7=" ",OR(AG241&lt;&gt;"",AI241&lt;&gt;"",AJ241&lt;&gt;"")),"×","○")</f>
        <v>○</v>
      </c>
      <c r="BJ241" s="2225" t="e">
        <f t="shared" ref="BJ241" si="2245">SUMPRODUCT(1/COUNTIF(I241:AH241,"宿泊"))</f>
        <v>#DIV/0!</v>
      </c>
      <c r="BK241" s="2226" t="e">
        <f t="shared" ref="BK241" si="2246">SUMPRODUCT(1/COUNTIF(I241:AH241,"日帰り"))</f>
        <v>#DIV/0!</v>
      </c>
      <c r="BL241" s="1381">
        <f t="shared" ref="BL241" si="2247">COUNT(BJ241)-COUNT(BK241)</f>
        <v>0</v>
      </c>
      <c r="BM241" s="684"/>
    </row>
    <row r="242" spans="1:65" ht="14.1" customHeight="1" x14ac:dyDescent="0.15">
      <c r="A242" s="652"/>
      <c r="B242" s="2174"/>
      <c r="C242" s="2144"/>
      <c r="D242" s="2007"/>
      <c r="E242" s="2005"/>
      <c r="F242" s="2042"/>
      <c r="G242" s="2119"/>
      <c r="H242" s="2107"/>
      <c r="I242" s="2112"/>
      <c r="J242" s="2113"/>
      <c r="K242" s="2105"/>
      <c r="L242" s="2127"/>
      <c r="M242" s="2112"/>
      <c r="N242" s="2113"/>
      <c r="O242" s="2105"/>
      <c r="P242" s="2105"/>
      <c r="Q242" s="2107"/>
      <c r="R242" s="2112"/>
      <c r="S242" s="2113"/>
      <c r="T242" s="2105"/>
      <c r="U242" s="2105"/>
      <c r="V242" s="2107"/>
      <c r="W242" s="2112"/>
      <c r="X242" s="2113"/>
      <c r="Y242" s="2105"/>
      <c r="Z242" s="2105"/>
      <c r="AA242" s="2107"/>
      <c r="AB242" s="2112"/>
      <c r="AC242" s="2113"/>
      <c r="AD242" s="2105"/>
      <c r="AE242" s="2105"/>
      <c r="AF242" s="2107"/>
      <c r="AG242" s="2112"/>
      <c r="AH242" s="2113"/>
      <c r="AI242" s="2105"/>
      <c r="AJ242" s="2105"/>
      <c r="AK242" s="2011"/>
      <c r="AL242" s="2012"/>
      <c r="AM242" s="2012"/>
      <c r="AN242" s="2013"/>
      <c r="AO242" s="2011"/>
      <c r="AP242" s="2012"/>
      <c r="AQ242" s="2012"/>
      <c r="AR242" s="2013"/>
      <c r="AS242" s="651"/>
      <c r="AT242" s="652"/>
      <c r="AU242" s="1983"/>
      <c r="AV242" s="1983"/>
      <c r="AW242" s="1983"/>
      <c r="AX242" s="1983"/>
      <c r="AY242" s="1983"/>
      <c r="AZ242" s="1983"/>
      <c r="BA242" s="1983"/>
      <c r="BB242" s="654"/>
      <c r="BC242" s="654"/>
      <c r="BD242" s="652"/>
      <c r="BE242" s="652"/>
      <c r="BF242" s="652"/>
      <c r="BG242" s="652"/>
      <c r="BH242" s="652"/>
      <c r="BI242" s="652"/>
      <c r="BJ242" s="2225"/>
      <c r="BK242" s="2226"/>
      <c r="BL242" s="1381"/>
      <c r="BM242" s="684"/>
    </row>
    <row r="243" spans="1:65" ht="14.1" customHeight="1" x14ac:dyDescent="0.15">
      <c r="A243" s="652" t="str">
        <f t="shared" ref="A243" si="2248">IF(AND(D243="",D245&lt;&gt;""),"×","○")</f>
        <v>○</v>
      </c>
      <c r="B243" s="2174" t="str">
        <f t="shared" ref="B243" si="2249">IF(AND(AT243="○",BB243="○",BC243="○",A243="○"),"○","×")</f>
        <v>○</v>
      </c>
      <c r="C243" s="2143">
        <v>115</v>
      </c>
      <c r="D243" s="2006"/>
      <c r="E243" s="2004"/>
      <c r="F243" s="2041"/>
      <c r="G243" s="2118"/>
      <c r="H243" s="2106"/>
      <c r="I243" s="2141"/>
      <c r="J243" s="2142"/>
      <c r="K243" s="2104"/>
      <c r="L243" s="2140"/>
      <c r="M243" s="2110"/>
      <c r="N243" s="2111"/>
      <c r="O243" s="2104"/>
      <c r="P243" s="2104"/>
      <c r="Q243" s="2106"/>
      <c r="R243" s="2110"/>
      <c r="S243" s="2111"/>
      <c r="T243" s="2104"/>
      <c r="U243" s="2104"/>
      <c r="V243" s="2106"/>
      <c r="W243" s="2110"/>
      <c r="X243" s="2111"/>
      <c r="Y243" s="2104"/>
      <c r="Z243" s="2104"/>
      <c r="AA243" s="2106"/>
      <c r="AB243" s="2110"/>
      <c r="AC243" s="2111"/>
      <c r="AD243" s="2104"/>
      <c r="AE243" s="2104"/>
      <c r="AF243" s="2106"/>
      <c r="AG243" s="2110"/>
      <c r="AH243" s="2111"/>
      <c r="AI243" s="2104"/>
      <c r="AJ243" s="2104"/>
      <c r="AK243" s="2038"/>
      <c r="AL243" s="2039"/>
      <c r="AM243" s="2039"/>
      <c r="AN243" s="2040"/>
      <c r="AO243" s="2008"/>
      <c r="AP243" s="2009"/>
      <c r="AQ243" s="2009"/>
      <c r="AR243" s="2010"/>
      <c r="AS243" s="651"/>
      <c r="AT243" s="652" t="str">
        <f t="shared" ref="AT243" si="2250">IF(OR(AND(D243&lt;&gt;"",OR(AND(E243&lt;&gt;"",F243&lt;&gt;"",OR(G243&lt;&gt;"",H243&lt;&gt;"")),AND(E243="",F243="バス・カメラマン等"))),AND(D243="",E243="",F243="",OR(G243="",H243=""))),"○","×")</f>
        <v>○</v>
      </c>
      <c r="AU243" s="1983" t="str">
        <f t="shared" ref="AU243" si="2251">IF(AND(E243&lt;&gt;"",E243&lt;=2),"2歳児以下","")</f>
        <v/>
      </c>
      <c r="AV243" s="1983" t="str">
        <f t="shared" ref="AV243" si="2252">IF(OR(AND(3&lt;=E243,E243&lt;=6),COUNTIF(E243, "幼*"),COUNTIF(E243, "年少"),COUNTIF(E243, "年中"),COUNTIF(E243, "年長")),"3歳-学齢前","")</f>
        <v/>
      </c>
      <c r="AW243" s="1983" t="str">
        <f t="shared" ref="AW243" si="2253">IF(OR(AND(6&lt;=E243,E243&lt;=12),COUNTIF(E243, "小*")),"小学生","")</f>
        <v/>
      </c>
      <c r="AX243" s="1983" t="str">
        <f t="shared" ref="AX243" si="2254">IF(OR(AND(12&lt;=E243,E243&lt;=15),COUNTIF(E243, "中*")),"中学生","")</f>
        <v/>
      </c>
      <c r="AY243" s="1983" t="str">
        <f t="shared" ref="AY243" si="2255">IF(OR(AND(15&lt;=E243,E243&lt;=18),COUNTIF(E243, "高*")),"高校生(～18歳)","")</f>
        <v/>
      </c>
      <c r="AZ243" s="1983" t="str">
        <f t="shared" ref="AZ243" si="2256">IF(OR(19&lt;=E243,COUNTIF(E243, "大*"),COUNTIF(E243, "*院*"),COUNTIF(E243, "*専*")),"一般(19歳～)","")</f>
        <v/>
      </c>
      <c r="BA243" s="1983" t="s">
        <v>475</v>
      </c>
      <c r="BB243" s="652" t="str">
        <f t="shared" ref="BB243" si="2257">IF(OR(AND(D243="",I243="",M243="",R243="",W243="",AB243="",AG243=""),AND(D243&lt;&gt;"",OR(I243&lt;&gt;"",M243&lt;&gt;"",R243&lt;&gt;"",W243&lt;&gt;"",AB243&lt;&gt;"",AG243&lt;&gt;""))),"○","×")</f>
        <v>○</v>
      </c>
      <c r="BC243" s="652" t="str">
        <f t="shared" ref="BC243" si="2258">IF(AND(BD243="○",BE243="○",BF243="○",BG243="○",BH243="○",BI243="○"),"○","×")</f>
        <v>○</v>
      </c>
      <c r="BD243" s="653" t="str">
        <f t="shared" ref="BD243" si="2259">IF(AND($I$7=" ",OR(I243&lt;&gt;"",K243&lt;&gt;"",L243&lt;&gt;"")),"×","○")</f>
        <v>○</v>
      </c>
      <c r="BE243" s="653" t="str">
        <f t="shared" ref="BE243" si="2260">IF(AND($M$7=" ",OR(M243&lt;&gt;"",O243&lt;&gt;"",P243&lt;&gt;"",Q243&lt;&gt;"")),"×","○")</f>
        <v>○</v>
      </c>
      <c r="BF243" s="653" t="str">
        <f t="shared" ref="BF243" si="2261">IF(AND($R$7=" ",OR(R243&lt;&gt;"",T243&lt;&gt;"",U243&lt;&gt;"",V243&lt;&gt;"")),"×","○")</f>
        <v>○</v>
      </c>
      <c r="BG243" s="653" t="str">
        <f t="shared" ref="BG243" si="2262">IF(AND($W$7=" ",OR(W243&lt;&gt;"",Y243&lt;&gt;"",Z243&lt;&gt;"",AA243&lt;&gt;"")),"×","○")</f>
        <v>○</v>
      </c>
      <c r="BH243" s="653" t="str">
        <f t="shared" ref="BH243" si="2263">IF(AND($AB$7=" ",OR(AB243&lt;&gt;"",AD243&lt;&gt;"",AE243&lt;&gt;"",AF243&lt;&gt;"")),"×","○")</f>
        <v>○</v>
      </c>
      <c r="BI243" s="653" t="str">
        <f t="shared" ref="BI243" si="2264">IF(AND($AG$7=" ",OR(AG243&lt;&gt;"",AI243&lt;&gt;"",AJ243&lt;&gt;"")),"×","○")</f>
        <v>○</v>
      </c>
      <c r="BJ243" s="2225" t="e">
        <f t="shared" ref="BJ243" si="2265">SUMPRODUCT(1/COUNTIF(I243:AH243,"宿泊"))</f>
        <v>#DIV/0!</v>
      </c>
      <c r="BK243" s="2226" t="e">
        <f t="shared" ref="BK243" si="2266">SUMPRODUCT(1/COUNTIF(I243:AH243,"日帰り"))</f>
        <v>#DIV/0!</v>
      </c>
      <c r="BL243" s="1381">
        <f t="shared" ref="BL243" si="2267">COUNT(BJ243)-COUNT(BK243)</f>
        <v>0</v>
      </c>
      <c r="BM243" s="684"/>
    </row>
    <row r="244" spans="1:65" ht="14.1" customHeight="1" x14ac:dyDescent="0.15">
      <c r="A244" s="652"/>
      <c r="B244" s="2174"/>
      <c r="C244" s="2144"/>
      <c r="D244" s="2007"/>
      <c r="E244" s="2005"/>
      <c r="F244" s="2042"/>
      <c r="G244" s="2119"/>
      <c r="H244" s="2107"/>
      <c r="I244" s="2112"/>
      <c r="J244" s="2113"/>
      <c r="K244" s="2105"/>
      <c r="L244" s="2127"/>
      <c r="M244" s="2112"/>
      <c r="N244" s="2113"/>
      <c r="O244" s="2105"/>
      <c r="P244" s="2105"/>
      <c r="Q244" s="2107"/>
      <c r="R244" s="2112"/>
      <c r="S244" s="2113"/>
      <c r="T244" s="2105"/>
      <c r="U244" s="2105"/>
      <c r="V244" s="2107"/>
      <c r="W244" s="2112"/>
      <c r="X244" s="2113"/>
      <c r="Y244" s="2105"/>
      <c r="Z244" s="2105"/>
      <c r="AA244" s="2107"/>
      <c r="AB244" s="2112"/>
      <c r="AC244" s="2113"/>
      <c r="AD244" s="2105"/>
      <c r="AE244" s="2105"/>
      <c r="AF244" s="2107"/>
      <c r="AG244" s="2112"/>
      <c r="AH244" s="2113"/>
      <c r="AI244" s="2105"/>
      <c r="AJ244" s="2105"/>
      <c r="AK244" s="2011"/>
      <c r="AL244" s="2012"/>
      <c r="AM244" s="2012"/>
      <c r="AN244" s="2013"/>
      <c r="AO244" s="2011"/>
      <c r="AP244" s="2012"/>
      <c r="AQ244" s="2012"/>
      <c r="AR244" s="2013"/>
      <c r="AS244" s="651"/>
      <c r="AT244" s="652"/>
      <c r="AU244" s="1983"/>
      <c r="AV244" s="1983"/>
      <c r="AW244" s="1983"/>
      <c r="AX244" s="1983"/>
      <c r="AY244" s="1983"/>
      <c r="AZ244" s="1983"/>
      <c r="BA244" s="1983"/>
      <c r="BB244" s="654"/>
      <c r="BC244" s="654"/>
      <c r="BD244" s="652"/>
      <c r="BE244" s="652"/>
      <c r="BF244" s="652"/>
      <c r="BG244" s="652"/>
      <c r="BH244" s="652"/>
      <c r="BI244" s="652"/>
      <c r="BJ244" s="2225"/>
      <c r="BK244" s="2226"/>
      <c r="BL244" s="1381"/>
      <c r="BM244" s="684"/>
    </row>
    <row r="245" spans="1:65" ht="14.1" customHeight="1" x14ac:dyDescent="0.15">
      <c r="A245" s="652" t="str">
        <f t="shared" ref="A245" si="2268">IF(AND(D245="",D247&lt;&gt;""),"×","○")</f>
        <v>○</v>
      </c>
      <c r="B245" s="2174" t="str">
        <f t="shared" ref="B245" si="2269">IF(AND(AT245="○",BB245="○",BC245="○",A245="○"),"○","×")</f>
        <v>○</v>
      </c>
      <c r="C245" s="2143">
        <v>116</v>
      </c>
      <c r="D245" s="2006"/>
      <c r="E245" s="2004"/>
      <c r="F245" s="2041"/>
      <c r="G245" s="2118"/>
      <c r="H245" s="2106"/>
      <c r="I245" s="2141"/>
      <c r="J245" s="2142"/>
      <c r="K245" s="2104"/>
      <c r="L245" s="2140"/>
      <c r="M245" s="2110"/>
      <c r="N245" s="2111"/>
      <c r="O245" s="2104"/>
      <c r="P245" s="2104"/>
      <c r="Q245" s="2106"/>
      <c r="R245" s="2110"/>
      <c r="S245" s="2111"/>
      <c r="T245" s="2104"/>
      <c r="U245" s="2104"/>
      <c r="V245" s="2106"/>
      <c r="W245" s="2110"/>
      <c r="X245" s="2111"/>
      <c r="Y245" s="2104"/>
      <c r="Z245" s="2104"/>
      <c r="AA245" s="2106"/>
      <c r="AB245" s="2110"/>
      <c r="AC245" s="2111"/>
      <c r="AD245" s="2104"/>
      <c r="AE245" s="2104"/>
      <c r="AF245" s="2106"/>
      <c r="AG245" s="2110"/>
      <c r="AH245" s="2111"/>
      <c r="AI245" s="2104"/>
      <c r="AJ245" s="2104"/>
      <c r="AK245" s="2038"/>
      <c r="AL245" s="2039"/>
      <c r="AM245" s="2039"/>
      <c r="AN245" s="2040"/>
      <c r="AO245" s="2008"/>
      <c r="AP245" s="2009"/>
      <c r="AQ245" s="2009"/>
      <c r="AR245" s="2010"/>
      <c r="AS245" s="651"/>
      <c r="AT245" s="652" t="str">
        <f t="shared" ref="AT245" si="2270">IF(OR(AND(D245&lt;&gt;"",OR(AND(E245&lt;&gt;"",F245&lt;&gt;"",OR(G245&lt;&gt;"",H245&lt;&gt;"")),AND(E245="",F245="バス・カメラマン等"))),AND(D245="",E245="",F245="",OR(G245="",H245=""))),"○","×")</f>
        <v>○</v>
      </c>
      <c r="AU245" s="1983" t="str">
        <f t="shared" ref="AU245" si="2271">IF(AND(E245&lt;&gt;"",E245&lt;=2),"2歳児以下","")</f>
        <v/>
      </c>
      <c r="AV245" s="1983" t="str">
        <f t="shared" ref="AV245" si="2272">IF(OR(AND(3&lt;=E245,E245&lt;=6),COUNTIF(E245, "幼*"),COUNTIF(E245, "年少"),COUNTIF(E245, "年中"),COUNTIF(E245, "年長")),"3歳-学齢前","")</f>
        <v/>
      </c>
      <c r="AW245" s="1983" t="str">
        <f t="shared" ref="AW245" si="2273">IF(OR(AND(6&lt;=E245,E245&lt;=12),COUNTIF(E245, "小*")),"小学生","")</f>
        <v/>
      </c>
      <c r="AX245" s="1983" t="str">
        <f t="shared" ref="AX245" si="2274">IF(OR(AND(12&lt;=E245,E245&lt;=15),COUNTIF(E245, "中*")),"中学生","")</f>
        <v/>
      </c>
      <c r="AY245" s="1983" t="str">
        <f t="shared" ref="AY245" si="2275">IF(OR(AND(15&lt;=E245,E245&lt;=18),COUNTIF(E245, "高*")),"高校生(～18歳)","")</f>
        <v/>
      </c>
      <c r="AZ245" s="1983" t="str">
        <f t="shared" ref="AZ245" si="2276">IF(OR(19&lt;=E245,COUNTIF(E245, "大*"),COUNTIF(E245, "*院*"),COUNTIF(E245, "*専*")),"一般(19歳～)","")</f>
        <v/>
      </c>
      <c r="BA245" s="1983" t="s">
        <v>475</v>
      </c>
      <c r="BB245" s="652" t="str">
        <f t="shared" ref="BB245" si="2277">IF(OR(AND(D245="",I245="",M245="",R245="",W245="",AB245="",AG245=""),AND(D245&lt;&gt;"",OR(I245&lt;&gt;"",M245&lt;&gt;"",R245&lt;&gt;"",W245&lt;&gt;"",AB245&lt;&gt;"",AG245&lt;&gt;""))),"○","×")</f>
        <v>○</v>
      </c>
      <c r="BC245" s="652" t="str">
        <f t="shared" ref="BC245" si="2278">IF(AND(BD245="○",BE245="○",BF245="○",BG245="○",BH245="○",BI245="○"),"○","×")</f>
        <v>○</v>
      </c>
      <c r="BD245" s="653" t="str">
        <f t="shared" ref="BD245" si="2279">IF(AND($I$7=" ",OR(I245&lt;&gt;"",K245&lt;&gt;"",L245&lt;&gt;"")),"×","○")</f>
        <v>○</v>
      </c>
      <c r="BE245" s="653" t="str">
        <f t="shared" ref="BE245" si="2280">IF(AND($M$7=" ",OR(M245&lt;&gt;"",O245&lt;&gt;"",P245&lt;&gt;"",Q245&lt;&gt;"")),"×","○")</f>
        <v>○</v>
      </c>
      <c r="BF245" s="653" t="str">
        <f t="shared" ref="BF245" si="2281">IF(AND($R$7=" ",OR(R245&lt;&gt;"",T245&lt;&gt;"",U245&lt;&gt;"",V245&lt;&gt;"")),"×","○")</f>
        <v>○</v>
      </c>
      <c r="BG245" s="653" t="str">
        <f t="shared" ref="BG245" si="2282">IF(AND($W$7=" ",OR(W245&lt;&gt;"",Y245&lt;&gt;"",Z245&lt;&gt;"",AA245&lt;&gt;"")),"×","○")</f>
        <v>○</v>
      </c>
      <c r="BH245" s="653" t="str">
        <f t="shared" ref="BH245" si="2283">IF(AND($AB$7=" ",OR(AB245&lt;&gt;"",AD245&lt;&gt;"",AE245&lt;&gt;"",AF245&lt;&gt;"")),"×","○")</f>
        <v>○</v>
      </c>
      <c r="BI245" s="653" t="str">
        <f t="shared" ref="BI245" si="2284">IF(AND($AG$7=" ",OR(AG245&lt;&gt;"",AI245&lt;&gt;"",AJ245&lt;&gt;"")),"×","○")</f>
        <v>○</v>
      </c>
      <c r="BJ245" s="2225" t="e">
        <f t="shared" ref="BJ245" si="2285">SUMPRODUCT(1/COUNTIF(I245:AH245,"宿泊"))</f>
        <v>#DIV/0!</v>
      </c>
      <c r="BK245" s="2226" t="e">
        <f t="shared" ref="BK245" si="2286">SUMPRODUCT(1/COUNTIF(I245:AH245,"日帰り"))</f>
        <v>#DIV/0!</v>
      </c>
      <c r="BL245" s="1381">
        <f t="shared" ref="BL245" si="2287">COUNT(BJ245)-COUNT(BK245)</f>
        <v>0</v>
      </c>
      <c r="BM245" s="684"/>
    </row>
    <row r="246" spans="1:65" ht="14.1" customHeight="1" x14ac:dyDescent="0.15">
      <c r="A246" s="652"/>
      <c r="B246" s="2174"/>
      <c r="C246" s="2144"/>
      <c r="D246" s="2007"/>
      <c r="E246" s="2005"/>
      <c r="F246" s="2042"/>
      <c r="G246" s="2119"/>
      <c r="H246" s="2107"/>
      <c r="I246" s="2112"/>
      <c r="J246" s="2113"/>
      <c r="K246" s="2105"/>
      <c r="L246" s="2127"/>
      <c r="M246" s="2112"/>
      <c r="N246" s="2113"/>
      <c r="O246" s="2105"/>
      <c r="P246" s="2105"/>
      <c r="Q246" s="2107"/>
      <c r="R246" s="2112"/>
      <c r="S246" s="2113"/>
      <c r="T246" s="2105"/>
      <c r="U246" s="2105"/>
      <c r="V246" s="2107"/>
      <c r="W246" s="2112"/>
      <c r="X246" s="2113"/>
      <c r="Y246" s="2105"/>
      <c r="Z246" s="2105"/>
      <c r="AA246" s="2107"/>
      <c r="AB246" s="2112"/>
      <c r="AC246" s="2113"/>
      <c r="AD246" s="2105"/>
      <c r="AE246" s="2105"/>
      <c r="AF246" s="2107"/>
      <c r="AG246" s="2112"/>
      <c r="AH246" s="2113"/>
      <c r="AI246" s="2105"/>
      <c r="AJ246" s="2105"/>
      <c r="AK246" s="2011"/>
      <c r="AL246" s="2012"/>
      <c r="AM246" s="2012"/>
      <c r="AN246" s="2013"/>
      <c r="AO246" s="2011"/>
      <c r="AP246" s="2012"/>
      <c r="AQ246" s="2012"/>
      <c r="AR246" s="2013"/>
      <c r="AS246" s="651"/>
      <c r="AT246" s="652"/>
      <c r="AU246" s="1983"/>
      <c r="AV246" s="1983"/>
      <c r="AW246" s="1983"/>
      <c r="AX246" s="1983"/>
      <c r="AY246" s="1983"/>
      <c r="AZ246" s="1983"/>
      <c r="BA246" s="1983"/>
      <c r="BB246" s="654"/>
      <c r="BC246" s="654"/>
      <c r="BD246" s="652"/>
      <c r="BE246" s="652"/>
      <c r="BF246" s="652"/>
      <c r="BG246" s="652"/>
      <c r="BH246" s="652"/>
      <c r="BI246" s="652"/>
      <c r="BJ246" s="2225"/>
      <c r="BK246" s="2226"/>
      <c r="BL246" s="1381"/>
      <c r="BM246" s="684"/>
    </row>
    <row r="247" spans="1:65" ht="14.1" customHeight="1" x14ac:dyDescent="0.15">
      <c r="A247" s="652" t="str">
        <f t="shared" ref="A247" si="2288">IF(AND(D247="",D249&lt;&gt;""),"×","○")</f>
        <v>○</v>
      </c>
      <c r="B247" s="2174" t="str">
        <f t="shared" ref="B247" si="2289">IF(AND(AT247="○",BB247="○",BC247="○",A247="○"),"○","×")</f>
        <v>○</v>
      </c>
      <c r="C247" s="2143">
        <v>117</v>
      </c>
      <c r="D247" s="2006"/>
      <c r="E247" s="2004"/>
      <c r="F247" s="2041"/>
      <c r="G247" s="2118"/>
      <c r="H247" s="2106"/>
      <c r="I247" s="2141"/>
      <c r="J247" s="2142"/>
      <c r="K247" s="2104"/>
      <c r="L247" s="2140"/>
      <c r="M247" s="2110"/>
      <c r="N247" s="2111"/>
      <c r="O247" s="2104"/>
      <c r="P247" s="2104"/>
      <c r="Q247" s="2106"/>
      <c r="R247" s="2110"/>
      <c r="S247" s="2111"/>
      <c r="T247" s="2104"/>
      <c r="U247" s="2104"/>
      <c r="V247" s="2106"/>
      <c r="W247" s="2110"/>
      <c r="X247" s="2111"/>
      <c r="Y247" s="2104"/>
      <c r="Z247" s="2104"/>
      <c r="AA247" s="2106"/>
      <c r="AB247" s="2110"/>
      <c r="AC247" s="2111"/>
      <c r="AD247" s="2104"/>
      <c r="AE247" s="2104"/>
      <c r="AF247" s="2106"/>
      <c r="AG247" s="2110"/>
      <c r="AH247" s="2111"/>
      <c r="AI247" s="2104"/>
      <c r="AJ247" s="2104"/>
      <c r="AK247" s="2038"/>
      <c r="AL247" s="2039"/>
      <c r="AM247" s="2039"/>
      <c r="AN247" s="2040"/>
      <c r="AO247" s="2008"/>
      <c r="AP247" s="2009"/>
      <c r="AQ247" s="2009"/>
      <c r="AR247" s="2010"/>
      <c r="AS247" s="651"/>
      <c r="AT247" s="652" t="str">
        <f t="shared" ref="AT247" si="2290">IF(OR(AND(D247&lt;&gt;"",OR(AND(E247&lt;&gt;"",F247&lt;&gt;"",OR(G247&lt;&gt;"",H247&lt;&gt;"")),AND(E247="",F247="バス・カメラマン等"))),AND(D247="",E247="",F247="",OR(G247="",H247=""))),"○","×")</f>
        <v>○</v>
      </c>
      <c r="AU247" s="1983" t="str">
        <f t="shared" ref="AU247" si="2291">IF(AND(E247&lt;&gt;"",E247&lt;=2),"2歳児以下","")</f>
        <v/>
      </c>
      <c r="AV247" s="1983" t="str">
        <f t="shared" ref="AV247" si="2292">IF(OR(AND(3&lt;=E247,E247&lt;=6),COUNTIF(E247, "幼*"),COUNTIF(E247, "年少"),COUNTIF(E247, "年中"),COUNTIF(E247, "年長")),"3歳-学齢前","")</f>
        <v/>
      </c>
      <c r="AW247" s="1983" t="str">
        <f t="shared" ref="AW247" si="2293">IF(OR(AND(6&lt;=E247,E247&lt;=12),COUNTIF(E247, "小*")),"小学生","")</f>
        <v/>
      </c>
      <c r="AX247" s="1983" t="str">
        <f t="shared" ref="AX247" si="2294">IF(OR(AND(12&lt;=E247,E247&lt;=15),COUNTIF(E247, "中*")),"中学生","")</f>
        <v/>
      </c>
      <c r="AY247" s="1983" t="str">
        <f t="shared" ref="AY247" si="2295">IF(OR(AND(15&lt;=E247,E247&lt;=18),COUNTIF(E247, "高*")),"高校生(～18歳)","")</f>
        <v/>
      </c>
      <c r="AZ247" s="1983" t="str">
        <f t="shared" ref="AZ247" si="2296">IF(OR(19&lt;=E247,COUNTIF(E247, "大*"),COUNTIF(E247, "*院*"),COUNTIF(E247, "*専*")),"一般(19歳～)","")</f>
        <v/>
      </c>
      <c r="BA247" s="1983" t="s">
        <v>475</v>
      </c>
      <c r="BB247" s="652" t="str">
        <f t="shared" ref="BB247" si="2297">IF(OR(AND(D247="",I247="",M247="",R247="",W247="",AB247="",AG247=""),AND(D247&lt;&gt;"",OR(I247&lt;&gt;"",M247&lt;&gt;"",R247&lt;&gt;"",W247&lt;&gt;"",AB247&lt;&gt;"",AG247&lt;&gt;""))),"○","×")</f>
        <v>○</v>
      </c>
      <c r="BC247" s="652" t="str">
        <f t="shared" ref="BC247" si="2298">IF(AND(BD247="○",BE247="○",BF247="○",BG247="○",BH247="○",BI247="○"),"○","×")</f>
        <v>○</v>
      </c>
      <c r="BD247" s="653" t="str">
        <f t="shared" ref="BD247" si="2299">IF(AND($I$7=" ",OR(I247&lt;&gt;"",K247&lt;&gt;"",L247&lt;&gt;"")),"×","○")</f>
        <v>○</v>
      </c>
      <c r="BE247" s="653" t="str">
        <f t="shared" ref="BE247" si="2300">IF(AND($M$7=" ",OR(M247&lt;&gt;"",O247&lt;&gt;"",P247&lt;&gt;"",Q247&lt;&gt;"")),"×","○")</f>
        <v>○</v>
      </c>
      <c r="BF247" s="653" t="str">
        <f t="shared" ref="BF247" si="2301">IF(AND($R$7=" ",OR(R247&lt;&gt;"",T247&lt;&gt;"",U247&lt;&gt;"",V247&lt;&gt;"")),"×","○")</f>
        <v>○</v>
      </c>
      <c r="BG247" s="653" t="str">
        <f t="shared" ref="BG247" si="2302">IF(AND($W$7=" ",OR(W247&lt;&gt;"",Y247&lt;&gt;"",Z247&lt;&gt;"",AA247&lt;&gt;"")),"×","○")</f>
        <v>○</v>
      </c>
      <c r="BH247" s="653" t="str">
        <f t="shared" ref="BH247" si="2303">IF(AND($AB$7=" ",OR(AB247&lt;&gt;"",AD247&lt;&gt;"",AE247&lt;&gt;"",AF247&lt;&gt;"")),"×","○")</f>
        <v>○</v>
      </c>
      <c r="BI247" s="653" t="str">
        <f t="shared" ref="BI247" si="2304">IF(AND($AG$7=" ",OR(AG247&lt;&gt;"",AI247&lt;&gt;"",AJ247&lt;&gt;"")),"×","○")</f>
        <v>○</v>
      </c>
      <c r="BJ247" s="2225" t="e">
        <f t="shared" ref="BJ247" si="2305">SUMPRODUCT(1/COUNTIF(I247:AH247,"宿泊"))</f>
        <v>#DIV/0!</v>
      </c>
      <c r="BK247" s="2226" t="e">
        <f t="shared" ref="BK247" si="2306">SUMPRODUCT(1/COUNTIF(I247:AH247,"日帰り"))</f>
        <v>#DIV/0!</v>
      </c>
      <c r="BL247" s="1381">
        <f t="shared" ref="BL247" si="2307">COUNT(BJ247)-COUNT(BK247)</f>
        <v>0</v>
      </c>
      <c r="BM247" s="684"/>
    </row>
    <row r="248" spans="1:65" ht="14.1" customHeight="1" x14ac:dyDescent="0.15">
      <c r="A248" s="652"/>
      <c r="B248" s="2174"/>
      <c r="C248" s="2144"/>
      <c r="D248" s="2007"/>
      <c r="E248" s="2005"/>
      <c r="F248" s="2042"/>
      <c r="G248" s="2119"/>
      <c r="H248" s="2107"/>
      <c r="I248" s="2112"/>
      <c r="J248" s="2113"/>
      <c r="K248" s="2105"/>
      <c r="L248" s="2127"/>
      <c r="M248" s="2112"/>
      <c r="N248" s="2113"/>
      <c r="O248" s="2105"/>
      <c r="P248" s="2105"/>
      <c r="Q248" s="2107"/>
      <c r="R248" s="2112"/>
      <c r="S248" s="2113"/>
      <c r="T248" s="2105"/>
      <c r="U248" s="2105"/>
      <c r="V248" s="2107"/>
      <c r="W248" s="2112"/>
      <c r="X248" s="2113"/>
      <c r="Y248" s="2105"/>
      <c r="Z248" s="2105"/>
      <c r="AA248" s="2107"/>
      <c r="AB248" s="2112"/>
      <c r="AC248" s="2113"/>
      <c r="AD248" s="2105"/>
      <c r="AE248" s="2105"/>
      <c r="AF248" s="2107"/>
      <c r="AG248" s="2112"/>
      <c r="AH248" s="2113"/>
      <c r="AI248" s="2105"/>
      <c r="AJ248" s="2105"/>
      <c r="AK248" s="2011"/>
      <c r="AL248" s="2012"/>
      <c r="AM248" s="2012"/>
      <c r="AN248" s="2013"/>
      <c r="AO248" s="2011"/>
      <c r="AP248" s="2012"/>
      <c r="AQ248" s="2012"/>
      <c r="AR248" s="2013"/>
      <c r="AS248" s="651"/>
      <c r="AT248" s="652"/>
      <c r="AU248" s="1983"/>
      <c r="AV248" s="1983"/>
      <c r="AW248" s="1983"/>
      <c r="AX248" s="1983"/>
      <c r="AY248" s="1983"/>
      <c r="AZ248" s="1983"/>
      <c r="BA248" s="1983"/>
      <c r="BB248" s="654"/>
      <c r="BC248" s="654"/>
      <c r="BD248" s="652"/>
      <c r="BE248" s="652"/>
      <c r="BF248" s="652"/>
      <c r="BG248" s="652"/>
      <c r="BH248" s="652"/>
      <c r="BI248" s="652"/>
      <c r="BJ248" s="2225"/>
      <c r="BK248" s="2226"/>
      <c r="BL248" s="1381"/>
      <c r="BM248" s="684"/>
    </row>
    <row r="249" spans="1:65" ht="14.1" customHeight="1" x14ac:dyDescent="0.15">
      <c r="A249" s="652" t="str">
        <f t="shared" ref="A249" si="2308">IF(AND(D249="",D251&lt;&gt;""),"×","○")</f>
        <v>○</v>
      </c>
      <c r="B249" s="2174" t="str">
        <f t="shared" ref="B249" si="2309">IF(AND(AT249="○",BB249="○",BC249="○",A249="○"),"○","×")</f>
        <v>○</v>
      </c>
      <c r="C249" s="2143">
        <v>118</v>
      </c>
      <c r="D249" s="2006"/>
      <c r="E249" s="2004"/>
      <c r="F249" s="2041"/>
      <c r="G249" s="2118"/>
      <c r="H249" s="2106"/>
      <c r="I249" s="2141"/>
      <c r="J249" s="2142"/>
      <c r="K249" s="2104"/>
      <c r="L249" s="2140"/>
      <c r="M249" s="2110"/>
      <c r="N249" s="2111"/>
      <c r="O249" s="2104"/>
      <c r="P249" s="2104"/>
      <c r="Q249" s="2106"/>
      <c r="R249" s="2110"/>
      <c r="S249" s="2111"/>
      <c r="T249" s="2104"/>
      <c r="U249" s="2104"/>
      <c r="V249" s="2106"/>
      <c r="W249" s="2110"/>
      <c r="X249" s="2111"/>
      <c r="Y249" s="2104"/>
      <c r="Z249" s="2104"/>
      <c r="AA249" s="2106"/>
      <c r="AB249" s="2110"/>
      <c r="AC249" s="2111"/>
      <c r="AD249" s="2104"/>
      <c r="AE249" s="2104"/>
      <c r="AF249" s="2106"/>
      <c r="AG249" s="2110"/>
      <c r="AH249" s="2111"/>
      <c r="AI249" s="2104"/>
      <c r="AJ249" s="2104"/>
      <c r="AK249" s="2038"/>
      <c r="AL249" s="2039"/>
      <c r="AM249" s="2039"/>
      <c r="AN249" s="2040"/>
      <c r="AO249" s="2008"/>
      <c r="AP249" s="2009"/>
      <c r="AQ249" s="2009"/>
      <c r="AR249" s="2010"/>
      <c r="AS249" s="651"/>
      <c r="AT249" s="652" t="str">
        <f t="shared" ref="AT249" si="2310">IF(OR(AND(D249&lt;&gt;"",OR(AND(E249&lt;&gt;"",F249&lt;&gt;"",OR(G249&lt;&gt;"",H249&lt;&gt;"")),AND(E249="",F249="バス・カメラマン等"))),AND(D249="",E249="",F249="",OR(G249="",H249=""))),"○","×")</f>
        <v>○</v>
      </c>
      <c r="AU249" s="1983" t="str">
        <f t="shared" ref="AU249" si="2311">IF(AND(E249&lt;&gt;"",E249&lt;=2),"2歳児以下","")</f>
        <v/>
      </c>
      <c r="AV249" s="1983" t="str">
        <f t="shared" ref="AV249" si="2312">IF(OR(AND(3&lt;=E249,E249&lt;=6),COUNTIF(E249, "幼*"),COUNTIF(E249, "年少"),COUNTIF(E249, "年中"),COUNTIF(E249, "年長")),"3歳-学齢前","")</f>
        <v/>
      </c>
      <c r="AW249" s="1983" t="str">
        <f t="shared" ref="AW249" si="2313">IF(OR(AND(6&lt;=E249,E249&lt;=12),COUNTIF(E249, "小*")),"小学生","")</f>
        <v/>
      </c>
      <c r="AX249" s="1983" t="str">
        <f t="shared" ref="AX249" si="2314">IF(OR(AND(12&lt;=E249,E249&lt;=15),COUNTIF(E249, "中*")),"中学生","")</f>
        <v/>
      </c>
      <c r="AY249" s="1983" t="str">
        <f t="shared" ref="AY249" si="2315">IF(OR(AND(15&lt;=E249,E249&lt;=18),COUNTIF(E249, "高*")),"高校生(～18歳)","")</f>
        <v/>
      </c>
      <c r="AZ249" s="1983" t="str">
        <f t="shared" ref="AZ249" si="2316">IF(OR(19&lt;=E249,COUNTIF(E249, "大*"),COUNTIF(E249, "*院*"),COUNTIF(E249, "*専*")),"一般(19歳～)","")</f>
        <v/>
      </c>
      <c r="BA249" s="1983" t="s">
        <v>475</v>
      </c>
      <c r="BB249" s="652" t="str">
        <f t="shared" ref="BB249" si="2317">IF(OR(AND(D249="",I249="",M249="",R249="",W249="",AB249="",AG249=""),AND(D249&lt;&gt;"",OR(I249&lt;&gt;"",M249&lt;&gt;"",R249&lt;&gt;"",W249&lt;&gt;"",AB249&lt;&gt;"",AG249&lt;&gt;""))),"○","×")</f>
        <v>○</v>
      </c>
      <c r="BC249" s="652" t="str">
        <f t="shared" ref="BC249" si="2318">IF(AND(BD249="○",BE249="○",BF249="○",BG249="○",BH249="○",BI249="○"),"○","×")</f>
        <v>○</v>
      </c>
      <c r="BD249" s="653" t="str">
        <f t="shared" ref="BD249" si="2319">IF(AND($I$7=" ",OR(I249&lt;&gt;"",K249&lt;&gt;"",L249&lt;&gt;"")),"×","○")</f>
        <v>○</v>
      </c>
      <c r="BE249" s="653" t="str">
        <f t="shared" ref="BE249" si="2320">IF(AND($M$7=" ",OR(M249&lt;&gt;"",O249&lt;&gt;"",P249&lt;&gt;"",Q249&lt;&gt;"")),"×","○")</f>
        <v>○</v>
      </c>
      <c r="BF249" s="653" t="str">
        <f t="shared" ref="BF249" si="2321">IF(AND($R$7=" ",OR(R249&lt;&gt;"",T249&lt;&gt;"",U249&lt;&gt;"",V249&lt;&gt;"")),"×","○")</f>
        <v>○</v>
      </c>
      <c r="BG249" s="653" t="str">
        <f t="shared" ref="BG249" si="2322">IF(AND($W$7=" ",OR(W249&lt;&gt;"",Y249&lt;&gt;"",Z249&lt;&gt;"",AA249&lt;&gt;"")),"×","○")</f>
        <v>○</v>
      </c>
      <c r="BH249" s="653" t="str">
        <f t="shared" ref="BH249" si="2323">IF(AND($AB$7=" ",OR(AB249&lt;&gt;"",AD249&lt;&gt;"",AE249&lt;&gt;"",AF249&lt;&gt;"")),"×","○")</f>
        <v>○</v>
      </c>
      <c r="BI249" s="653" t="str">
        <f t="shared" ref="BI249" si="2324">IF(AND($AG$7=" ",OR(AG249&lt;&gt;"",AI249&lt;&gt;"",AJ249&lt;&gt;"")),"×","○")</f>
        <v>○</v>
      </c>
      <c r="BJ249" s="2225" t="e">
        <f t="shared" ref="BJ249" si="2325">SUMPRODUCT(1/COUNTIF(I249:AH249,"宿泊"))</f>
        <v>#DIV/0!</v>
      </c>
      <c r="BK249" s="2226" t="e">
        <f t="shared" ref="BK249" si="2326">SUMPRODUCT(1/COUNTIF(I249:AH249,"日帰り"))</f>
        <v>#DIV/0!</v>
      </c>
      <c r="BL249" s="1381">
        <f t="shared" ref="BL249" si="2327">COUNT(BJ249)-COUNT(BK249)</f>
        <v>0</v>
      </c>
      <c r="BM249" s="684"/>
    </row>
    <row r="250" spans="1:65" ht="14.1" customHeight="1" x14ac:dyDescent="0.15">
      <c r="A250" s="652"/>
      <c r="B250" s="2174"/>
      <c r="C250" s="2144"/>
      <c r="D250" s="2007"/>
      <c r="E250" s="2005"/>
      <c r="F250" s="2042"/>
      <c r="G250" s="2119"/>
      <c r="H250" s="2107"/>
      <c r="I250" s="2112"/>
      <c r="J250" s="2113"/>
      <c r="K250" s="2105"/>
      <c r="L250" s="2127"/>
      <c r="M250" s="2112"/>
      <c r="N250" s="2113"/>
      <c r="O250" s="2105"/>
      <c r="P250" s="2105"/>
      <c r="Q250" s="2107"/>
      <c r="R250" s="2112"/>
      <c r="S250" s="2113"/>
      <c r="T250" s="2105"/>
      <c r="U250" s="2105"/>
      <c r="V250" s="2107"/>
      <c r="W250" s="2112"/>
      <c r="X250" s="2113"/>
      <c r="Y250" s="2105"/>
      <c r="Z250" s="2105"/>
      <c r="AA250" s="2107"/>
      <c r="AB250" s="2112"/>
      <c r="AC250" s="2113"/>
      <c r="AD250" s="2105"/>
      <c r="AE250" s="2105"/>
      <c r="AF250" s="2107"/>
      <c r="AG250" s="2112"/>
      <c r="AH250" s="2113"/>
      <c r="AI250" s="2105"/>
      <c r="AJ250" s="2105"/>
      <c r="AK250" s="2011"/>
      <c r="AL250" s="2012"/>
      <c r="AM250" s="2012"/>
      <c r="AN250" s="2013"/>
      <c r="AO250" s="2011"/>
      <c r="AP250" s="2012"/>
      <c r="AQ250" s="2012"/>
      <c r="AR250" s="2013"/>
      <c r="AS250" s="651"/>
      <c r="AT250" s="652"/>
      <c r="AU250" s="1983"/>
      <c r="AV250" s="1983"/>
      <c r="AW250" s="1983"/>
      <c r="AX250" s="1983"/>
      <c r="AY250" s="1983"/>
      <c r="AZ250" s="1983"/>
      <c r="BA250" s="1983"/>
      <c r="BB250" s="654"/>
      <c r="BC250" s="654"/>
      <c r="BD250" s="652"/>
      <c r="BE250" s="652"/>
      <c r="BF250" s="652"/>
      <c r="BG250" s="652"/>
      <c r="BH250" s="652"/>
      <c r="BI250" s="652"/>
      <c r="BJ250" s="2225"/>
      <c r="BK250" s="2226"/>
      <c r="BL250" s="1381"/>
      <c r="BM250" s="684"/>
    </row>
    <row r="251" spans="1:65" ht="14.1" customHeight="1" x14ac:dyDescent="0.15">
      <c r="A251" s="652" t="str">
        <f t="shared" ref="A251" si="2328">IF(AND(D251="",D253&lt;&gt;""),"×","○")</f>
        <v>○</v>
      </c>
      <c r="B251" s="2174" t="str">
        <f t="shared" ref="B251" si="2329">IF(AND(AT251="○",BB251="○",BC251="○",A251="○"),"○","×")</f>
        <v>○</v>
      </c>
      <c r="C251" s="2143">
        <v>119</v>
      </c>
      <c r="D251" s="2006"/>
      <c r="E251" s="2004"/>
      <c r="F251" s="2041"/>
      <c r="G251" s="2118"/>
      <c r="H251" s="2106"/>
      <c r="I251" s="2141"/>
      <c r="J251" s="2142"/>
      <c r="K251" s="2104"/>
      <c r="L251" s="2140"/>
      <c r="M251" s="2110"/>
      <c r="N251" s="2111"/>
      <c r="O251" s="2104"/>
      <c r="P251" s="2104"/>
      <c r="Q251" s="2106"/>
      <c r="R251" s="2110"/>
      <c r="S251" s="2111"/>
      <c r="T251" s="2104"/>
      <c r="U251" s="2104"/>
      <c r="V251" s="2106"/>
      <c r="W251" s="2110"/>
      <c r="X251" s="2111"/>
      <c r="Y251" s="2104"/>
      <c r="Z251" s="2104"/>
      <c r="AA251" s="2106"/>
      <c r="AB251" s="2110"/>
      <c r="AC251" s="2111"/>
      <c r="AD251" s="2104"/>
      <c r="AE251" s="2104"/>
      <c r="AF251" s="2106"/>
      <c r="AG251" s="2110"/>
      <c r="AH251" s="2111"/>
      <c r="AI251" s="2104"/>
      <c r="AJ251" s="2104"/>
      <c r="AK251" s="2038"/>
      <c r="AL251" s="2039"/>
      <c r="AM251" s="2039"/>
      <c r="AN251" s="2040"/>
      <c r="AO251" s="2008"/>
      <c r="AP251" s="2009"/>
      <c r="AQ251" s="2009"/>
      <c r="AR251" s="2010"/>
      <c r="AS251" s="651"/>
      <c r="AT251" s="652" t="str">
        <f t="shared" ref="AT251" si="2330">IF(OR(AND(D251&lt;&gt;"",OR(AND(E251&lt;&gt;"",F251&lt;&gt;"",OR(G251&lt;&gt;"",H251&lt;&gt;"")),AND(E251="",F251="バス・カメラマン等"))),AND(D251="",E251="",F251="",OR(G251="",H251=""))),"○","×")</f>
        <v>○</v>
      </c>
      <c r="AU251" s="1983" t="str">
        <f t="shared" ref="AU251" si="2331">IF(AND(E251&lt;&gt;"",E251&lt;=2),"2歳児以下","")</f>
        <v/>
      </c>
      <c r="AV251" s="1983" t="str">
        <f t="shared" ref="AV251" si="2332">IF(OR(AND(3&lt;=E251,E251&lt;=6),COUNTIF(E251, "幼*"),COUNTIF(E251, "年少"),COUNTIF(E251, "年中"),COUNTIF(E251, "年長")),"3歳-学齢前","")</f>
        <v/>
      </c>
      <c r="AW251" s="1983" t="str">
        <f t="shared" ref="AW251" si="2333">IF(OR(AND(6&lt;=E251,E251&lt;=12),COUNTIF(E251, "小*")),"小学生","")</f>
        <v/>
      </c>
      <c r="AX251" s="1983" t="str">
        <f t="shared" ref="AX251" si="2334">IF(OR(AND(12&lt;=E251,E251&lt;=15),COUNTIF(E251, "中*")),"中学生","")</f>
        <v/>
      </c>
      <c r="AY251" s="1983" t="str">
        <f t="shared" ref="AY251" si="2335">IF(OR(AND(15&lt;=E251,E251&lt;=18),COUNTIF(E251, "高*")),"高校生(～18歳)","")</f>
        <v/>
      </c>
      <c r="AZ251" s="1983" t="str">
        <f t="shared" ref="AZ251" si="2336">IF(OR(19&lt;=E251,COUNTIF(E251, "大*"),COUNTIF(E251, "*院*"),COUNTIF(E251, "*専*")),"一般(19歳～)","")</f>
        <v/>
      </c>
      <c r="BA251" s="1983" t="s">
        <v>475</v>
      </c>
      <c r="BB251" s="652" t="str">
        <f t="shared" ref="BB251" si="2337">IF(OR(AND(D251="",I251="",M251="",R251="",W251="",AB251="",AG251=""),AND(D251&lt;&gt;"",OR(I251&lt;&gt;"",M251&lt;&gt;"",R251&lt;&gt;"",W251&lt;&gt;"",AB251&lt;&gt;"",AG251&lt;&gt;""))),"○","×")</f>
        <v>○</v>
      </c>
      <c r="BC251" s="652" t="str">
        <f t="shared" ref="BC251" si="2338">IF(AND(BD251="○",BE251="○",BF251="○",BG251="○",BH251="○",BI251="○"),"○","×")</f>
        <v>○</v>
      </c>
      <c r="BD251" s="653" t="str">
        <f t="shared" ref="BD251" si="2339">IF(AND($I$7=" ",OR(I251&lt;&gt;"",K251&lt;&gt;"",L251&lt;&gt;"")),"×","○")</f>
        <v>○</v>
      </c>
      <c r="BE251" s="653" t="str">
        <f t="shared" ref="BE251" si="2340">IF(AND($M$7=" ",OR(M251&lt;&gt;"",O251&lt;&gt;"",P251&lt;&gt;"",Q251&lt;&gt;"")),"×","○")</f>
        <v>○</v>
      </c>
      <c r="BF251" s="653" t="str">
        <f t="shared" ref="BF251" si="2341">IF(AND($R$7=" ",OR(R251&lt;&gt;"",T251&lt;&gt;"",U251&lt;&gt;"",V251&lt;&gt;"")),"×","○")</f>
        <v>○</v>
      </c>
      <c r="BG251" s="653" t="str">
        <f t="shared" ref="BG251" si="2342">IF(AND($W$7=" ",OR(W251&lt;&gt;"",Y251&lt;&gt;"",Z251&lt;&gt;"",AA251&lt;&gt;"")),"×","○")</f>
        <v>○</v>
      </c>
      <c r="BH251" s="653" t="str">
        <f t="shared" ref="BH251" si="2343">IF(AND($AB$7=" ",OR(AB251&lt;&gt;"",AD251&lt;&gt;"",AE251&lt;&gt;"",AF251&lt;&gt;"")),"×","○")</f>
        <v>○</v>
      </c>
      <c r="BI251" s="653" t="str">
        <f t="shared" ref="BI251" si="2344">IF(AND($AG$7=" ",OR(AG251&lt;&gt;"",AI251&lt;&gt;"",AJ251&lt;&gt;"")),"×","○")</f>
        <v>○</v>
      </c>
      <c r="BJ251" s="2225" t="e">
        <f t="shared" ref="BJ251" si="2345">SUMPRODUCT(1/COUNTIF(I251:AH251,"宿泊"))</f>
        <v>#DIV/0!</v>
      </c>
      <c r="BK251" s="2226" t="e">
        <f t="shared" ref="BK251" si="2346">SUMPRODUCT(1/COUNTIF(I251:AH251,"日帰り"))</f>
        <v>#DIV/0!</v>
      </c>
      <c r="BL251" s="1381">
        <f t="shared" ref="BL251" si="2347">COUNT(BJ251)-COUNT(BK251)</f>
        <v>0</v>
      </c>
      <c r="BM251" s="684"/>
    </row>
    <row r="252" spans="1:65" ht="14.1" customHeight="1" x14ac:dyDescent="0.15">
      <c r="A252" s="652"/>
      <c r="B252" s="2174"/>
      <c r="C252" s="2144"/>
      <c r="D252" s="2007"/>
      <c r="E252" s="2005"/>
      <c r="F252" s="2042"/>
      <c r="G252" s="2119"/>
      <c r="H252" s="2107"/>
      <c r="I252" s="2112"/>
      <c r="J252" s="2113"/>
      <c r="K252" s="2105"/>
      <c r="L252" s="2127"/>
      <c r="M252" s="2112"/>
      <c r="N252" s="2113"/>
      <c r="O252" s="2105"/>
      <c r="P252" s="2105"/>
      <c r="Q252" s="2107"/>
      <c r="R252" s="2112"/>
      <c r="S252" s="2113"/>
      <c r="T252" s="2105"/>
      <c r="U252" s="2105"/>
      <c r="V252" s="2107"/>
      <c r="W252" s="2112"/>
      <c r="X252" s="2113"/>
      <c r="Y252" s="2105"/>
      <c r="Z252" s="2105"/>
      <c r="AA252" s="2107"/>
      <c r="AB252" s="2112"/>
      <c r="AC252" s="2113"/>
      <c r="AD252" s="2105"/>
      <c r="AE252" s="2105"/>
      <c r="AF252" s="2107"/>
      <c r="AG252" s="2112"/>
      <c r="AH252" s="2113"/>
      <c r="AI252" s="2105"/>
      <c r="AJ252" s="2105"/>
      <c r="AK252" s="2011"/>
      <c r="AL252" s="2012"/>
      <c r="AM252" s="2012"/>
      <c r="AN252" s="2013"/>
      <c r="AO252" s="2011"/>
      <c r="AP252" s="2012"/>
      <c r="AQ252" s="2012"/>
      <c r="AR252" s="2013"/>
      <c r="AS252" s="651"/>
      <c r="AT252" s="652"/>
      <c r="AU252" s="1983"/>
      <c r="AV252" s="1983"/>
      <c r="AW252" s="1983"/>
      <c r="AX252" s="1983"/>
      <c r="AY252" s="1983"/>
      <c r="AZ252" s="1983"/>
      <c r="BA252" s="1983"/>
      <c r="BB252" s="654"/>
      <c r="BC252" s="654"/>
      <c r="BD252" s="652"/>
      <c r="BE252" s="652"/>
      <c r="BF252" s="652"/>
      <c r="BG252" s="652"/>
      <c r="BH252" s="652"/>
      <c r="BI252" s="652"/>
      <c r="BJ252" s="2225"/>
      <c r="BK252" s="2226"/>
      <c r="BL252" s="1381"/>
      <c r="BM252" s="684"/>
    </row>
    <row r="253" spans="1:65" ht="14.1" customHeight="1" x14ac:dyDescent="0.15">
      <c r="A253" s="652" t="str">
        <f t="shared" ref="A253" si="2348">IF(AND(D253="",D255&lt;&gt;""),"×","○")</f>
        <v>○</v>
      </c>
      <c r="B253" s="2174" t="str">
        <f t="shared" ref="B253" si="2349">IF(AND(AT253="○",BB253="○",BC253="○",A253="○"),"○","×")</f>
        <v>○</v>
      </c>
      <c r="C253" s="2143">
        <v>120</v>
      </c>
      <c r="D253" s="2006"/>
      <c r="E253" s="2004"/>
      <c r="F253" s="2041"/>
      <c r="G253" s="2118"/>
      <c r="H253" s="2106"/>
      <c r="I253" s="2141"/>
      <c r="J253" s="2142"/>
      <c r="K253" s="2104"/>
      <c r="L253" s="2140"/>
      <c r="M253" s="2110"/>
      <c r="N253" s="2111"/>
      <c r="O253" s="2104"/>
      <c r="P253" s="2104"/>
      <c r="Q253" s="2106"/>
      <c r="R253" s="2110"/>
      <c r="S253" s="2111"/>
      <c r="T253" s="2104"/>
      <c r="U253" s="2104"/>
      <c r="V253" s="2106"/>
      <c r="W253" s="2110"/>
      <c r="X253" s="2111"/>
      <c r="Y253" s="2104"/>
      <c r="Z253" s="2104"/>
      <c r="AA253" s="2106"/>
      <c r="AB253" s="2110"/>
      <c r="AC253" s="2111"/>
      <c r="AD253" s="2104"/>
      <c r="AE253" s="2104"/>
      <c r="AF253" s="2106"/>
      <c r="AG253" s="2110"/>
      <c r="AH253" s="2111"/>
      <c r="AI253" s="2104"/>
      <c r="AJ253" s="2104"/>
      <c r="AK253" s="2038"/>
      <c r="AL253" s="2039"/>
      <c r="AM253" s="2039"/>
      <c r="AN253" s="2040"/>
      <c r="AO253" s="2008"/>
      <c r="AP253" s="2009"/>
      <c r="AQ253" s="2009"/>
      <c r="AR253" s="2010"/>
      <c r="AS253" s="651"/>
      <c r="AT253" s="652" t="str">
        <f t="shared" ref="AT253" si="2350">IF(OR(AND(D253&lt;&gt;"",OR(AND(E253&lt;&gt;"",F253&lt;&gt;"",OR(G253&lt;&gt;"",H253&lt;&gt;"")),AND(E253="",F253="バス・カメラマン等"))),AND(D253="",E253="",F253="",OR(G253="",H253=""))),"○","×")</f>
        <v>○</v>
      </c>
      <c r="AU253" s="1983" t="str">
        <f t="shared" ref="AU253" si="2351">IF(AND(E253&lt;&gt;"",E253&lt;=2),"2歳児以下","")</f>
        <v/>
      </c>
      <c r="AV253" s="1983" t="str">
        <f t="shared" ref="AV253" si="2352">IF(OR(AND(3&lt;=E253,E253&lt;=6),COUNTIF(E253, "幼*"),COUNTIF(E253, "年少"),COUNTIF(E253, "年中"),COUNTIF(E253, "年長")),"3歳-学齢前","")</f>
        <v/>
      </c>
      <c r="AW253" s="1983" t="str">
        <f t="shared" ref="AW253" si="2353">IF(OR(AND(6&lt;=E253,E253&lt;=12),COUNTIF(E253, "小*")),"小学生","")</f>
        <v/>
      </c>
      <c r="AX253" s="1983" t="str">
        <f t="shared" ref="AX253" si="2354">IF(OR(AND(12&lt;=E253,E253&lt;=15),COUNTIF(E253, "中*")),"中学生","")</f>
        <v/>
      </c>
      <c r="AY253" s="1983" t="str">
        <f t="shared" ref="AY253" si="2355">IF(OR(AND(15&lt;=E253,E253&lt;=18),COUNTIF(E253, "高*")),"高校生(～18歳)","")</f>
        <v/>
      </c>
      <c r="AZ253" s="1983" t="str">
        <f t="shared" ref="AZ253" si="2356">IF(OR(19&lt;=E253,COUNTIF(E253, "大*"),COUNTIF(E253, "*院*"),COUNTIF(E253, "*専*")),"一般(19歳～)","")</f>
        <v/>
      </c>
      <c r="BA253" s="1983" t="s">
        <v>475</v>
      </c>
      <c r="BB253" s="652" t="str">
        <f t="shared" ref="BB253" si="2357">IF(OR(AND(D253="",I253="",M253="",R253="",W253="",AB253="",AG253=""),AND(D253&lt;&gt;"",OR(I253&lt;&gt;"",M253&lt;&gt;"",R253&lt;&gt;"",W253&lt;&gt;"",AB253&lt;&gt;"",AG253&lt;&gt;""))),"○","×")</f>
        <v>○</v>
      </c>
      <c r="BC253" s="652" t="str">
        <f t="shared" ref="BC253" si="2358">IF(AND(BD253="○",BE253="○",BF253="○",BG253="○",BH253="○",BI253="○"),"○","×")</f>
        <v>○</v>
      </c>
      <c r="BD253" s="653" t="str">
        <f t="shared" ref="BD253" si="2359">IF(AND($I$7=" ",OR(I253&lt;&gt;"",K253&lt;&gt;"",L253&lt;&gt;"")),"×","○")</f>
        <v>○</v>
      </c>
      <c r="BE253" s="653" t="str">
        <f t="shared" ref="BE253" si="2360">IF(AND($M$7=" ",OR(M253&lt;&gt;"",O253&lt;&gt;"",P253&lt;&gt;"",Q253&lt;&gt;"")),"×","○")</f>
        <v>○</v>
      </c>
      <c r="BF253" s="653" t="str">
        <f t="shared" ref="BF253" si="2361">IF(AND($R$7=" ",OR(R253&lt;&gt;"",T253&lt;&gt;"",U253&lt;&gt;"",V253&lt;&gt;"")),"×","○")</f>
        <v>○</v>
      </c>
      <c r="BG253" s="653" t="str">
        <f t="shared" ref="BG253" si="2362">IF(AND($W$7=" ",OR(W253&lt;&gt;"",Y253&lt;&gt;"",Z253&lt;&gt;"",AA253&lt;&gt;"")),"×","○")</f>
        <v>○</v>
      </c>
      <c r="BH253" s="653" t="str">
        <f t="shared" ref="BH253" si="2363">IF(AND($AB$7=" ",OR(AB253&lt;&gt;"",AD253&lt;&gt;"",AE253&lt;&gt;"",AF253&lt;&gt;"")),"×","○")</f>
        <v>○</v>
      </c>
      <c r="BI253" s="653" t="str">
        <f t="shared" ref="BI253" si="2364">IF(AND($AG$7=" ",OR(AG253&lt;&gt;"",AI253&lt;&gt;"",AJ253&lt;&gt;"")),"×","○")</f>
        <v>○</v>
      </c>
      <c r="BJ253" s="2225" t="e">
        <f t="shared" ref="BJ253" si="2365">SUMPRODUCT(1/COUNTIF(I253:AH253,"宿泊"))</f>
        <v>#DIV/0!</v>
      </c>
      <c r="BK253" s="2226" t="e">
        <f t="shared" ref="BK253" si="2366">SUMPRODUCT(1/COUNTIF(I253:AH253,"日帰り"))</f>
        <v>#DIV/0!</v>
      </c>
      <c r="BL253" s="1381">
        <f t="shared" ref="BL253" si="2367">COUNT(BJ253)-COUNT(BK253)</f>
        <v>0</v>
      </c>
      <c r="BM253" s="684"/>
    </row>
    <row r="254" spans="1:65" ht="14.1" customHeight="1" x14ac:dyDescent="0.15">
      <c r="A254" s="652"/>
      <c r="B254" s="2174"/>
      <c r="C254" s="2144"/>
      <c r="D254" s="2007"/>
      <c r="E254" s="2005"/>
      <c r="F254" s="2042"/>
      <c r="G254" s="2119"/>
      <c r="H254" s="2107"/>
      <c r="I254" s="2112"/>
      <c r="J254" s="2113"/>
      <c r="K254" s="2105"/>
      <c r="L254" s="2127"/>
      <c r="M254" s="2112"/>
      <c r="N254" s="2113"/>
      <c r="O254" s="2105"/>
      <c r="P254" s="2105"/>
      <c r="Q254" s="2107"/>
      <c r="R254" s="2112"/>
      <c r="S254" s="2113"/>
      <c r="T254" s="2105"/>
      <c r="U254" s="2105"/>
      <c r="V254" s="2107"/>
      <c r="W254" s="2112"/>
      <c r="X254" s="2113"/>
      <c r="Y254" s="2105"/>
      <c r="Z254" s="2105"/>
      <c r="AA254" s="2107"/>
      <c r="AB254" s="2112"/>
      <c r="AC254" s="2113"/>
      <c r="AD254" s="2105"/>
      <c r="AE254" s="2105"/>
      <c r="AF254" s="2107"/>
      <c r="AG254" s="2112"/>
      <c r="AH254" s="2113"/>
      <c r="AI254" s="2105"/>
      <c r="AJ254" s="2105"/>
      <c r="AK254" s="2011"/>
      <c r="AL254" s="2012"/>
      <c r="AM254" s="2012"/>
      <c r="AN254" s="2013"/>
      <c r="AO254" s="2011"/>
      <c r="AP254" s="2012"/>
      <c r="AQ254" s="2012"/>
      <c r="AR254" s="2013"/>
      <c r="AS254" s="651"/>
      <c r="AT254" s="652"/>
      <c r="AU254" s="1983"/>
      <c r="AV254" s="1983"/>
      <c r="AW254" s="1983"/>
      <c r="AX254" s="1983"/>
      <c r="AY254" s="1983"/>
      <c r="AZ254" s="1983"/>
      <c r="BA254" s="1983"/>
      <c r="BB254" s="654"/>
      <c r="BC254" s="654"/>
      <c r="BD254" s="652"/>
      <c r="BE254" s="652"/>
      <c r="BF254" s="652"/>
      <c r="BG254" s="652"/>
      <c r="BH254" s="652"/>
      <c r="BI254" s="652"/>
      <c r="BJ254" s="2225"/>
      <c r="BK254" s="2226"/>
      <c r="BL254" s="1381"/>
      <c r="BM254" s="684"/>
    </row>
    <row r="255" spans="1:65" ht="14.1" customHeight="1" x14ac:dyDescent="0.15">
      <c r="A255" s="652" t="str">
        <f t="shared" ref="A255" si="2368">IF(AND(D255="",D257&lt;&gt;""),"×","○")</f>
        <v>○</v>
      </c>
      <c r="B255" s="2174" t="str">
        <f t="shared" ref="B255" si="2369">IF(AND(AT255="○",BB255="○",BC255="○",A255="○"),"○","×")</f>
        <v>○</v>
      </c>
      <c r="C255" s="2116">
        <v>121</v>
      </c>
      <c r="D255" s="2006"/>
      <c r="E255" s="2004"/>
      <c r="F255" s="2041"/>
      <c r="G255" s="2118"/>
      <c r="H255" s="2106"/>
      <c r="I255" s="2141"/>
      <c r="J255" s="2142"/>
      <c r="K255" s="2104"/>
      <c r="L255" s="2140"/>
      <c r="M255" s="2110"/>
      <c r="N255" s="2111"/>
      <c r="O255" s="2104"/>
      <c r="P255" s="2104"/>
      <c r="Q255" s="2106"/>
      <c r="R255" s="2110"/>
      <c r="S255" s="2111"/>
      <c r="T255" s="2104"/>
      <c r="U255" s="2104"/>
      <c r="V255" s="2106"/>
      <c r="W255" s="2110"/>
      <c r="X255" s="2111"/>
      <c r="Y255" s="2104"/>
      <c r="Z255" s="2104"/>
      <c r="AA255" s="2106"/>
      <c r="AB255" s="2110"/>
      <c r="AC255" s="2111"/>
      <c r="AD255" s="2104"/>
      <c r="AE255" s="2104"/>
      <c r="AF255" s="2106"/>
      <c r="AG255" s="2110"/>
      <c r="AH255" s="2111"/>
      <c r="AI255" s="2104"/>
      <c r="AJ255" s="2104"/>
      <c r="AK255" s="2038"/>
      <c r="AL255" s="2039"/>
      <c r="AM255" s="2039"/>
      <c r="AN255" s="2040"/>
      <c r="AO255" s="2008"/>
      <c r="AP255" s="2009"/>
      <c r="AQ255" s="2009"/>
      <c r="AR255" s="2010"/>
      <c r="AS255" s="651"/>
      <c r="AT255" s="652" t="str">
        <f t="shared" ref="AT255" si="2370">IF(OR(AND(D255&lt;&gt;"",OR(AND(E255&lt;&gt;"",F255&lt;&gt;"",OR(G255&lt;&gt;"",H255&lt;&gt;"")),AND(E255="",F255="バス・カメラマン等"))),AND(D255="",E255="",F255="",OR(G255="",H255=""))),"○","×")</f>
        <v>○</v>
      </c>
      <c r="AU255" s="1983" t="str">
        <f t="shared" ref="AU255" si="2371">IF(AND(E255&lt;&gt;"",E255&lt;=2),"2歳児以下","")</f>
        <v/>
      </c>
      <c r="AV255" s="1983" t="str">
        <f t="shared" ref="AV255" si="2372">IF(OR(AND(3&lt;=E255,E255&lt;=6),COUNTIF(E255, "幼*"),COUNTIF(E255, "年少"),COUNTIF(E255, "年中"),COUNTIF(E255, "年長")),"3歳-学齢前","")</f>
        <v/>
      </c>
      <c r="AW255" s="1983" t="str">
        <f t="shared" ref="AW255" si="2373">IF(OR(AND(6&lt;=E255,E255&lt;=12),COUNTIF(E255, "小*")),"小学生","")</f>
        <v/>
      </c>
      <c r="AX255" s="1983" t="str">
        <f t="shared" ref="AX255" si="2374">IF(OR(AND(12&lt;=E255,E255&lt;=15),COUNTIF(E255, "中*")),"中学生","")</f>
        <v/>
      </c>
      <c r="AY255" s="1983" t="str">
        <f t="shared" ref="AY255" si="2375">IF(OR(AND(15&lt;=E255,E255&lt;=18),COUNTIF(E255, "高*")),"高校生(～18歳)","")</f>
        <v/>
      </c>
      <c r="AZ255" s="1983" t="str">
        <f t="shared" ref="AZ255" si="2376">IF(OR(19&lt;=E255,COUNTIF(E255, "大*"),COUNTIF(E255, "*院*"),COUNTIF(E255, "*専*")),"一般(19歳～)","")</f>
        <v/>
      </c>
      <c r="BA255" s="1983" t="s">
        <v>475</v>
      </c>
      <c r="BB255" s="652" t="str">
        <f t="shared" ref="BB255" si="2377">IF(OR(AND(D255="",I255="",M255="",R255="",W255="",AB255="",AG255=""),AND(D255&lt;&gt;"",OR(I255&lt;&gt;"",M255&lt;&gt;"",R255&lt;&gt;"",W255&lt;&gt;"",AB255&lt;&gt;"",AG255&lt;&gt;""))),"○","×")</f>
        <v>○</v>
      </c>
      <c r="BC255" s="652" t="str">
        <f t="shared" ref="BC255" si="2378">IF(AND(BD255="○",BE255="○",BF255="○",BG255="○",BH255="○",BI255="○"),"○","×")</f>
        <v>○</v>
      </c>
      <c r="BD255" s="653" t="str">
        <f t="shared" ref="BD255" si="2379">IF(AND($I$7=" ",OR(I255&lt;&gt;"",K255&lt;&gt;"",L255&lt;&gt;"")),"×","○")</f>
        <v>○</v>
      </c>
      <c r="BE255" s="653" t="str">
        <f t="shared" ref="BE255" si="2380">IF(AND($M$7=" ",OR(M255&lt;&gt;"",O255&lt;&gt;"",P255&lt;&gt;"",Q255&lt;&gt;"")),"×","○")</f>
        <v>○</v>
      </c>
      <c r="BF255" s="653" t="str">
        <f t="shared" ref="BF255" si="2381">IF(AND($R$7=" ",OR(R255&lt;&gt;"",T255&lt;&gt;"",U255&lt;&gt;"",V255&lt;&gt;"")),"×","○")</f>
        <v>○</v>
      </c>
      <c r="BG255" s="653" t="str">
        <f t="shared" ref="BG255" si="2382">IF(AND($W$7=" ",OR(W255&lt;&gt;"",Y255&lt;&gt;"",Z255&lt;&gt;"",AA255&lt;&gt;"")),"×","○")</f>
        <v>○</v>
      </c>
      <c r="BH255" s="653" t="str">
        <f t="shared" ref="BH255" si="2383">IF(AND($AB$7=" ",OR(AB255&lt;&gt;"",AD255&lt;&gt;"",AE255&lt;&gt;"",AF255&lt;&gt;"")),"×","○")</f>
        <v>○</v>
      </c>
      <c r="BI255" s="653" t="str">
        <f t="shared" ref="BI255" si="2384">IF(AND($AG$7=" ",OR(AG255&lt;&gt;"",AI255&lt;&gt;"",AJ255&lt;&gt;"")),"×","○")</f>
        <v>○</v>
      </c>
      <c r="BJ255" s="2225" t="e">
        <f t="shared" ref="BJ255" si="2385">SUMPRODUCT(1/COUNTIF(I255:AH255,"宿泊"))</f>
        <v>#DIV/0!</v>
      </c>
      <c r="BK255" s="2226" t="e">
        <f t="shared" ref="BK255" si="2386">SUMPRODUCT(1/COUNTIF(I255:AH255,"日帰り"))</f>
        <v>#DIV/0!</v>
      </c>
      <c r="BL255" s="1381">
        <f t="shared" ref="BL255" si="2387">COUNT(BJ255)-COUNT(BK255)</f>
        <v>0</v>
      </c>
      <c r="BM255" s="684"/>
    </row>
    <row r="256" spans="1:65" ht="14.1" customHeight="1" x14ac:dyDescent="0.15">
      <c r="A256" s="652"/>
      <c r="B256" s="2174"/>
      <c r="C256" s="2117"/>
      <c r="D256" s="2007"/>
      <c r="E256" s="2005"/>
      <c r="F256" s="2042"/>
      <c r="G256" s="2119"/>
      <c r="H256" s="2107"/>
      <c r="I256" s="2112"/>
      <c r="J256" s="2113"/>
      <c r="K256" s="2105"/>
      <c r="L256" s="2127"/>
      <c r="M256" s="2112"/>
      <c r="N256" s="2113"/>
      <c r="O256" s="2105"/>
      <c r="P256" s="2105"/>
      <c r="Q256" s="2107"/>
      <c r="R256" s="2112"/>
      <c r="S256" s="2113"/>
      <c r="T256" s="2105"/>
      <c r="U256" s="2105"/>
      <c r="V256" s="2107"/>
      <c r="W256" s="2112"/>
      <c r="X256" s="2113"/>
      <c r="Y256" s="2105"/>
      <c r="Z256" s="2105"/>
      <c r="AA256" s="2107"/>
      <c r="AB256" s="2112"/>
      <c r="AC256" s="2113"/>
      <c r="AD256" s="2105"/>
      <c r="AE256" s="2105"/>
      <c r="AF256" s="2107"/>
      <c r="AG256" s="2112"/>
      <c r="AH256" s="2113"/>
      <c r="AI256" s="2105"/>
      <c r="AJ256" s="2105"/>
      <c r="AK256" s="2011"/>
      <c r="AL256" s="2012"/>
      <c r="AM256" s="2012"/>
      <c r="AN256" s="2013"/>
      <c r="AO256" s="2011"/>
      <c r="AP256" s="2012"/>
      <c r="AQ256" s="2012"/>
      <c r="AR256" s="2013"/>
      <c r="AS256" s="651"/>
      <c r="AT256" s="652"/>
      <c r="AU256" s="1983"/>
      <c r="AV256" s="1983"/>
      <c r="AW256" s="1983"/>
      <c r="AX256" s="1983"/>
      <c r="AY256" s="1983"/>
      <c r="AZ256" s="1983"/>
      <c r="BA256" s="1983"/>
      <c r="BB256" s="654"/>
      <c r="BC256" s="654"/>
      <c r="BD256" s="652"/>
      <c r="BE256" s="652"/>
      <c r="BF256" s="652"/>
      <c r="BG256" s="652"/>
      <c r="BH256" s="652"/>
      <c r="BI256" s="652"/>
      <c r="BJ256" s="2225"/>
      <c r="BK256" s="2226"/>
      <c r="BL256" s="1381"/>
      <c r="BM256" s="684"/>
    </row>
    <row r="257" spans="1:65" ht="14.1" customHeight="1" x14ac:dyDescent="0.15">
      <c r="A257" s="652" t="str">
        <f t="shared" ref="A257" si="2388">IF(AND(D257="",D259&lt;&gt;""),"×","○")</f>
        <v>○</v>
      </c>
      <c r="B257" s="2174" t="str">
        <f t="shared" ref="B257" si="2389">IF(AND(AT257="○",BB257="○",BC257="○",A257="○"),"○","×")</f>
        <v>○</v>
      </c>
      <c r="C257" s="2116">
        <v>122</v>
      </c>
      <c r="D257" s="2006"/>
      <c r="E257" s="2004"/>
      <c r="F257" s="2041"/>
      <c r="G257" s="2118"/>
      <c r="H257" s="2106"/>
      <c r="I257" s="2141"/>
      <c r="J257" s="2142"/>
      <c r="K257" s="2104"/>
      <c r="L257" s="2140"/>
      <c r="M257" s="2110"/>
      <c r="N257" s="2111"/>
      <c r="O257" s="2104"/>
      <c r="P257" s="2104"/>
      <c r="Q257" s="2106"/>
      <c r="R257" s="2110"/>
      <c r="S257" s="2111"/>
      <c r="T257" s="2104"/>
      <c r="U257" s="2104"/>
      <c r="V257" s="2106"/>
      <c r="W257" s="2110"/>
      <c r="X257" s="2111"/>
      <c r="Y257" s="2104"/>
      <c r="Z257" s="2104"/>
      <c r="AA257" s="2106"/>
      <c r="AB257" s="2110"/>
      <c r="AC257" s="2111"/>
      <c r="AD257" s="2104"/>
      <c r="AE257" s="2104"/>
      <c r="AF257" s="2106"/>
      <c r="AG257" s="2110"/>
      <c r="AH257" s="2111"/>
      <c r="AI257" s="2104"/>
      <c r="AJ257" s="2104"/>
      <c r="AK257" s="2038"/>
      <c r="AL257" s="2039"/>
      <c r="AM257" s="2039"/>
      <c r="AN257" s="2040"/>
      <c r="AO257" s="2008"/>
      <c r="AP257" s="2009"/>
      <c r="AQ257" s="2009"/>
      <c r="AR257" s="2010"/>
      <c r="AS257" s="651"/>
      <c r="AT257" s="652" t="str">
        <f t="shared" ref="AT257" si="2390">IF(OR(AND(D257&lt;&gt;"",OR(AND(E257&lt;&gt;"",F257&lt;&gt;"",OR(G257&lt;&gt;"",H257&lt;&gt;"")),AND(E257="",F257="バス・カメラマン等"))),AND(D257="",E257="",F257="",OR(G257="",H257=""))),"○","×")</f>
        <v>○</v>
      </c>
      <c r="AU257" s="1983" t="str">
        <f t="shared" ref="AU257" si="2391">IF(AND(E257&lt;&gt;"",E257&lt;=2),"2歳児以下","")</f>
        <v/>
      </c>
      <c r="AV257" s="1983" t="str">
        <f t="shared" ref="AV257" si="2392">IF(OR(AND(3&lt;=E257,E257&lt;=6),COUNTIF(E257, "幼*"),COUNTIF(E257, "年少"),COUNTIF(E257, "年中"),COUNTIF(E257, "年長")),"3歳-学齢前","")</f>
        <v/>
      </c>
      <c r="AW257" s="1983" t="str">
        <f t="shared" ref="AW257" si="2393">IF(OR(AND(6&lt;=E257,E257&lt;=12),COUNTIF(E257, "小*")),"小学生","")</f>
        <v/>
      </c>
      <c r="AX257" s="1983" t="str">
        <f t="shared" ref="AX257" si="2394">IF(OR(AND(12&lt;=E257,E257&lt;=15),COUNTIF(E257, "中*")),"中学生","")</f>
        <v/>
      </c>
      <c r="AY257" s="1983" t="str">
        <f t="shared" ref="AY257" si="2395">IF(OR(AND(15&lt;=E257,E257&lt;=18),COUNTIF(E257, "高*")),"高校生(～18歳)","")</f>
        <v/>
      </c>
      <c r="AZ257" s="1983" t="str">
        <f t="shared" ref="AZ257" si="2396">IF(OR(19&lt;=E257,COUNTIF(E257, "大*"),COUNTIF(E257, "*院*"),COUNTIF(E257, "*専*")),"一般(19歳～)","")</f>
        <v/>
      </c>
      <c r="BA257" s="1983" t="s">
        <v>475</v>
      </c>
      <c r="BB257" s="652" t="str">
        <f t="shared" ref="BB257" si="2397">IF(OR(AND(D257="",I257="",M257="",R257="",W257="",AB257="",AG257=""),AND(D257&lt;&gt;"",OR(I257&lt;&gt;"",M257&lt;&gt;"",R257&lt;&gt;"",W257&lt;&gt;"",AB257&lt;&gt;"",AG257&lt;&gt;""))),"○","×")</f>
        <v>○</v>
      </c>
      <c r="BC257" s="652" t="str">
        <f t="shared" ref="BC257" si="2398">IF(AND(BD257="○",BE257="○",BF257="○",BG257="○",BH257="○",BI257="○"),"○","×")</f>
        <v>○</v>
      </c>
      <c r="BD257" s="653" t="str">
        <f t="shared" ref="BD257" si="2399">IF(AND($I$7=" ",OR(I257&lt;&gt;"",K257&lt;&gt;"",L257&lt;&gt;"")),"×","○")</f>
        <v>○</v>
      </c>
      <c r="BE257" s="653" t="str">
        <f t="shared" ref="BE257" si="2400">IF(AND($M$7=" ",OR(M257&lt;&gt;"",O257&lt;&gt;"",P257&lt;&gt;"",Q257&lt;&gt;"")),"×","○")</f>
        <v>○</v>
      </c>
      <c r="BF257" s="653" t="str">
        <f t="shared" ref="BF257" si="2401">IF(AND($R$7=" ",OR(R257&lt;&gt;"",T257&lt;&gt;"",U257&lt;&gt;"",V257&lt;&gt;"")),"×","○")</f>
        <v>○</v>
      </c>
      <c r="BG257" s="653" t="str">
        <f t="shared" ref="BG257" si="2402">IF(AND($W$7=" ",OR(W257&lt;&gt;"",Y257&lt;&gt;"",Z257&lt;&gt;"",AA257&lt;&gt;"")),"×","○")</f>
        <v>○</v>
      </c>
      <c r="BH257" s="653" t="str">
        <f t="shared" ref="BH257" si="2403">IF(AND($AB$7=" ",OR(AB257&lt;&gt;"",AD257&lt;&gt;"",AE257&lt;&gt;"",AF257&lt;&gt;"")),"×","○")</f>
        <v>○</v>
      </c>
      <c r="BI257" s="653" t="str">
        <f t="shared" ref="BI257" si="2404">IF(AND($AG$7=" ",OR(AG257&lt;&gt;"",AI257&lt;&gt;"",AJ257&lt;&gt;"")),"×","○")</f>
        <v>○</v>
      </c>
      <c r="BJ257" s="2225" t="e">
        <f t="shared" ref="BJ257" si="2405">SUMPRODUCT(1/COUNTIF(I257:AH257,"宿泊"))</f>
        <v>#DIV/0!</v>
      </c>
      <c r="BK257" s="2226" t="e">
        <f t="shared" ref="BK257" si="2406">SUMPRODUCT(1/COUNTIF(I257:AH257,"日帰り"))</f>
        <v>#DIV/0!</v>
      </c>
      <c r="BL257" s="1381">
        <f t="shared" ref="BL257" si="2407">COUNT(BJ257)-COUNT(BK257)</f>
        <v>0</v>
      </c>
      <c r="BM257" s="684"/>
    </row>
    <row r="258" spans="1:65" ht="14.1" customHeight="1" x14ac:dyDescent="0.15">
      <c r="A258" s="652"/>
      <c r="B258" s="2174"/>
      <c r="C258" s="2117"/>
      <c r="D258" s="2007"/>
      <c r="E258" s="2005"/>
      <c r="F258" s="2042"/>
      <c r="G258" s="2119"/>
      <c r="H258" s="2107"/>
      <c r="I258" s="2112"/>
      <c r="J258" s="2113"/>
      <c r="K258" s="2105"/>
      <c r="L258" s="2127"/>
      <c r="M258" s="2112"/>
      <c r="N258" s="2113"/>
      <c r="O258" s="2105"/>
      <c r="P258" s="2105"/>
      <c r="Q258" s="2107"/>
      <c r="R258" s="2112"/>
      <c r="S258" s="2113"/>
      <c r="T258" s="2105"/>
      <c r="U258" s="2105"/>
      <c r="V258" s="2107"/>
      <c r="W258" s="2112"/>
      <c r="X258" s="2113"/>
      <c r="Y258" s="2105"/>
      <c r="Z258" s="2105"/>
      <c r="AA258" s="2107"/>
      <c r="AB258" s="2112"/>
      <c r="AC258" s="2113"/>
      <c r="AD258" s="2105"/>
      <c r="AE258" s="2105"/>
      <c r="AF258" s="2107"/>
      <c r="AG258" s="2112"/>
      <c r="AH258" s="2113"/>
      <c r="AI258" s="2105"/>
      <c r="AJ258" s="2105"/>
      <c r="AK258" s="2011"/>
      <c r="AL258" s="2012"/>
      <c r="AM258" s="2012"/>
      <c r="AN258" s="2013"/>
      <c r="AO258" s="2011"/>
      <c r="AP258" s="2012"/>
      <c r="AQ258" s="2012"/>
      <c r="AR258" s="2013"/>
      <c r="AS258" s="651"/>
      <c r="AT258" s="652"/>
      <c r="AU258" s="1983"/>
      <c r="AV258" s="1983"/>
      <c r="AW258" s="1983"/>
      <c r="AX258" s="1983"/>
      <c r="AY258" s="1983"/>
      <c r="AZ258" s="1983"/>
      <c r="BA258" s="1983"/>
      <c r="BB258" s="654"/>
      <c r="BC258" s="654"/>
      <c r="BD258" s="652"/>
      <c r="BE258" s="652"/>
      <c r="BF258" s="652"/>
      <c r="BG258" s="652"/>
      <c r="BH258" s="652"/>
      <c r="BI258" s="652"/>
      <c r="BJ258" s="2225"/>
      <c r="BK258" s="2226"/>
      <c r="BL258" s="1381"/>
      <c r="BM258" s="684"/>
    </row>
    <row r="259" spans="1:65" ht="14.1" customHeight="1" x14ac:dyDescent="0.15">
      <c r="A259" s="652" t="str">
        <f t="shared" ref="A259" si="2408">IF(AND(D259="",D261&lt;&gt;""),"×","○")</f>
        <v>○</v>
      </c>
      <c r="B259" s="2174" t="str">
        <f t="shared" ref="B259" si="2409">IF(AND(AT259="○",BB259="○",BC259="○",A259="○"),"○","×")</f>
        <v>○</v>
      </c>
      <c r="C259" s="2116">
        <v>123</v>
      </c>
      <c r="D259" s="2006"/>
      <c r="E259" s="2004"/>
      <c r="F259" s="2041"/>
      <c r="G259" s="2118"/>
      <c r="H259" s="2106"/>
      <c r="I259" s="2141"/>
      <c r="J259" s="2142"/>
      <c r="K259" s="2104"/>
      <c r="L259" s="2140"/>
      <c r="M259" s="2110"/>
      <c r="N259" s="2111"/>
      <c r="O259" s="2104"/>
      <c r="P259" s="2104"/>
      <c r="Q259" s="2106"/>
      <c r="R259" s="2110"/>
      <c r="S259" s="2111"/>
      <c r="T259" s="2104"/>
      <c r="U259" s="2104"/>
      <c r="V259" s="2106"/>
      <c r="W259" s="2110"/>
      <c r="X259" s="2111"/>
      <c r="Y259" s="2104"/>
      <c r="Z259" s="2104"/>
      <c r="AA259" s="2106"/>
      <c r="AB259" s="2110"/>
      <c r="AC259" s="2111"/>
      <c r="AD259" s="2104"/>
      <c r="AE259" s="2104"/>
      <c r="AF259" s="2106"/>
      <c r="AG259" s="2110"/>
      <c r="AH259" s="2111"/>
      <c r="AI259" s="2104"/>
      <c r="AJ259" s="2104"/>
      <c r="AK259" s="2038"/>
      <c r="AL259" s="2039"/>
      <c r="AM259" s="2039"/>
      <c r="AN259" s="2040"/>
      <c r="AO259" s="2008"/>
      <c r="AP259" s="2009"/>
      <c r="AQ259" s="2009"/>
      <c r="AR259" s="2010"/>
      <c r="AS259" s="651"/>
      <c r="AT259" s="652" t="str">
        <f t="shared" ref="AT259" si="2410">IF(OR(AND(D259&lt;&gt;"",OR(AND(E259&lt;&gt;"",F259&lt;&gt;"",OR(G259&lt;&gt;"",H259&lt;&gt;"")),AND(E259="",F259="バス・カメラマン等"))),AND(D259="",E259="",F259="",OR(G259="",H259=""))),"○","×")</f>
        <v>○</v>
      </c>
      <c r="AU259" s="1983" t="str">
        <f t="shared" ref="AU259" si="2411">IF(AND(E259&lt;&gt;"",E259&lt;=2),"2歳児以下","")</f>
        <v/>
      </c>
      <c r="AV259" s="1983" t="str">
        <f t="shared" ref="AV259" si="2412">IF(OR(AND(3&lt;=E259,E259&lt;=6),COUNTIF(E259, "幼*"),COUNTIF(E259, "年少"),COUNTIF(E259, "年中"),COUNTIF(E259, "年長")),"3歳-学齢前","")</f>
        <v/>
      </c>
      <c r="AW259" s="1983" t="str">
        <f t="shared" ref="AW259" si="2413">IF(OR(AND(6&lt;=E259,E259&lt;=12),COUNTIF(E259, "小*")),"小学生","")</f>
        <v/>
      </c>
      <c r="AX259" s="1983" t="str">
        <f t="shared" ref="AX259" si="2414">IF(OR(AND(12&lt;=E259,E259&lt;=15),COUNTIF(E259, "中*")),"中学生","")</f>
        <v/>
      </c>
      <c r="AY259" s="1983" t="str">
        <f t="shared" ref="AY259" si="2415">IF(OR(AND(15&lt;=E259,E259&lt;=18),COUNTIF(E259, "高*")),"高校生(～18歳)","")</f>
        <v/>
      </c>
      <c r="AZ259" s="1983" t="str">
        <f t="shared" ref="AZ259" si="2416">IF(OR(19&lt;=E259,COUNTIF(E259, "大*"),COUNTIF(E259, "*院*"),COUNTIF(E259, "*専*")),"一般(19歳～)","")</f>
        <v/>
      </c>
      <c r="BA259" s="1983" t="s">
        <v>475</v>
      </c>
      <c r="BB259" s="652" t="str">
        <f t="shared" ref="BB259" si="2417">IF(OR(AND(D259="",I259="",M259="",R259="",W259="",AB259="",AG259=""),AND(D259&lt;&gt;"",OR(I259&lt;&gt;"",M259&lt;&gt;"",R259&lt;&gt;"",W259&lt;&gt;"",AB259&lt;&gt;"",AG259&lt;&gt;""))),"○","×")</f>
        <v>○</v>
      </c>
      <c r="BC259" s="652" t="str">
        <f t="shared" ref="BC259" si="2418">IF(AND(BD259="○",BE259="○",BF259="○",BG259="○",BH259="○",BI259="○"),"○","×")</f>
        <v>○</v>
      </c>
      <c r="BD259" s="653" t="str">
        <f t="shared" ref="BD259" si="2419">IF(AND($I$7=" ",OR(I259&lt;&gt;"",K259&lt;&gt;"",L259&lt;&gt;"")),"×","○")</f>
        <v>○</v>
      </c>
      <c r="BE259" s="653" t="str">
        <f t="shared" ref="BE259" si="2420">IF(AND($M$7=" ",OR(M259&lt;&gt;"",O259&lt;&gt;"",P259&lt;&gt;"",Q259&lt;&gt;"")),"×","○")</f>
        <v>○</v>
      </c>
      <c r="BF259" s="653" t="str">
        <f t="shared" ref="BF259" si="2421">IF(AND($R$7=" ",OR(R259&lt;&gt;"",T259&lt;&gt;"",U259&lt;&gt;"",V259&lt;&gt;"")),"×","○")</f>
        <v>○</v>
      </c>
      <c r="BG259" s="653" t="str">
        <f t="shared" ref="BG259" si="2422">IF(AND($W$7=" ",OR(W259&lt;&gt;"",Y259&lt;&gt;"",Z259&lt;&gt;"",AA259&lt;&gt;"")),"×","○")</f>
        <v>○</v>
      </c>
      <c r="BH259" s="653" t="str">
        <f t="shared" ref="BH259" si="2423">IF(AND($AB$7=" ",OR(AB259&lt;&gt;"",AD259&lt;&gt;"",AE259&lt;&gt;"",AF259&lt;&gt;"")),"×","○")</f>
        <v>○</v>
      </c>
      <c r="BI259" s="653" t="str">
        <f t="shared" ref="BI259" si="2424">IF(AND($AG$7=" ",OR(AG259&lt;&gt;"",AI259&lt;&gt;"",AJ259&lt;&gt;"")),"×","○")</f>
        <v>○</v>
      </c>
      <c r="BJ259" s="2225" t="e">
        <f t="shared" ref="BJ259" si="2425">SUMPRODUCT(1/COUNTIF(I259:AH259,"宿泊"))</f>
        <v>#DIV/0!</v>
      </c>
      <c r="BK259" s="2226" t="e">
        <f t="shared" ref="BK259" si="2426">SUMPRODUCT(1/COUNTIF(I259:AH259,"日帰り"))</f>
        <v>#DIV/0!</v>
      </c>
      <c r="BL259" s="1381">
        <f t="shared" ref="BL259" si="2427">COUNT(BJ259)-COUNT(BK259)</f>
        <v>0</v>
      </c>
      <c r="BM259" s="684"/>
    </row>
    <row r="260" spans="1:65" ht="14.1" customHeight="1" x14ac:dyDescent="0.15">
      <c r="A260" s="652"/>
      <c r="B260" s="2174"/>
      <c r="C260" s="2117"/>
      <c r="D260" s="2007"/>
      <c r="E260" s="2005"/>
      <c r="F260" s="2042"/>
      <c r="G260" s="2119"/>
      <c r="H260" s="2107"/>
      <c r="I260" s="2112"/>
      <c r="J260" s="2113"/>
      <c r="K260" s="2105"/>
      <c r="L260" s="2127"/>
      <c r="M260" s="2112"/>
      <c r="N260" s="2113"/>
      <c r="O260" s="2105"/>
      <c r="P260" s="2105"/>
      <c r="Q260" s="2107"/>
      <c r="R260" s="2112"/>
      <c r="S260" s="2113"/>
      <c r="T260" s="2105"/>
      <c r="U260" s="2105"/>
      <c r="V260" s="2107"/>
      <c r="W260" s="2112"/>
      <c r="X260" s="2113"/>
      <c r="Y260" s="2105"/>
      <c r="Z260" s="2105"/>
      <c r="AA260" s="2107"/>
      <c r="AB260" s="2112"/>
      <c r="AC260" s="2113"/>
      <c r="AD260" s="2105"/>
      <c r="AE260" s="2105"/>
      <c r="AF260" s="2107"/>
      <c r="AG260" s="2112"/>
      <c r="AH260" s="2113"/>
      <c r="AI260" s="2105"/>
      <c r="AJ260" s="2105"/>
      <c r="AK260" s="2011"/>
      <c r="AL260" s="2012"/>
      <c r="AM260" s="2012"/>
      <c r="AN260" s="2013"/>
      <c r="AO260" s="2011"/>
      <c r="AP260" s="2012"/>
      <c r="AQ260" s="2012"/>
      <c r="AR260" s="2013"/>
      <c r="AS260" s="651"/>
      <c r="AT260" s="652"/>
      <c r="AU260" s="1983"/>
      <c r="AV260" s="1983"/>
      <c r="AW260" s="1983"/>
      <c r="AX260" s="1983"/>
      <c r="AY260" s="1983"/>
      <c r="AZ260" s="1983"/>
      <c r="BA260" s="1983"/>
      <c r="BB260" s="654"/>
      <c r="BC260" s="654"/>
      <c r="BD260" s="652"/>
      <c r="BE260" s="652"/>
      <c r="BF260" s="652"/>
      <c r="BG260" s="652"/>
      <c r="BH260" s="652"/>
      <c r="BI260" s="652"/>
      <c r="BJ260" s="2225"/>
      <c r="BK260" s="2226"/>
      <c r="BL260" s="1381"/>
      <c r="BM260" s="684"/>
    </row>
    <row r="261" spans="1:65" ht="14.1" customHeight="1" x14ac:dyDescent="0.15">
      <c r="A261" s="652" t="str">
        <f t="shared" ref="A261" si="2428">IF(AND(D261="",D263&lt;&gt;""),"×","○")</f>
        <v>○</v>
      </c>
      <c r="B261" s="2174" t="str">
        <f t="shared" ref="B261" si="2429">IF(AND(AT261="○",BB261="○",BC261="○",A261="○"),"○","×")</f>
        <v>○</v>
      </c>
      <c r="C261" s="2116">
        <v>124</v>
      </c>
      <c r="D261" s="2006"/>
      <c r="E261" s="2004"/>
      <c r="F261" s="2041"/>
      <c r="G261" s="2118"/>
      <c r="H261" s="2106"/>
      <c r="I261" s="2141"/>
      <c r="J261" s="2142"/>
      <c r="K261" s="2104"/>
      <c r="L261" s="2140"/>
      <c r="M261" s="2110"/>
      <c r="N261" s="2111"/>
      <c r="O261" s="2104"/>
      <c r="P261" s="2104"/>
      <c r="Q261" s="2106"/>
      <c r="R261" s="2110"/>
      <c r="S261" s="2111"/>
      <c r="T261" s="2104"/>
      <c r="U261" s="2104"/>
      <c r="V261" s="2106"/>
      <c r="W261" s="2110"/>
      <c r="X261" s="2111"/>
      <c r="Y261" s="2104"/>
      <c r="Z261" s="2104"/>
      <c r="AA261" s="2106"/>
      <c r="AB261" s="2110"/>
      <c r="AC261" s="2111"/>
      <c r="AD261" s="2104"/>
      <c r="AE261" s="2104"/>
      <c r="AF261" s="2106"/>
      <c r="AG261" s="2110"/>
      <c r="AH261" s="2111"/>
      <c r="AI261" s="2104"/>
      <c r="AJ261" s="2104"/>
      <c r="AK261" s="2038"/>
      <c r="AL261" s="2039"/>
      <c r="AM261" s="2039"/>
      <c r="AN261" s="2040"/>
      <c r="AO261" s="2008"/>
      <c r="AP261" s="2009"/>
      <c r="AQ261" s="2009"/>
      <c r="AR261" s="2010"/>
      <c r="AS261" s="651"/>
      <c r="AT261" s="652" t="str">
        <f t="shared" ref="AT261" si="2430">IF(OR(AND(D261&lt;&gt;"",OR(AND(E261&lt;&gt;"",F261&lt;&gt;"",OR(G261&lt;&gt;"",H261&lt;&gt;"")),AND(E261="",F261="バス・カメラマン等"))),AND(D261="",E261="",F261="",OR(G261="",H261=""))),"○","×")</f>
        <v>○</v>
      </c>
      <c r="AU261" s="1983" t="str">
        <f t="shared" ref="AU261" si="2431">IF(AND(E261&lt;&gt;"",E261&lt;=2),"2歳児以下","")</f>
        <v/>
      </c>
      <c r="AV261" s="1983" t="str">
        <f t="shared" ref="AV261" si="2432">IF(OR(AND(3&lt;=E261,E261&lt;=6),COUNTIF(E261, "幼*"),COUNTIF(E261, "年少"),COUNTIF(E261, "年中"),COUNTIF(E261, "年長")),"3歳-学齢前","")</f>
        <v/>
      </c>
      <c r="AW261" s="1983" t="str">
        <f t="shared" ref="AW261" si="2433">IF(OR(AND(6&lt;=E261,E261&lt;=12),COUNTIF(E261, "小*")),"小学生","")</f>
        <v/>
      </c>
      <c r="AX261" s="1983" t="str">
        <f t="shared" ref="AX261" si="2434">IF(OR(AND(12&lt;=E261,E261&lt;=15),COUNTIF(E261, "中*")),"中学生","")</f>
        <v/>
      </c>
      <c r="AY261" s="1983" t="str">
        <f t="shared" ref="AY261" si="2435">IF(OR(AND(15&lt;=E261,E261&lt;=18),COUNTIF(E261, "高*")),"高校生(～18歳)","")</f>
        <v/>
      </c>
      <c r="AZ261" s="1983" t="str">
        <f t="shared" ref="AZ261" si="2436">IF(OR(19&lt;=E261,COUNTIF(E261, "大*"),COUNTIF(E261, "*院*"),COUNTIF(E261, "*専*")),"一般(19歳～)","")</f>
        <v/>
      </c>
      <c r="BA261" s="1983" t="s">
        <v>475</v>
      </c>
      <c r="BB261" s="652" t="str">
        <f t="shared" ref="BB261" si="2437">IF(OR(AND(D261="",I261="",M261="",R261="",W261="",AB261="",AG261=""),AND(D261&lt;&gt;"",OR(I261&lt;&gt;"",M261&lt;&gt;"",R261&lt;&gt;"",W261&lt;&gt;"",AB261&lt;&gt;"",AG261&lt;&gt;""))),"○","×")</f>
        <v>○</v>
      </c>
      <c r="BC261" s="652" t="str">
        <f t="shared" ref="BC261" si="2438">IF(AND(BD261="○",BE261="○",BF261="○",BG261="○",BH261="○",BI261="○"),"○","×")</f>
        <v>○</v>
      </c>
      <c r="BD261" s="653" t="str">
        <f t="shared" ref="BD261" si="2439">IF(AND($I$7=" ",OR(I261&lt;&gt;"",K261&lt;&gt;"",L261&lt;&gt;"")),"×","○")</f>
        <v>○</v>
      </c>
      <c r="BE261" s="653" t="str">
        <f t="shared" ref="BE261" si="2440">IF(AND($M$7=" ",OR(M261&lt;&gt;"",O261&lt;&gt;"",P261&lt;&gt;"",Q261&lt;&gt;"")),"×","○")</f>
        <v>○</v>
      </c>
      <c r="BF261" s="653" t="str">
        <f t="shared" ref="BF261" si="2441">IF(AND($R$7=" ",OR(R261&lt;&gt;"",T261&lt;&gt;"",U261&lt;&gt;"",V261&lt;&gt;"")),"×","○")</f>
        <v>○</v>
      </c>
      <c r="BG261" s="653" t="str">
        <f t="shared" ref="BG261" si="2442">IF(AND($W$7=" ",OR(W261&lt;&gt;"",Y261&lt;&gt;"",Z261&lt;&gt;"",AA261&lt;&gt;"")),"×","○")</f>
        <v>○</v>
      </c>
      <c r="BH261" s="653" t="str">
        <f t="shared" ref="BH261" si="2443">IF(AND($AB$7=" ",OR(AB261&lt;&gt;"",AD261&lt;&gt;"",AE261&lt;&gt;"",AF261&lt;&gt;"")),"×","○")</f>
        <v>○</v>
      </c>
      <c r="BI261" s="653" t="str">
        <f t="shared" ref="BI261" si="2444">IF(AND($AG$7=" ",OR(AG261&lt;&gt;"",AI261&lt;&gt;"",AJ261&lt;&gt;"")),"×","○")</f>
        <v>○</v>
      </c>
      <c r="BJ261" s="2225" t="e">
        <f t="shared" ref="BJ261" si="2445">SUMPRODUCT(1/COUNTIF(I261:AH261,"宿泊"))</f>
        <v>#DIV/0!</v>
      </c>
      <c r="BK261" s="2226" t="e">
        <f t="shared" ref="BK261" si="2446">SUMPRODUCT(1/COUNTIF(I261:AH261,"日帰り"))</f>
        <v>#DIV/0!</v>
      </c>
      <c r="BL261" s="1381">
        <f t="shared" ref="BL261" si="2447">COUNT(BJ261)-COUNT(BK261)</f>
        <v>0</v>
      </c>
      <c r="BM261" s="684"/>
    </row>
    <row r="262" spans="1:65" ht="14.1" customHeight="1" x14ac:dyDescent="0.15">
      <c r="A262" s="652"/>
      <c r="B262" s="2174"/>
      <c r="C262" s="2117"/>
      <c r="D262" s="2007"/>
      <c r="E262" s="2005"/>
      <c r="F262" s="2042"/>
      <c r="G262" s="2119"/>
      <c r="H262" s="2107"/>
      <c r="I262" s="2112"/>
      <c r="J262" s="2113"/>
      <c r="K262" s="2105"/>
      <c r="L262" s="2127"/>
      <c r="M262" s="2112"/>
      <c r="N262" s="2113"/>
      <c r="O262" s="2105"/>
      <c r="P262" s="2105"/>
      <c r="Q262" s="2107"/>
      <c r="R262" s="2112"/>
      <c r="S262" s="2113"/>
      <c r="T262" s="2105"/>
      <c r="U262" s="2105"/>
      <c r="V262" s="2107"/>
      <c r="W262" s="2112"/>
      <c r="X262" s="2113"/>
      <c r="Y262" s="2105"/>
      <c r="Z262" s="2105"/>
      <c r="AA262" s="2107"/>
      <c r="AB262" s="2112"/>
      <c r="AC262" s="2113"/>
      <c r="AD262" s="2105"/>
      <c r="AE262" s="2105"/>
      <c r="AF262" s="2107"/>
      <c r="AG262" s="2112"/>
      <c r="AH262" s="2113"/>
      <c r="AI262" s="2105"/>
      <c r="AJ262" s="2105"/>
      <c r="AK262" s="2011"/>
      <c r="AL262" s="2012"/>
      <c r="AM262" s="2012"/>
      <c r="AN262" s="2013"/>
      <c r="AO262" s="2011"/>
      <c r="AP262" s="2012"/>
      <c r="AQ262" s="2012"/>
      <c r="AR262" s="2013"/>
      <c r="AS262" s="651"/>
      <c r="AT262" s="652"/>
      <c r="AU262" s="1983"/>
      <c r="AV262" s="1983"/>
      <c r="AW262" s="1983"/>
      <c r="AX262" s="1983"/>
      <c r="AY262" s="1983"/>
      <c r="AZ262" s="1983"/>
      <c r="BA262" s="1983"/>
      <c r="BB262" s="654"/>
      <c r="BC262" s="654"/>
      <c r="BD262" s="652"/>
      <c r="BE262" s="652"/>
      <c r="BF262" s="652"/>
      <c r="BG262" s="652"/>
      <c r="BH262" s="652"/>
      <c r="BI262" s="652"/>
      <c r="BJ262" s="2225"/>
      <c r="BK262" s="2226"/>
      <c r="BL262" s="1381"/>
      <c r="BM262" s="684"/>
    </row>
    <row r="263" spans="1:65" ht="14.1" customHeight="1" x14ac:dyDescent="0.15">
      <c r="A263" s="652" t="str">
        <f t="shared" ref="A263" si="2448">IF(AND(D263="",D265&lt;&gt;""),"×","○")</f>
        <v>○</v>
      </c>
      <c r="B263" s="2174" t="str">
        <f t="shared" ref="B263" si="2449">IF(AND(AT263="○",BB263="○",BC263="○",A263="○"),"○","×")</f>
        <v>○</v>
      </c>
      <c r="C263" s="2116">
        <v>125</v>
      </c>
      <c r="D263" s="2006"/>
      <c r="E263" s="2004"/>
      <c r="F263" s="2041"/>
      <c r="G263" s="2118"/>
      <c r="H263" s="2106"/>
      <c r="I263" s="2141"/>
      <c r="J263" s="2142"/>
      <c r="K263" s="2104"/>
      <c r="L263" s="2140"/>
      <c r="M263" s="2110"/>
      <c r="N263" s="2111"/>
      <c r="O263" s="2104"/>
      <c r="P263" s="2104"/>
      <c r="Q263" s="2106"/>
      <c r="R263" s="2110"/>
      <c r="S263" s="2111"/>
      <c r="T263" s="2104"/>
      <c r="U263" s="2104"/>
      <c r="V263" s="2106"/>
      <c r="W263" s="2110"/>
      <c r="X263" s="2111"/>
      <c r="Y263" s="2104"/>
      <c r="Z263" s="2104"/>
      <c r="AA263" s="2106"/>
      <c r="AB263" s="2110"/>
      <c r="AC263" s="2111"/>
      <c r="AD263" s="2104"/>
      <c r="AE263" s="2104"/>
      <c r="AF263" s="2106"/>
      <c r="AG263" s="2110"/>
      <c r="AH263" s="2111"/>
      <c r="AI263" s="2104"/>
      <c r="AJ263" s="2104"/>
      <c r="AK263" s="2038"/>
      <c r="AL263" s="2039"/>
      <c r="AM263" s="2039"/>
      <c r="AN263" s="2040"/>
      <c r="AO263" s="2008"/>
      <c r="AP263" s="2009"/>
      <c r="AQ263" s="2009"/>
      <c r="AR263" s="2010"/>
      <c r="AS263" s="651"/>
      <c r="AT263" s="652" t="str">
        <f t="shared" ref="AT263" si="2450">IF(OR(AND(D263&lt;&gt;"",OR(AND(E263&lt;&gt;"",F263&lt;&gt;"",OR(G263&lt;&gt;"",H263&lt;&gt;"")),AND(E263="",F263="バス・カメラマン等"))),AND(D263="",E263="",F263="",OR(G263="",H263=""))),"○","×")</f>
        <v>○</v>
      </c>
      <c r="AU263" s="1983" t="str">
        <f t="shared" ref="AU263" si="2451">IF(AND(E263&lt;&gt;"",E263&lt;=2),"2歳児以下","")</f>
        <v/>
      </c>
      <c r="AV263" s="1983" t="str">
        <f t="shared" ref="AV263" si="2452">IF(OR(AND(3&lt;=E263,E263&lt;=6),COUNTIF(E263, "幼*"),COUNTIF(E263, "年少"),COUNTIF(E263, "年中"),COUNTIF(E263, "年長")),"3歳-学齢前","")</f>
        <v/>
      </c>
      <c r="AW263" s="1983" t="str">
        <f t="shared" ref="AW263" si="2453">IF(OR(AND(6&lt;=E263,E263&lt;=12),COUNTIF(E263, "小*")),"小学生","")</f>
        <v/>
      </c>
      <c r="AX263" s="1983" t="str">
        <f t="shared" ref="AX263" si="2454">IF(OR(AND(12&lt;=E263,E263&lt;=15),COUNTIF(E263, "中*")),"中学生","")</f>
        <v/>
      </c>
      <c r="AY263" s="1983" t="str">
        <f t="shared" ref="AY263" si="2455">IF(OR(AND(15&lt;=E263,E263&lt;=18),COUNTIF(E263, "高*")),"高校生(～18歳)","")</f>
        <v/>
      </c>
      <c r="AZ263" s="1983" t="str">
        <f t="shared" ref="AZ263" si="2456">IF(OR(19&lt;=E263,COUNTIF(E263, "大*"),COUNTIF(E263, "*院*"),COUNTIF(E263, "*専*")),"一般(19歳～)","")</f>
        <v/>
      </c>
      <c r="BA263" s="1983" t="s">
        <v>475</v>
      </c>
      <c r="BB263" s="652" t="str">
        <f t="shared" ref="BB263" si="2457">IF(OR(AND(D263="",I263="",M263="",R263="",W263="",AB263="",AG263=""),AND(D263&lt;&gt;"",OR(I263&lt;&gt;"",M263&lt;&gt;"",R263&lt;&gt;"",W263&lt;&gt;"",AB263&lt;&gt;"",AG263&lt;&gt;""))),"○","×")</f>
        <v>○</v>
      </c>
      <c r="BC263" s="652" t="str">
        <f t="shared" ref="BC263" si="2458">IF(AND(BD263="○",BE263="○",BF263="○",BG263="○",BH263="○",BI263="○"),"○","×")</f>
        <v>○</v>
      </c>
      <c r="BD263" s="653" t="str">
        <f t="shared" ref="BD263" si="2459">IF(AND($I$7=" ",OR(I263&lt;&gt;"",K263&lt;&gt;"",L263&lt;&gt;"")),"×","○")</f>
        <v>○</v>
      </c>
      <c r="BE263" s="653" t="str">
        <f t="shared" ref="BE263" si="2460">IF(AND($M$7=" ",OR(M263&lt;&gt;"",O263&lt;&gt;"",P263&lt;&gt;"",Q263&lt;&gt;"")),"×","○")</f>
        <v>○</v>
      </c>
      <c r="BF263" s="653" t="str">
        <f t="shared" ref="BF263" si="2461">IF(AND($R$7=" ",OR(R263&lt;&gt;"",T263&lt;&gt;"",U263&lt;&gt;"",V263&lt;&gt;"")),"×","○")</f>
        <v>○</v>
      </c>
      <c r="BG263" s="653" t="str">
        <f t="shared" ref="BG263" si="2462">IF(AND($W$7=" ",OR(W263&lt;&gt;"",Y263&lt;&gt;"",Z263&lt;&gt;"",AA263&lt;&gt;"")),"×","○")</f>
        <v>○</v>
      </c>
      <c r="BH263" s="653" t="str">
        <f t="shared" ref="BH263" si="2463">IF(AND($AB$7=" ",OR(AB263&lt;&gt;"",AD263&lt;&gt;"",AE263&lt;&gt;"",AF263&lt;&gt;"")),"×","○")</f>
        <v>○</v>
      </c>
      <c r="BI263" s="653" t="str">
        <f t="shared" ref="BI263" si="2464">IF(AND($AG$7=" ",OR(AG263&lt;&gt;"",AI263&lt;&gt;"",AJ263&lt;&gt;"")),"×","○")</f>
        <v>○</v>
      </c>
      <c r="BJ263" s="2225" t="e">
        <f t="shared" ref="BJ263" si="2465">SUMPRODUCT(1/COUNTIF(I263:AH263,"宿泊"))</f>
        <v>#DIV/0!</v>
      </c>
      <c r="BK263" s="2226" t="e">
        <f t="shared" ref="BK263" si="2466">SUMPRODUCT(1/COUNTIF(I263:AH263,"日帰り"))</f>
        <v>#DIV/0!</v>
      </c>
      <c r="BL263" s="1381">
        <f t="shared" ref="BL263" si="2467">COUNT(BJ263)-COUNT(BK263)</f>
        <v>0</v>
      </c>
      <c r="BM263" s="684"/>
    </row>
    <row r="264" spans="1:65" ht="14.1" customHeight="1" x14ac:dyDescent="0.15">
      <c r="A264" s="652"/>
      <c r="B264" s="2174"/>
      <c r="C264" s="2117"/>
      <c r="D264" s="2007"/>
      <c r="E264" s="2005"/>
      <c r="F264" s="2042"/>
      <c r="G264" s="2119"/>
      <c r="H264" s="2107"/>
      <c r="I264" s="2112"/>
      <c r="J264" s="2113"/>
      <c r="K264" s="2105"/>
      <c r="L264" s="2127"/>
      <c r="M264" s="2112"/>
      <c r="N264" s="2113"/>
      <c r="O264" s="2105"/>
      <c r="P264" s="2105"/>
      <c r="Q264" s="2107"/>
      <c r="R264" s="2112"/>
      <c r="S264" s="2113"/>
      <c r="T264" s="2105"/>
      <c r="U264" s="2105"/>
      <c r="V264" s="2107"/>
      <c r="W264" s="2112"/>
      <c r="X264" s="2113"/>
      <c r="Y264" s="2105"/>
      <c r="Z264" s="2105"/>
      <c r="AA264" s="2107"/>
      <c r="AB264" s="2112"/>
      <c r="AC264" s="2113"/>
      <c r="AD264" s="2105"/>
      <c r="AE264" s="2105"/>
      <c r="AF264" s="2107"/>
      <c r="AG264" s="2112"/>
      <c r="AH264" s="2113"/>
      <c r="AI264" s="2105"/>
      <c r="AJ264" s="2105"/>
      <c r="AK264" s="2011"/>
      <c r="AL264" s="2012"/>
      <c r="AM264" s="2012"/>
      <c r="AN264" s="2013"/>
      <c r="AO264" s="2011"/>
      <c r="AP264" s="2012"/>
      <c r="AQ264" s="2012"/>
      <c r="AR264" s="2013"/>
      <c r="AS264" s="651"/>
      <c r="AT264" s="652"/>
      <c r="AU264" s="1983"/>
      <c r="AV264" s="1983"/>
      <c r="AW264" s="1983"/>
      <c r="AX264" s="1983"/>
      <c r="AY264" s="1983"/>
      <c r="AZ264" s="1983"/>
      <c r="BA264" s="1983"/>
      <c r="BB264" s="654"/>
      <c r="BC264" s="654"/>
      <c r="BD264" s="652"/>
      <c r="BE264" s="652"/>
      <c r="BF264" s="652"/>
      <c r="BG264" s="652"/>
      <c r="BH264" s="652"/>
      <c r="BI264" s="652"/>
      <c r="BJ264" s="2225"/>
      <c r="BK264" s="2226"/>
      <c r="BL264" s="1381"/>
      <c r="BM264" s="684"/>
    </row>
    <row r="265" spans="1:65" ht="14.1" customHeight="1" x14ac:dyDescent="0.15">
      <c r="A265" s="652" t="str">
        <f t="shared" ref="A265" si="2468">IF(AND(D265="",D267&lt;&gt;""),"×","○")</f>
        <v>○</v>
      </c>
      <c r="B265" s="2174" t="str">
        <f t="shared" ref="B265" si="2469">IF(AND(AT265="○",BB265="○",BC265="○",A265="○"),"○","×")</f>
        <v>○</v>
      </c>
      <c r="C265" s="2116">
        <v>126</v>
      </c>
      <c r="D265" s="2006"/>
      <c r="E265" s="2004"/>
      <c r="F265" s="2041"/>
      <c r="G265" s="2123"/>
      <c r="H265" s="2109"/>
      <c r="I265" s="2141"/>
      <c r="J265" s="2142"/>
      <c r="K265" s="2104"/>
      <c r="L265" s="2140"/>
      <c r="M265" s="2110"/>
      <c r="N265" s="2111"/>
      <c r="O265" s="2108"/>
      <c r="P265" s="2108"/>
      <c r="Q265" s="2109"/>
      <c r="R265" s="2110"/>
      <c r="S265" s="2111"/>
      <c r="T265" s="2108"/>
      <c r="U265" s="2108"/>
      <c r="V265" s="2109"/>
      <c r="W265" s="2110"/>
      <c r="X265" s="2111"/>
      <c r="Y265" s="2108"/>
      <c r="Z265" s="2108"/>
      <c r="AA265" s="2109"/>
      <c r="AB265" s="2110"/>
      <c r="AC265" s="2111"/>
      <c r="AD265" s="2108"/>
      <c r="AE265" s="2108"/>
      <c r="AF265" s="2109"/>
      <c r="AG265" s="2110"/>
      <c r="AH265" s="2111"/>
      <c r="AI265" s="2108"/>
      <c r="AJ265" s="2108"/>
      <c r="AK265" s="2038"/>
      <c r="AL265" s="2039"/>
      <c r="AM265" s="2039"/>
      <c r="AN265" s="2040"/>
      <c r="AO265" s="2008"/>
      <c r="AP265" s="2009"/>
      <c r="AQ265" s="2009"/>
      <c r="AR265" s="2010"/>
      <c r="AS265" s="651"/>
      <c r="AT265" s="652" t="str">
        <f t="shared" ref="AT265" si="2470">IF(OR(AND(D265&lt;&gt;"",OR(AND(E265&lt;&gt;"",F265&lt;&gt;"",OR(G265&lt;&gt;"",H265&lt;&gt;"")),AND(E265="",F265="バス・カメラマン等"))),AND(D265="",E265="",F265="",OR(G265="",H265=""))),"○","×")</f>
        <v>○</v>
      </c>
      <c r="AU265" s="1983" t="str">
        <f t="shared" ref="AU265" si="2471">IF(AND(E265&lt;&gt;"",E265&lt;=2),"2歳児以下","")</f>
        <v/>
      </c>
      <c r="AV265" s="1983" t="str">
        <f t="shared" ref="AV265" si="2472">IF(OR(AND(3&lt;=E265,E265&lt;=6),COUNTIF(E265, "幼*"),COUNTIF(E265, "年少"),COUNTIF(E265, "年中"),COUNTIF(E265, "年長")),"3歳-学齢前","")</f>
        <v/>
      </c>
      <c r="AW265" s="1983" t="str">
        <f t="shared" ref="AW265" si="2473">IF(OR(AND(6&lt;=E265,E265&lt;=12),COUNTIF(E265, "小*")),"小学生","")</f>
        <v/>
      </c>
      <c r="AX265" s="1983" t="str">
        <f t="shared" ref="AX265" si="2474">IF(OR(AND(12&lt;=E265,E265&lt;=15),COUNTIF(E265, "中*")),"中学生","")</f>
        <v/>
      </c>
      <c r="AY265" s="1983" t="str">
        <f t="shared" ref="AY265" si="2475">IF(OR(AND(15&lt;=E265,E265&lt;=18),COUNTIF(E265, "高*")),"高校生(～18歳)","")</f>
        <v/>
      </c>
      <c r="AZ265" s="1983" t="str">
        <f t="shared" ref="AZ265" si="2476">IF(OR(19&lt;=E265,COUNTIF(E265, "大*"),COUNTIF(E265, "*院*"),COUNTIF(E265, "*専*")),"一般(19歳～)","")</f>
        <v/>
      </c>
      <c r="BA265" s="1983" t="s">
        <v>475</v>
      </c>
      <c r="BB265" s="652" t="str">
        <f t="shared" ref="BB265" si="2477">IF(OR(AND(D265="",I265="",M265="",R265="",W265="",AB265="",AG265=""),AND(D265&lt;&gt;"",OR(I265&lt;&gt;"",M265&lt;&gt;"",R265&lt;&gt;"",W265&lt;&gt;"",AB265&lt;&gt;"",AG265&lt;&gt;""))),"○","×")</f>
        <v>○</v>
      </c>
      <c r="BC265" s="652" t="str">
        <f t="shared" ref="BC265" si="2478">IF(AND(BD265="○",BE265="○",BF265="○",BG265="○",BH265="○",BI265="○"),"○","×")</f>
        <v>○</v>
      </c>
      <c r="BD265" s="653" t="str">
        <f t="shared" ref="BD265" si="2479">IF(AND($I$7=" ",OR(I265&lt;&gt;"",K265&lt;&gt;"",L265&lt;&gt;"")),"×","○")</f>
        <v>○</v>
      </c>
      <c r="BE265" s="653" t="str">
        <f t="shared" ref="BE265" si="2480">IF(AND($M$7=" ",OR(M265&lt;&gt;"",O265&lt;&gt;"",P265&lt;&gt;"",Q265&lt;&gt;"")),"×","○")</f>
        <v>○</v>
      </c>
      <c r="BF265" s="653" t="str">
        <f t="shared" ref="BF265" si="2481">IF(AND($R$7=" ",OR(R265&lt;&gt;"",T265&lt;&gt;"",U265&lt;&gt;"",V265&lt;&gt;"")),"×","○")</f>
        <v>○</v>
      </c>
      <c r="BG265" s="653" t="str">
        <f t="shared" ref="BG265" si="2482">IF(AND($W$7=" ",OR(W265&lt;&gt;"",Y265&lt;&gt;"",Z265&lt;&gt;"",AA265&lt;&gt;"")),"×","○")</f>
        <v>○</v>
      </c>
      <c r="BH265" s="653" t="str">
        <f t="shared" ref="BH265" si="2483">IF(AND($AB$7=" ",OR(AB265&lt;&gt;"",AD265&lt;&gt;"",AE265&lt;&gt;"",AF265&lt;&gt;"")),"×","○")</f>
        <v>○</v>
      </c>
      <c r="BI265" s="653" t="str">
        <f t="shared" ref="BI265" si="2484">IF(AND($AG$7=" ",OR(AG265&lt;&gt;"",AI265&lt;&gt;"",AJ265&lt;&gt;"")),"×","○")</f>
        <v>○</v>
      </c>
      <c r="BJ265" s="2225" t="e">
        <f t="shared" ref="BJ265" si="2485">SUMPRODUCT(1/COUNTIF(I265:AH265,"宿泊"))</f>
        <v>#DIV/0!</v>
      </c>
      <c r="BK265" s="2226" t="e">
        <f t="shared" ref="BK265" si="2486">SUMPRODUCT(1/COUNTIF(I265:AH265,"日帰り"))</f>
        <v>#DIV/0!</v>
      </c>
      <c r="BL265" s="1381">
        <f t="shared" ref="BL265" si="2487">COUNT(BJ265)-COUNT(BK265)</f>
        <v>0</v>
      </c>
      <c r="BM265" s="684"/>
    </row>
    <row r="266" spans="1:65" ht="14.1" customHeight="1" x14ac:dyDescent="0.15">
      <c r="A266" s="652"/>
      <c r="B266" s="2174"/>
      <c r="C266" s="2117"/>
      <c r="D266" s="2007"/>
      <c r="E266" s="2005"/>
      <c r="F266" s="2042"/>
      <c r="G266" s="2119"/>
      <c r="H266" s="2107"/>
      <c r="I266" s="2112"/>
      <c r="J266" s="2113"/>
      <c r="K266" s="2105"/>
      <c r="L266" s="2127"/>
      <c r="M266" s="2112"/>
      <c r="N266" s="2113"/>
      <c r="O266" s="2105"/>
      <c r="P266" s="2105"/>
      <c r="Q266" s="2107"/>
      <c r="R266" s="2112"/>
      <c r="S266" s="2113"/>
      <c r="T266" s="2105"/>
      <c r="U266" s="2105"/>
      <c r="V266" s="2107"/>
      <c r="W266" s="2112"/>
      <c r="X266" s="2113"/>
      <c r="Y266" s="2105"/>
      <c r="Z266" s="2105"/>
      <c r="AA266" s="2107"/>
      <c r="AB266" s="2112"/>
      <c r="AC266" s="2113"/>
      <c r="AD266" s="2105"/>
      <c r="AE266" s="2105"/>
      <c r="AF266" s="2107"/>
      <c r="AG266" s="2112"/>
      <c r="AH266" s="2113"/>
      <c r="AI266" s="2105"/>
      <c r="AJ266" s="2105"/>
      <c r="AK266" s="2011"/>
      <c r="AL266" s="2012"/>
      <c r="AM266" s="2012"/>
      <c r="AN266" s="2013"/>
      <c r="AO266" s="2011"/>
      <c r="AP266" s="2012"/>
      <c r="AQ266" s="2012"/>
      <c r="AR266" s="2013"/>
      <c r="AS266" s="651"/>
      <c r="AT266" s="652"/>
      <c r="AU266" s="1983"/>
      <c r="AV266" s="1983"/>
      <c r="AW266" s="1983"/>
      <c r="AX266" s="1983"/>
      <c r="AY266" s="1983"/>
      <c r="AZ266" s="1983"/>
      <c r="BA266" s="1983"/>
      <c r="BB266" s="654"/>
      <c r="BC266" s="654"/>
      <c r="BD266" s="652"/>
      <c r="BE266" s="652"/>
      <c r="BF266" s="652"/>
      <c r="BG266" s="652"/>
      <c r="BH266" s="652"/>
      <c r="BI266" s="652"/>
      <c r="BJ266" s="2225"/>
      <c r="BK266" s="2226"/>
      <c r="BL266" s="1381"/>
      <c r="BM266" s="684"/>
    </row>
    <row r="267" spans="1:65" ht="14.1" customHeight="1" x14ac:dyDescent="0.15">
      <c r="A267" s="652" t="str">
        <f t="shared" ref="A267" si="2488">IF(AND(D267="",D269&lt;&gt;""),"×","○")</f>
        <v>○</v>
      </c>
      <c r="B267" s="2174" t="str">
        <f t="shared" ref="B267" si="2489">IF(AND(AT267="○",BB267="○",BC267="○",A267="○"),"○","×")</f>
        <v>○</v>
      </c>
      <c r="C267" s="2116">
        <v>127</v>
      </c>
      <c r="D267" s="2006"/>
      <c r="E267" s="2004"/>
      <c r="F267" s="2041"/>
      <c r="G267" s="2118"/>
      <c r="H267" s="2106"/>
      <c r="I267" s="2141"/>
      <c r="J267" s="2142"/>
      <c r="K267" s="2104"/>
      <c r="L267" s="2140"/>
      <c r="M267" s="2110"/>
      <c r="N267" s="2111"/>
      <c r="O267" s="2104"/>
      <c r="P267" s="2104"/>
      <c r="Q267" s="2106"/>
      <c r="R267" s="2110"/>
      <c r="S267" s="2111"/>
      <c r="T267" s="2104"/>
      <c r="U267" s="2104"/>
      <c r="V267" s="2106"/>
      <c r="W267" s="2110"/>
      <c r="X267" s="2111"/>
      <c r="Y267" s="2104"/>
      <c r="Z267" s="2104"/>
      <c r="AA267" s="2106"/>
      <c r="AB267" s="2110"/>
      <c r="AC267" s="2111"/>
      <c r="AD267" s="2104"/>
      <c r="AE267" s="2104"/>
      <c r="AF267" s="2106"/>
      <c r="AG267" s="2110"/>
      <c r="AH267" s="2111"/>
      <c r="AI267" s="2104"/>
      <c r="AJ267" s="2104"/>
      <c r="AK267" s="2038"/>
      <c r="AL267" s="2039"/>
      <c r="AM267" s="2039"/>
      <c r="AN267" s="2040"/>
      <c r="AO267" s="2008"/>
      <c r="AP267" s="2009"/>
      <c r="AQ267" s="2009"/>
      <c r="AR267" s="2010"/>
      <c r="AS267" s="651"/>
      <c r="AT267" s="652" t="str">
        <f t="shared" ref="AT267" si="2490">IF(OR(AND(D267&lt;&gt;"",OR(AND(E267&lt;&gt;"",F267&lt;&gt;"",OR(G267&lt;&gt;"",H267&lt;&gt;"")),AND(E267="",F267="バス・カメラマン等"))),AND(D267="",E267="",F267="",OR(G267="",H267=""))),"○","×")</f>
        <v>○</v>
      </c>
      <c r="AU267" s="1983" t="str">
        <f t="shared" ref="AU267" si="2491">IF(AND(E267&lt;&gt;"",E267&lt;=2),"2歳児以下","")</f>
        <v/>
      </c>
      <c r="AV267" s="1983" t="str">
        <f t="shared" ref="AV267" si="2492">IF(OR(AND(3&lt;=E267,E267&lt;=6),COUNTIF(E267, "幼*"),COUNTIF(E267, "年少"),COUNTIF(E267, "年中"),COUNTIF(E267, "年長")),"3歳-学齢前","")</f>
        <v/>
      </c>
      <c r="AW267" s="1983" t="str">
        <f t="shared" ref="AW267" si="2493">IF(OR(AND(6&lt;=E267,E267&lt;=12),COUNTIF(E267, "小*")),"小学生","")</f>
        <v/>
      </c>
      <c r="AX267" s="1983" t="str">
        <f t="shared" ref="AX267" si="2494">IF(OR(AND(12&lt;=E267,E267&lt;=15),COUNTIF(E267, "中*")),"中学生","")</f>
        <v/>
      </c>
      <c r="AY267" s="1983" t="str">
        <f t="shared" ref="AY267" si="2495">IF(OR(AND(15&lt;=E267,E267&lt;=18),COUNTIF(E267, "高*")),"高校生(～18歳)","")</f>
        <v/>
      </c>
      <c r="AZ267" s="1983" t="str">
        <f t="shared" ref="AZ267" si="2496">IF(OR(19&lt;=E267,COUNTIF(E267, "大*"),COUNTIF(E267, "*院*"),COUNTIF(E267, "*専*")),"一般(19歳～)","")</f>
        <v/>
      </c>
      <c r="BA267" s="1983" t="s">
        <v>475</v>
      </c>
      <c r="BB267" s="652" t="str">
        <f t="shared" ref="BB267" si="2497">IF(OR(AND(D267="",I267="",M267="",R267="",W267="",AB267="",AG267=""),AND(D267&lt;&gt;"",OR(I267&lt;&gt;"",M267&lt;&gt;"",R267&lt;&gt;"",W267&lt;&gt;"",AB267&lt;&gt;"",AG267&lt;&gt;""))),"○","×")</f>
        <v>○</v>
      </c>
      <c r="BC267" s="652" t="str">
        <f t="shared" ref="BC267" si="2498">IF(AND(BD267="○",BE267="○",BF267="○",BG267="○",BH267="○",BI267="○"),"○","×")</f>
        <v>○</v>
      </c>
      <c r="BD267" s="653" t="str">
        <f t="shared" ref="BD267" si="2499">IF(AND($I$7=" ",OR(I267&lt;&gt;"",K267&lt;&gt;"",L267&lt;&gt;"")),"×","○")</f>
        <v>○</v>
      </c>
      <c r="BE267" s="653" t="str">
        <f t="shared" ref="BE267" si="2500">IF(AND($M$7=" ",OR(M267&lt;&gt;"",O267&lt;&gt;"",P267&lt;&gt;"",Q267&lt;&gt;"")),"×","○")</f>
        <v>○</v>
      </c>
      <c r="BF267" s="653" t="str">
        <f t="shared" ref="BF267" si="2501">IF(AND($R$7=" ",OR(R267&lt;&gt;"",T267&lt;&gt;"",U267&lt;&gt;"",V267&lt;&gt;"")),"×","○")</f>
        <v>○</v>
      </c>
      <c r="BG267" s="653" t="str">
        <f t="shared" ref="BG267" si="2502">IF(AND($W$7=" ",OR(W267&lt;&gt;"",Y267&lt;&gt;"",Z267&lt;&gt;"",AA267&lt;&gt;"")),"×","○")</f>
        <v>○</v>
      </c>
      <c r="BH267" s="653" t="str">
        <f t="shared" ref="BH267" si="2503">IF(AND($AB$7=" ",OR(AB267&lt;&gt;"",AD267&lt;&gt;"",AE267&lt;&gt;"",AF267&lt;&gt;"")),"×","○")</f>
        <v>○</v>
      </c>
      <c r="BI267" s="653" t="str">
        <f t="shared" ref="BI267" si="2504">IF(AND($AG$7=" ",OR(AG267&lt;&gt;"",AI267&lt;&gt;"",AJ267&lt;&gt;"")),"×","○")</f>
        <v>○</v>
      </c>
      <c r="BJ267" s="2225" t="e">
        <f t="shared" ref="BJ267" si="2505">SUMPRODUCT(1/COUNTIF(I267:AH267,"宿泊"))</f>
        <v>#DIV/0!</v>
      </c>
      <c r="BK267" s="2226" t="e">
        <f t="shared" ref="BK267" si="2506">SUMPRODUCT(1/COUNTIF(I267:AH267,"日帰り"))</f>
        <v>#DIV/0!</v>
      </c>
      <c r="BL267" s="1381">
        <f t="shared" ref="BL267" si="2507">COUNT(BJ267)-COUNT(BK267)</f>
        <v>0</v>
      </c>
      <c r="BM267" s="684"/>
    </row>
    <row r="268" spans="1:65" ht="14.1" customHeight="1" x14ac:dyDescent="0.15">
      <c r="A268" s="652"/>
      <c r="B268" s="2174"/>
      <c r="C268" s="2117"/>
      <c r="D268" s="2007"/>
      <c r="E268" s="2005"/>
      <c r="F268" s="2042"/>
      <c r="G268" s="2119"/>
      <c r="H268" s="2107"/>
      <c r="I268" s="2112"/>
      <c r="J268" s="2113"/>
      <c r="K268" s="2105"/>
      <c r="L268" s="2127"/>
      <c r="M268" s="2112"/>
      <c r="N268" s="2113"/>
      <c r="O268" s="2105"/>
      <c r="P268" s="2105"/>
      <c r="Q268" s="2107"/>
      <c r="R268" s="2112"/>
      <c r="S268" s="2113"/>
      <c r="T268" s="2105"/>
      <c r="U268" s="2105"/>
      <c r="V268" s="2107"/>
      <c r="W268" s="2112"/>
      <c r="X268" s="2113"/>
      <c r="Y268" s="2105"/>
      <c r="Z268" s="2105"/>
      <c r="AA268" s="2107"/>
      <c r="AB268" s="2112"/>
      <c r="AC268" s="2113"/>
      <c r="AD268" s="2105"/>
      <c r="AE268" s="2105"/>
      <c r="AF268" s="2107"/>
      <c r="AG268" s="2112"/>
      <c r="AH268" s="2113"/>
      <c r="AI268" s="2105"/>
      <c r="AJ268" s="2105"/>
      <c r="AK268" s="2011"/>
      <c r="AL268" s="2012"/>
      <c r="AM268" s="2012"/>
      <c r="AN268" s="2013"/>
      <c r="AO268" s="2011"/>
      <c r="AP268" s="2012"/>
      <c r="AQ268" s="2012"/>
      <c r="AR268" s="2013"/>
      <c r="AS268" s="651"/>
      <c r="AT268" s="652"/>
      <c r="AU268" s="1983"/>
      <c r="AV268" s="1983"/>
      <c r="AW268" s="1983"/>
      <c r="AX268" s="1983"/>
      <c r="AY268" s="1983"/>
      <c r="AZ268" s="1983"/>
      <c r="BA268" s="1983"/>
      <c r="BB268" s="654"/>
      <c r="BC268" s="654"/>
      <c r="BD268" s="652"/>
      <c r="BE268" s="652"/>
      <c r="BF268" s="652"/>
      <c r="BG268" s="652"/>
      <c r="BH268" s="652"/>
      <c r="BI268" s="652"/>
      <c r="BJ268" s="2225"/>
      <c r="BK268" s="2226"/>
      <c r="BL268" s="1381"/>
      <c r="BM268" s="684"/>
    </row>
    <row r="269" spans="1:65" ht="14.1" customHeight="1" x14ac:dyDescent="0.15">
      <c r="A269" s="652" t="str">
        <f t="shared" ref="A269" si="2508">IF(AND(D269="",D271&lt;&gt;""),"×","○")</f>
        <v>○</v>
      </c>
      <c r="B269" s="2174" t="str">
        <f t="shared" ref="B269" si="2509">IF(AND(AT269="○",BB269="○",BC269="○",A269="○"),"○","×")</f>
        <v>○</v>
      </c>
      <c r="C269" s="2116">
        <v>128</v>
      </c>
      <c r="D269" s="2006"/>
      <c r="E269" s="2004"/>
      <c r="F269" s="2041"/>
      <c r="G269" s="2118"/>
      <c r="H269" s="2106"/>
      <c r="I269" s="2141"/>
      <c r="J269" s="2142"/>
      <c r="K269" s="2104"/>
      <c r="L269" s="2140"/>
      <c r="M269" s="2110"/>
      <c r="N269" s="2111"/>
      <c r="O269" s="2104"/>
      <c r="P269" s="2104"/>
      <c r="Q269" s="2106"/>
      <c r="R269" s="2110"/>
      <c r="S269" s="2111"/>
      <c r="T269" s="2104"/>
      <c r="U269" s="2104"/>
      <c r="V269" s="2106"/>
      <c r="W269" s="2110"/>
      <c r="X269" s="2111"/>
      <c r="Y269" s="2104"/>
      <c r="Z269" s="2104"/>
      <c r="AA269" s="2106"/>
      <c r="AB269" s="2110"/>
      <c r="AC269" s="2111"/>
      <c r="AD269" s="2104"/>
      <c r="AE269" s="2104"/>
      <c r="AF269" s="2106"/>
      <c r="AG269" s="2110"/>
      <c r="AH269" s="2111"/>
      <c r="AI269" s="2104"/>
      <c r="AJ269" s="2104"/>
      <c r="AK269" s="2038"/>
      <c r="AL269" s="2039"/>
      <c r="AM269" s="2039"/>
      <c r="AN269" s="2040"/>
      <c r="AO269" s="2008"/>
      <c r="AP269" s="2009"/>
      <c r="AQ269" s="2009"/>
      <c r="AR269" s="2010"/>
      <c r="AS269" s="651"/>
      <c r="AT269" s="652" t="str">
        <f t="shared" ref="AT269" si="2510">IF(OR(AND(D269&lt;&gt;"",OR(AND(E269&lt;&gt;"",F269&lt;&gt;"",OR(G269&lt;&gt;"",H269&lt;&gt;"")),AND(E269="",F269="バス・カメラマン等"))),AND(D269="",E269="",F269="",OR(G269="",H269=""))),"○","×")</f>
        <v>○</v>
      </c>
      <c r="AU269" s="1983" t="str">
        <f t="shared" ref="AU269" si="2511">IF(AND(E269&lt;&gt;"",E269&lt;=2),"2歳児以下","")</f>
        <v/>
      </c>
      <c r="AV269" s="1983" t="str">
        <f t="shared" ref="AV269" si="2512">IF(OR(AND(3&lt;=E269,E269&lt;=6),COUNTIF(E269, "幼*"),COUNTIF(E269, "年少"),COUNTIF(E269, "年中"),COUNTIF(E269, "年長")),"3歳-学齢前","")</f>
        <v/>
      </c>
      <c r="AW269" s="1983" t="str">
        <f t="shared" ref="AW269" si="2513">IF(OR(AND(6&lt;=E269,E269&lt;=12),COUNTIF(E269, "小*")),"小学生","")</f>
        <v/>
      </c>
      <c r="AX269" s="1983" t="str">
        <f t="shared" ref="AX269" si="2514">IF(OR(AND(12&lt;=E269,E269&lt;=15),COUNTIF(E269, "中*")),"中学生","")</f>
        <v/>
      </c>
      <c r="AY269" s="1983" t="str">
        <f t="shared" ref="AY269" si="2515">IF(OR(AND(15&lt;=E269,E269&lt;=18),COUNTIF(E269, "高*")),"高校生(～18歳)","")</f>
        <v/>
      </c>
      <c r="AZ269" s="1983" t="str">
        <f t="shared" ref="AZ269" si="2516">IF(OR(19&lt;=E269,COUNTIF(E269, "大*"),COUNTIF(E269, "*院*"),COUNTIF(E269, "*専*")),"一般(19歳～)","")</f>
        <v/>
      </c>
      <c r="BA269" s="1983" t="s">
        <v>475</v>
      </c>
      <c r="BB269" s="652" t="str">
        <f t="shared" ref="BB269" si="2517">IF(OR(AND(D269="",I269="",M269="",R269="",W269="",AB269="",AG269=""),AND(D269&lt;&gt;"",OR(I269&lt;&gt;"",M269&lt;&gt;"",R269&lt;&gt;"",W269&lt;&gt;"",AB269&lt;&gt;"",AG269&lt;&gt;""))),"○","×")</f>
        <v>○</v>
      </c>
      <c r="BC269" s="652" t="str">
        <f t="shared" ref="BC269" si="2518">IF(AND(BD269="○",BE269="○",BF269="○",BG269="○",BH269="○",BI269="○"),"○","×")</f>
        <v>○</v>
      </c>
      <c r="BD269" s="653" t="str">
        <f t="shared" ref="BD269" si="2519">IF(AND($I$7=" ",OR(I269&lt;&gt;"",K269&lt;&gt;"",L269&lt;&gt;"")),"×","○")</f>
        <v>○</v>
      </c>
      <c r="BE269" s="653" t="str">
        <f t="shared" ref="BE269" si="2520">IF(AND($M$7=" ",OR(M269&lt;&gt;"",O269&lt;&gt;"",P269&lt;&gt;"",Q269&lt;&gt;"")),"×","○")</f>
        <v>○</v>
      </c>
      <c r="BF269" s="653" t="str">
        <f t="shared" ref="BF269" si="2521">IF(AND($R$7=" ",OR(R269&lt;&gt;"",T269&lt;&gt;"",U269&lt;&gt;"",V269&lt;&gt;"")),"×","○")</f>
        <v>○</v>
      </c>
      <c r="BG269" s="653" t="str">
        <f t="shared" ref="BG269" si="2522">IF(AND($W$7=" ",OR(W269&lt;&gt;"",Y269&lt;&gt;"",Z269&lt;&gt;"",AA269&lt;&gt;"")),"×","○")</f>
        <v>○</v>
      </c>
      <c r="BH269" s="653" t="str">
        <f t="shared" ref="BH269" si="2523">IF(AND($AB$7=" ",OR(AB269&lt;&gt;"",AD269&lt;&gt;"",AE269&lt;&gt;"",AF269&lt;&gt;"")),"×","○")</f>
        <v>○</v>
      </c>
      <c r="BI269" s="653" t="str">
        <f t="shared" ref="BI269" si="2524">IF(AND($AG$7=" ",OR(AG269&lt;&gt;"",AI269&lt;&gt;"",AJ269&lt;&gt;"")),"×","○")</f>
        <v>○</v>
      </c>
      <c r="BJ269" s="2225" t="e">
        <f t="shared" ref="BJ269" si="2525">SUMPRODUCT(1/COUNTIF(I269:AH269,"宿泊"))</f>
        <v>#DIV/0!</v>
      </c>
      <c r="BK269" s="2226" t="e">
        <f t="shared" ref="BK269" si="2526">SUMPRODUCT(1/COUNTIF(I269:AH269,"日帰り"))</f>
        <v>#DIV/0!</v>
      </c>
      <c r="BL269" s="1381">
        <f t="shared" ref="BL269" si="2527">COUNT(BJ269)-COUNT(BK269)</f>
        <v>0</v>
      </c>
      <c r="BM269" s="684"/>
    </row>
    <row r="270" spans="1:65" ht="14.1" customHeight="1" x14ac:dyDescent="0.15">
      <c r="A270" s="652"/>
      <c r="B270" s="2174"/>
      <c r="C270" s="2117"/>
      <c r="D270" s="2007"/>
      <c r="E270" s="2005"/>
      <c r="F270" s="2042"/>
      <c r="G270" s="2119"/>
      <c r="H270" s="2107"/>
      <c r="I270" s="2112"/>
      <c r="J270" s="2113"/>
      <c r="K270" s="2105"/>
      <c r="L270" s="2127"/>
      <c r="M270" s="2112"/>
      <c r="N270" s="2113"/>
      <c r="O270" s="2105"/>
      <c r="P270" s="2105"/>
      <c r="Q270" s="2107"/>
      <c r="R270" s="2112"/>
      <c r="S270" s="2113"/>
      <c r="T270" s="2105"/>
      <c r="U270" s="2105"/>
      <c r="V270" s="2107"/>
      <c r="W270" s="2112"/>
      <c r="X270" s="2113"/>
      <c r="Y270" s="2105"/>
      <c r="Z270" s="2105"/>
      <c r="AA270" s="2107"/>
      <c r="AB270" s="2112"/>
      <c r="AC270" s="2113"/>
      <c r="AD270" s="2105"/>
      <c r="AE270" s="2105"/>
      <c r="AF270" s="2107"/>
      <c r="AG270" s="2112"/>
      <c r="AH270" s="2113"/>
      <c r="AI270" s="2105"/>
      <c r="AJ270" s="2105"/>
      <c r="AK270" s="2011"/>
      <c r="AL270" s="2012"/>
      <c r="AM270" s="2012"/>
      <c r="AN270" s="2013"/>
      <c r="AO270" s="2011"/>
      <c r="AP270" s="2012"/>
      <c r="AQ270" s="2012"/>
      <c r="AR270" s="2013"/>
      <c r="AS270" s="651"/>
      <c r="AT270" s="652"/>
      <c r="AU270" s="1983"/>
      <c r="AV270" s="1983"/>
      <c r="AW270" s="1983"/>
      <c r="AX270" s="1983"/>
      <c r="AY270" s="1983"/>
      <c r="AZ270" s="1983"/>
      <c r="BA270" s="1983"/>
      <c r="BB270" s="654"/>
      <c r="BC270" s="654"/>
      <c r="BD270" s="652"/>
      <c r="BE270" s="652"/>
      <c r="BF270" s="652"/>
      <c r="BG270" s="652"/>
      <c r="BH270" s="652"/>
      <c r="BI270" s="652"/>
      <c r="BJ270" s="2225"/>
      <c r="BK270" s="2226"/>
      <c r="BL270" s="1381"/>
      <c r="BM270" s="684"/>
    </row>
    <row r="271" spans="1:65" ht="14.1" customHeight="1" x14ac:dyDescent="0.15">
      <c r="A271" s="652" t="str">
        <f t="shared" ref="A271" si="2528">IF(AND(D271="",D273&lt;&gt;""),"×","○")</f>
        <v>○</v>
      </c>
      <c r="B271" s="2174" t="str">
        <f t="shared" ref="B271" si="2529">IF(AND(AT271="○",BB271="○",BC271="○",A271="○"),"○","×")</f>
        <v>○</v>
      </c>
      <c r="C271" s="2116">
        <v>129</v>
      </c>
      <c r="D271" s="2006"/>
      <c r="E271" s="2004"/>
      <c r="F271" s="2041"/>
      <c r="G271" s="2118"/>
      <c r="H271" s="2106"/>
      <c r="I271" s="2141"/>
      <c r="J271" s="2142"/>
      <c r="K271" s="2104"/>
      <c r="L271" s="2140"/>
      <c r="M271" s="2110"/>
      <c r="N271" s="2111"/>
      <c r="O271" s="2104"/>
      <c r="P271" s="2104"/>
      <c r="Q271" s="2106"/>
      <c r="R271" s="2110"/>
      <c r="S271" s="2111"/>
      <c r="T271" s="2104"/>
      <c r="U271" s="2104"/>
      <c r="V271" s="2106"/>
      <c r="W271" s="2110"/>
      <c r="X271" s="2111"/>
      <c r="Y271" s="2104"/>
      <c r="Z271" s="2104"/>
      <c r="AA271" s="2106"/>
      <c r="AB271" s="2110"/>
      <c r="AC271" s="2111"/>
      <c r="AD271" s="2104"/>
      <c r="AE271" s="2104"/>
      <c r="AF271" s="2106"/>
      <c r="AG271" s="2110"/>
      <c r="AH271" s="2111"/>
      <c r="AI271" s="2104"/>
      <c r="AJ271" s="2104"/>
      <c r="AK271" s="2038"/>
      <c r="AL271" s="2039"/>
      <c r="AM271" s="2039"/>
      <c r="AN271" s="2040"/>
      <c r="AO271" s="2008"/>
      <c r="AP271" s="2009"/>
      <c r="AQ271" s="2009"/>
      <c r="AR271" s="2010"/>
      <c r="AS271" s="651"/>
      <c r="AT271" s="652" t="str">
        <f t="shared" ref="AT271" si="2530">IF(OR(AND(D271&lt;&gt;"",OR(AND(E271&lt;&gt;"",F271&lt;&gt;"",OR(G271&lt;&gt;"",H271&lt;&gt;"")),AND(E271="",F271="バス・カメラマン等"))),AND(D271="",E271="",F271="",OR(G271="",H271=""))),"○","×")</f>
        <v>○</v>
      </c>
      <c r="AU271" s="1983" t="str">
        <f t="shared" ref="AU271" si="2531">IF(AND(E271&lt;&gt;"",E271&lt;=2),"2歳児以下","")</f>
        <v/>
      </c>
      <c r="AV271" s="1983" t="str">
        <f t="shared" ref="AV271" si="2532">IF(OR(AND(3&lt;=E271,E271&lt;=6),COUNTIF(E271, "幼*"),COUNTIF(E271, "年少"),COUNTIF(E271, "年中"),COUNTIF(E271, "年長")),"3歳-学齢前","")</f>
        <v/>
      </c>
      <c r="AW271" s="1983" t="str">
        <f t="shared" ref="AW271" si="2533">IF(OR(AND(6&lt;=E271,E271&lt;=12),COUNTIF(E271, "小*")),"小学生","")</f>
        <v/>
      </c>
      <c r="AX271" s="1983" t="str">
        <f t="shared" ref="AX271" si="2534">IF(OR(AND(12&lt;=E271,E271&lt;=15),COUNTIF(E271, "中*")),"中学生","")</f>
        <v/>
      </c>
      <c r="AY271" s="1983" t="str">
        <f t="shared" ref="AY271" si="2535">IF(OR(AND(15&lt;=E271,E271&lt;=18),COUNTIF(E271, "高*")),"高校生(～18歳)","")</f>
        <v/>
      </c>
      <c r="AZ271" s="1983" t="str">
        <f t="shared" ref="AZ271" si="2536">IF(OR(19&lt;=E271,COUNTIF(E271, "大*"),COUNTIF(E271, "*院*"),COUNTIF(E271, "*専*")),"一般(19歳～)","")</f>
        <v/>
      </c>
      <c r="BA271" s="1983" t="s">
        <v>475</v>
      </c>
      <c r="BB271" s="652" t="str">
        <f t="shared" ref="BB271" si="2537">IF(OR(AND(D271="",I271="",M271="",R271="",W271="",AB271="",AG271=""),AND(D271&lt;&gt;"",OR(I271&lt;&gt;"",M271&lt;&gt;"",R271&lt;&gt;"",W271&lt;&gt;"",AB271&lt;&gt;"",AG271&lt;&gt;""))),"○","×")</f>
        <v>○</v>
      </c>
      <c r="BC271" s="652" t="str">
        <f t="shared" ref="BC271" si="2538">IF(AND(BD271="○",BE271="○",BF271="○",BG271="○",BH271="○",BI271="○"),"○","×")</f>
        <v>○</v>
      </c>
      <c r="BD271" s="653" t="str">
        <f t="shared" ref="BD271" si="2539">IF(AND($I$7=" ",OR(I271&lt;&gt;"",K271&lt;&gt;"",L271&lt;&gt;"")),"×","○")</f>
        <v>○</v>
      </c>
      <c r="BE271" s="653" t="str">
        <f t="shared" ref="BE271" si="2540">IF(AND($M$7=" ",OR(M271&lt;&gt;"",O271&lt;&gt;"",P271&lt;&gt;"",Q271&lt;&gt;"")),"×","○")</f>
        <v>○</v>
      </c>
      <c r="BF271" s="653" t="str">
        <f t="shared" ref="BF271" si="2541">IF(AND($R$7=" ",OR(R271&lt;&gt;"",T271&lt;&gt;"",U271&lt;&gt;"",V271&lt;&gt;"")),"×","○")</f>
        <v>○</v>
      </c>
      <c r="BG271" s="653" t="str">
        <f t="shared" ref="BG271" si="2542">IF(AND($W$7=" ",OR(W271&lt;&gt;"",Y271&lt;&gt;"",Z271&lt;&gt;"",AA271&lt;&gt;"")),"×","○")</f>
        <v>○</v>
      </c>
      <c r="BH271" s="653" t="str">
        <f t="shared" ref="BH271" si="2543">IF(AND($AB$7=" ",OR(AB271&lt;&gt;"",AD271&lt;&gt;"",AE271&lt;&gt;"",AF271&lt;&gt;"")),"×","○")</f>
        <v>○</v>
      </c>
      <c r="BI271" s="653" t="str">
        <f t="shared" ref="BI271" si="2544">IF(AND($AG$7=" ",OR(AG271&lt;&gt;"",AI271&lt;&gt;"",AJ271&lt;&gt;"")),"×","○")</f>
        <v>○</v>
      </c>
      <c r="BJ271" s="2225" t="e">
        <f t="shared" ref="BJ271" si="2545">SUMPRODUCT(1/COUNTIF(I271:AH271,"宿泊"))</f>
        <v>#DIV/0!</v>
      </c>
      <c r="BK271" s="2226" t="e">
        <f t="shared" ref="BK271" si="2546">SUMPRODUCT(1/COUNTIF(I271:AH271,"日帰り"))</f>
        <v>#DIV/0!</v>
      </c>
      <c r="BL271" s="1381">
        <f t="shared" ref="BL271" si="2547">COUNT(BJ271)-COUNT(BK271)</f>
        <v>0</v>
      </c>
      <c r="BM271" s="684"/>
    </row>
    <row r="272" spans="1:65" ht="14.1" customHeight="1" x14ac:dyDescent="0.15">
      <c r="A272" s="652"/>
      <c r="B272" s="2174"/>
      <c r="C272" s="2117"/>
      <c r="D272" s="2007"/>
      <c r="E272" s="2005"/>
      <c r="F272" s="2042"/>
      <c r="G272" s="2119"/>
      <c r="H272" s="2107"/>
      <c r="I272" s="2112"/>
      <c r="J272" s="2113"/>
      <c r="K272" s="2105"/>
      <c r="L272" s="2127"/>
      <c r="M272" s="2112"/>
      <c r="N272" s="2113"/>
      <c r="O272" s="2105"/>
      <c r="P272" s="2105"/>
      <c r="Q272" s="2107"/>
      <c r="R272" s="2112"/>
      <c r="S272" s="2113"/>
      <c r="T272" s="2105"/>
      <c r="U272" s="2105"/>
      <c r="V272" s="2107"/>
      <c r="W272" s="2112"/>
      <c r="X272" s="2113"/>
      <c r="Y272" s="2105"/>
      <c r="Z272" s="2105"/>
      <c r="AA272" s="2107"/>
      <c r="AB272" s="2112"/>
      <c r="AC272" s="2113"/>
      <c r="AD272" s="2105"/>
      <c r="AE272" s="2105"/>
      <c r="AF272" s="2107"/>
      <c r="AG272" s="2112"/>
      <c r="AH272" s="2113"/>
      <c r="AI272" s="2105"/>
      <c r="AJ272" s="2105"/>
      <c r="AK272" s="2011"/>
      <c r="AL272" s="2012"/>
      <c r="AM272" s="2012"/>
      <c r="AN272" s="2013"/>
      <c r="AO272" s="2011"/>
      <c r="AP272" s="2012"/>
      <c r="AQ272" s="2012"/>
      <c r="AR272" s="2013"/>
      <c r="AS272" s="651"/>
      <c r="AT272" s="652"/>
      <c r="AU272" s="1983"/>
      <c r="AV272" s="1983"/>
      <c r="AW272" s="1983"/>
      <c r="AX272" s="1983"/>
      <c r="AY272" s="1983"/>
      <c r="AZ272" s="1983"/>
      <c r="BA272" s="1983"/>
      <c r="BB272" s="654"/>
      <c r="BC272" s="654"/>
      <c r="BD272" s="652"/>
      <c r="BE272" s="652"/>
      <c r="BF272" s="652"/>
      <c r="BG272" s="652"/>
      <c r="BH272" s="652"/>
      <c r="BI272" s="652"/>
      <c r="BJ272" s="2225"/>
      <c r="BK272" s="2226"/>
      <c r="BL272" s="1381"/>
      <c r="BM272" s="684"/>
    </row>
    <row r="273" spans="1:65" ht="14.1" customHeight="1" x14ac:dyDescent="0.15">
      <c r="A273" s="652" t="str">
        <f t="shared" ref="A273" si="2548">IF(AND(D273="",D275&lt;&gt;""),"×","○")</f>
        <v>○</v>
      </c>
      <c r="B273" s="2174" t="str">
        <f t="shared" ref="B273" si="2549">IF(AND(AT273="○",BB273="○",BC273="○",A273="○"),"○","×")</f>
        <v>○</v>
      </c>
      <c r="C273" s="2116">
        <v>130</v>
      </c>
      <c r="D273" s="2006"/>
      <c r="E273" s="2004"/>
      <c r="F273" s="2041"/>
      <c r="G273" s="2118"/>
      <c r="H273" s="2106"/>
      <c r="I273" s="2141"/>
      <c r="J273" s="2142"/>
      <c r="K273" s="2104"/>
      <c r="L273" s="2140"/>
      <c r="M273" s="2110"/>
      <c r="N273" s="2111"/>
      <c r="O273" s="2104"/>
      <c r="P273" s="2104"/>
      <c r="Q273" s="2106"/>
      <c r="R273" s="2110"/>
      <c r="S273" s="2111"/>
      <c r="T273" s="2104"/>
      <c r="U273" s="2104"/>
      <c r="V273" s="2106"/>
      <c r="W273" s="2110"/>
      <c r="X273" s="2111"/>
      <c r="Y273" s="2104"/>
      <c r="Z273" s="2104"/>
      <c r="AA273" s="2106"/>
      <c r="AB273" s="2110"/>
      <c r="AC273" s="2111"/>
      <c r="AD273" s="2104"/>
      <c r="AE273" s="2104"/>
      <c r="AF273" s="2106"/>
      <c r="AG273" s="2110"/>
      <c r="AH273" s="2111"/>
      <c r="AI273" s="2104"/>
      <c r="AJ273" s="2104"/>
      <c r="AK273" s="2038"/>
      <c r="AL273" s="2039"/>
      <c r="AM273" s="2039"/>
      <c r="AN273" s="2040"/>
      <c r="AO273" s="2008"/>
      <c r="AP273" s="2009"/>
      <c r="AQ273" s="2009"/>
      <c r="AR273" s="2010"/>
      <c r="AS273" s="651"/>
      <c r="AT273" s="652" t="str">
        <f t="shared" ref="AT273" si="2550">IF(OR(AND(D273&lt;&gt;"",OR(AND(E273&lt;&gt;"",F273&lt;&gt;"",OR(G273&lt;&gt;"",H273&lt;&gt;"")),AND(E273="",F273="バス・カメラマン等"))),AND(D273="",E273="",F273="",OR(G273="",H273=""))),"○","×")</f>
        <v>○</v>
      </c>
      <c r="AU273" s="1983" t="str">
        <f t="shared" ref="AU273" si="2551">IF(AND(E273&lt;&gt;"",E273&lt;=2),"2歳児以下","")</f>
        <v/>
      </c>
      <c r="AV273" s="1983" t="str">
        <f t="shared" ref="AV273" si="2552">IF(OR(AND(3&lt;=E273,E273&lt;=6),COUNTIF(E273, "幼*"),COUNTIF(E273, "年少"),COUNTIF(E273, "年中"),COUNTIF(E273, "年長")),"3歳-学齢前","")</f>
        <v/>
      </c>
      <c r="AW273" s="1983" t="str">
        <f t="shared" ref="AW273" si="2553">IF(OR(AND(6&lt;=E273,E273&lt;=12),COUNTIF(E273, "小*")),"小学生","")</f>
        <v/>
      </c>
      <c r="AX273" s="1983" t="str">
        <f t="shared" ref="AX273" si="2554">IF(OR(AND(12&lt;=E273,E273&lt;=15),COUNTIF(E273, "中*")),"中学生","")</f>
        <v/>
      </c>
      <c r="AY273" s="1983" t="str">
        <f t="shared" ref="AY273" si="2555">IF(OR(AND(15&lt;=E273,E273&lt;=18),COUNTIF(E273, "高*")),"高校生(～18歳)","")</f>
        <v/>
      </c>
      <c r="AZ273" s="1983" t="str">
        <f t="shared" ref="AZ273" si="2556">IF(OR(19&lt;=E273,COUNTIF(E273, "大*"),COUNTIF(E273, "*院*"),COUNTIF(E273, "*専*")),"一般(19歳～)","")</f>
        <v/>
      </c>
      <c r="BA273" s="1983" t="s">
        <v>475</v>
      </c>
      <c r="BB273" s="652" t="str">
        <f t="shared" ref="BB273" si="2557">IF(OR(AND(D273="",I273="",M273="",R273="",W273="",AB273="",AG273=""),AND(D273&lt;&gt;"",OR(I273&lt;&gt;"",M273&lt;&gt;"",R273&lt;&gt;"",W273&lt;&gt;"",AB273&lt;&gt;"",AG273&lt;&gt;""))),"○","×")</f>
        <v>○</v>
      </c>
      <c r="BC273" s="652" t="str">
        <f t="shared" ref="BC273" si="2558">IF(AND(BD273="○",BE273="○",BF273="○",BG273="○",BH273="○",BI273="○"),"○","×")</f>
        <v>○</v>
      </c>
      <c r="BD273" s="653" t="str">
        <f t="shared" ref="BD273" si="2559">IF(AND($I$7=" ",OR(I273&lt;&gt;"",K273&lt;&gt;"",L273&lt;&gt;"")),"×","○")</f>
        <v>○</v>
      </c>
      <c r="BE273" s="653" t="str">
        <f t="shared" ref="BE273" si="2560">IF(AND($M$7=" ",OR(M273&lt;&gt;"",O273&lt;&gt;"",P273&lt;&gt;"",Q273&lt;&gt;"")),"×","○")</f>
        <v>○</v>
      </c>
      <c r="BF273" s="653" t="str">
        <f t="shared" ref="BF273" si="2561">IF(AND($R$7=" ",OR(R273&lt;&gt;"",T273&lt;&gt;"",U273&lt;&gt;"",V273&lt;&gt;"")),"×","○")</f>
        <v>○</v>
      </c>
      <c r="BG273" s="653" t="str">
        <f t="shared" ref="BG273" si="2562">IF(AND($W$7=" ",OR(W273&lt;&gt;"",Y273&lt;&gt;"",Z273&lt;&gt;"",AA273&lt;&gt;"")),"×","○")</f>
        <v>○</v>
      </c>
      <c r="BH273" s="653" t="str">
        <f t="shared" ref="BH273" si="2563">IF(AND($AB$7=" ",OR(AB273&lt;&gt;"",AD273&lt;&gt;"",AE273&lt;&gt;"",AF273&lt;&gt;"")),"×","○")</f>
        <v>○</v>
      </c>
      <c r="BI273" s="653" t="str">
        <f t="shared" ref="BI273" si="2564">IF(AND($AG$7=" ",OR(AG273&lt;&gt;"",AI273&lt;&gt;"",AJ273&lt;&gt;"")),"×","○")</f>
        <v>○</v>
      </c>
      <c r="BJ273" s="2225" t="e">
        <f t="shared" ref="BJ273" si="2565">SUMPRODUCT(1/COUNTIF(I273:AH273,"宿泊"))</f>
        <v>#DIV/0!</v>
      </c>
      <c r="BK273" s="2226" t="e">
        <f t="shared" ref="BK273" si="2566">SUMPRODUCT(1/COUNTIF(I273:AH273,"日帰り"))</f>
        <v>#DIV/0!</v>
      </c>
      <c r="BL273" s="1381">
        <f t="shared" ref="BL273" si="2567">COUNT(BJ273)-COUNT(BK273)</f>
        <v>0</v>
      </c>
      <c r="BM273" s="684"/>
    </row>
    <row r="274" spans="1:65" ht="14.1" customHeight="1" x14ac:dyDescent="0.15">
      <c r="A274" s="652"/>
      <c r="B274" s="2174"/>
      <c r="C274" s="2117"/>
      <c r="D274" s="2007"/>
      <c r="E274" s="2005"/>
      <c r="F274" s="2042"/>
      <c r="G274" s="2119"/>
      <c r="H274" s="2107"/>
      <c r="I274" s="2112"/>
      <c r="J274" s="2113"/>
      <c r="K274" s="2105"/>
      <c r="L274" s="2127"/>
      <c r="M274" s="2112"/>
      <c r="N274" s="2113"/>
      <c r="O274" s="2105"/>
      <c r="P274" s="2105"/>
      <c r="Q274" s="2107"/>
      <c r="R274" s="2112"/>
      <c r="S274" s="2113"/>
      <c r="T274" s="2105"/>
      <c r="U274" s="2105"/>
      <c r="V274" s="2107"/>
      <c r="W274" s="2112"/>
      <c r="X274" s="2113"/>
      <c r="Y274" s="2105"/>
      <c r="Z274" s="2105"/>
      <c r="AA274" s="2107"/>
      <c r="AB274" s="2112"/>
      <c r="AC274" s="2113"/>
      <c r="AD274" s="2105"/>
      <c r="AE274" s="2105"/>
      <c r="AF274" s="2107"/>
      <c r="AG274" s="2112"/>
      <c r="AH274" s="2113"/>
      <c r="AI274" s="2105"/>
      <c r="AJ274" s="2105"/>
      <c r="AK274" s="2011"/>
      <c r="AL274" s="2012"/>
      <c r="AM274" s="2012"/>
      <c r="AN274" s="2013"/>
      <c r="AO274" s="2011"/>
      <c r="AP274" s="2012"/>
      <c r="AQ274" s="2012"/>
      <c r="AR274" s="2013"/>
      <c r="AS274" s="651"/>
      <c r="AT274" s="652"/>
      <c r="AU274" s="1983"/>
      <c r="AV274" s="1983"/>
      <c r="AW274" s="1983"/>
      <c r="AX274" s="1983"/>
      <c r="AY274" s="1983"/>
      <c r="AZ274" s="1983"/>
      <c r="BA274" s="1983"/>
      <c r="BB274" s="654"/>
      <c r="BC274" s="654"/>
      <c r="BD274" s="652"/>
      <c r="BE274" s="652"/>
      <c r="BF274" s="652"/>
      <c r="BG274" s="652"/>
      <c r="BH274" s="652"/>
      <c r="BI274" s="652"/>
      <c r="BJ274" s="2225"/>
      <c r="BK274" s="2226"/>
      <c r="BL274" s="1381"/>
      <c r="BM274" s="684"/>
    </row>
    <row r="275" spans="1:65" ht="14.1" customHeight="1" x14ac:dyDescent="0.15">
      <c r="A275" s="652" t="str">
        <f t="shared" ref="A275" si="2568">IF(AND(D275="",D277&lt;&gt;""),"×","○")</f>
        <v>○</v>
      </c>
      <c r="B275" s="2174" t="str">
        <f t="shared" ref="B275" si="2569">IF(AND(AT275="○",BB275="○",BC275="○",A275="○"),"○","×")</f>
        <v>○</v>
      </c>
      <c r="C275" s="2116">
        <v>131</v>
      </c>
      <c r="D275" s="2006"/>
      <c r="E275" s="2004"/>
      <c r="F275" s="2041"/>
      <c r="G275" s="2118"/>
      <c r="H275" s="2106"/>
      <c r="I275" s="2141"/>
      <c r="J275" s="2142"/>
      <c r="K275" s="2104"/>
      <c r="L275" s="2140"/>
      <c r="M275" s="2110"/>
      <c r="N275" s="2111"/>
      <c r="O275" s="2104"/>
      <c r="P275" s="2104"/>
      <c r="Q275" s="2106"/>
      <c r="R275" s="2110"/>
      <c r="S275" s="2111"/>
      <c r="T275" s="2104"/>
      <c r="U275" s="2104"/>
      <c r="V275" s="2106"/>
      <c r="W275" s="2110"/>
      <c r="X275" s="2111"/>
      <c r="Y275" s="2104"/>
      <c r="Z275" s="2104"/>
      <c r="AA275" s="2106"/>
      <c r="AB275" s="2110"/>
      <c r="AC275" s="2111"/>
      <c r="AD275" s="2104"/>
      <c r="AE275" s="2104"/>
      <c r="AF275" s="2106"/>
      <c r="AG275" s="2110"/>
      <c r="AH275" s="2111"/>
      <c r="AI275" s="2104"/>
      <c r="AJ275" s="2104"/>
      <c r="AK275" s="2038"/>
      <c r="AL275" s="2039"/>
      <c r="AM275" s="2039"/>
      <c r="AN275" s="2040"/>
      <c r="AO275" s="2008"/>
      <c r="AP275" s="2009"/>
      <c r="AQ275" s="2009"/>
      <c r="AR275" s="2010"/>
      <c r="AS275" s="651"/>
      <c r="AT275" s="652" t="str">
        <f t="shared" ref="AT275" si="2570">IF(OR(AND(D275&lt;&gt;"",OR(AND(E275&lt;&gt;"",F275&lt;&gt;"",OR(G275&lt;&gt;"",H275&lt;&gt;"")),AND(E275="",F275="バス・カメラマン等"))),AND(D275="",E275="",F275="",OR(G275="",H275=""))),"○","×")</f>
        <v>○</v>
      </c>
      <c r="AU275" s="1983" t="str">
        <f t="shared" ref="AU275" si="2571">IF(AND(E275&lt;&gt;"",E275&lt;=2),"2歳児以下","")</f>
        <v/>
      </c>
      <c r="AV275" s="1983" t="str">
        <f t="shared" ref="AV275" si="2572">IF(OR(AND(3&lt;=E275,E275&lt;=6),COUNTIF(E275, "幼*"),COUNTIF(E275, "年少"),COUNTIF(E275, "年中"),COUNTIF(E275, "年長")),"3歳-学齢前","")</f>
        <v/>
      </c>
      <c r="AW275" s="1983" t="str">
        <f t="shared" ref="AW275" si="2573">IF(OR(AND(6&lt;=E275,E275&lt;=12),COUNTIF(E275, "小*")),"小学生","")</f>
        <v/>
      </c>
      <c r="AX275" s="1983" t="str">
        <f t="shared" ref="AX275" si="2574">IF(OR(AND(12&lt;=E275,E275&lt;=15),COUNTIF(E275, "中*")),"中学生","")</f>
        <v/>
      </c>
      <c r="AY275" s="1983" t="str">
        <f t="shared" ref="AY275" si="2575">IF(OR(AND(15&lt;=E275,E275&lt;=18),COUNTIF(E275, "高*")),"高校生(～18歳)","")</f>
        <v/>
      </c>
      <c r="AZ275" s="1983" t="str">
        <f t="shared" ref="AZ275" si="2576">IF(OR(19&lt;=E275,COUNTIF(E275, "大*"),COUNTIF(E275, "*院*"),COUNTIF(E275, "*専*")),"一般(19歳～)","")</f>
        <v/>
      </c>
      <c r="BA275" s="1983" t="s">
        <v>475</v>
      </c>
      <c r="BB275" s="652" t="str">
        <f t="shared" ref="BB275" si="2577">IF(OR(AND(D275="",I275="",M275="",R275="",W275="",AB275="",AG275=""),AND(D275&lt;&gt;"",OR(I275&lt;&gt;"",M275&lt;&gt;"",R275&lt;&gt;"",W275&lt;&gt;"",AB275&lt;&gt;"",AG275&lt;&gt;""))),"○","×")</f>
        <v>○</v>
      </c>
      <c r="BC275" s="652" t="str">
        <f t="shared" ref="BC275" si="2578">IF(AND(BD275="○",BE275="○",BF275="○",BG275="○",BH275="○",BI275="○"),"○","×")</f>
        <v>○</v>
      </c>
      <c r="BD275" s="653" t="str">
        <f t="shared" ref="BD275" si="2579">IF(AND($I$7=" ",OR(I275&lt;&gt;"",K275&lt;&gt;"",L275&lt;&gt;"")),"×","○")</f>
        <v>○</v>
      </c>
      <c r="BE275" s="653" t="str">
        <f t="shared" ref="BE275" si="2580">IF(AND($M$7=" ",OR(M275&lt;&gt;"",O275&lt;&gt;"",P275&lt;&gt;"",Q275&lt;&gt;"")),"×","○")</f>
        <v>○</v>
      </c>
      <c r="BF275" s="653" t="str">
        <f t="shared" ref="BF275" si="2581">IF(AND($R$7=" ",OR(R275&lt;&gt;"",T275&lt;&gt;"",U275&lt;&gt;"",V275&lt;&gt;"")),"×","○")</f>
        <v>○</v>
      </c>
      <c r="BG275" s="653" t="str">
        <f t="shared" ref="BG275" si="2582">IF(AND($W$7=" ",OR(W275&lt;&gt;"",Y275&lt;&gt;"",Z275&lt;&gt;"",AA275&lt;&gt;"")),"×","○")</f>
        <v>○</v>
      </c>
      <c r="BH275" s="653" t="str">
        <f t="shared" ref="BH275" si="2583">IF(AND($AB$7=" ",OR(AB275&lt;&gt;"",AD275&lt;&gt;"",AE275&lt;&gt;"",AF275&lt;&gt;"")),"×","○")</f>
        <v>○</v>
      </c>
      <c r="BI275" s="653" t="str">
        <f t="shared" ref="BI275" si="2584">IF(AND($AG$7=" ",OR(AG275&lt;&gt;"",AI275&lt;&gt;"",AJ275&lt;&gt;"")),"×","○")</f>
        <v>○</v>
      </c>
      <c r="BJ275" s="2225" t="e">
        <f t="shared" ref="BJ275" si="2585">SUMPRODUCT(1/COUNTIF(I275:AH275,"宿泊"))</f>
        <v>#DIV/0!</v>
      </c>
      <c r="BK275" s="2226" t="e">
        <f t="shared" ref="BK275" si="2586">SUMPRODUCT(1/COUNTIF(I275:AH275,"日帰り"))</f>
        <v>#DIV/0!</v>
      </c>
      <c r="BL275" s="1381">
        <f t="shared" ref="BL275" si="2587">COUNT(BJ275)-COUNT(BK275)</f>
        <v>0</v>
      </c>
      <c r="BM275" s="684"/>
    </row>
    <row r="276" spans="1:65" ht="14.1" customHeight="1" x14ac:dyDescent="0.15">
      <c r="A276" s="652"/>
      <c r="B276" s="2174"/>
      <c r="C276" s="2117"/>
      <c r="D276" s="2007"/>
      <c r="E276" s="2005"/>
      <c r="F276" s="2042"/>
      <c r="G276" s="2119"/>
      <c r="H276" s="2107"/>
      <c r="I276" s="2112"/>
      <c r="J276" s="2113"/>
      <c r="K276" s="2105"/>
      <c r="L276" s="2127"/>
      <c r="M276" s="2112"/>
      <c r="N276" s="2113"/>
      <c r="O276" s="2105"/>
      <c r="P276" s="2105"/>
      <c r="Q276" s="2107"/>
      <c r="R276" s="2112"/>
      <c r="S276" s="2113"/>
      <c r="T276" s="2105"/>
      <c r="U276" s="2105"/>
      <c r="V276" s="2107"/>
      <c r="W276" s="2112"/>
      <c r="X276" s="2113"/>
      <c r="Y276" s="2105"/>
      <c r="Z276" s="2105"/>
      <c r="AA276" s="2107"/>
      <c r="AB276" s="2112"/>
      <c r="AC276" s="2113"/>
      <c r="AD276" s="2105"/>
      <c r="AE276" s="2105"/>
      <c r="AF276" s="2107"/>
      <c r="AG276" s="2112"/>
      <c r="AH276" s="2113"/>
      <c r="AI276" s="2105"/>
      <c r="AJ276" s="2105"/>
      <c r="AK276" s="2011"/>
      <c r="AL276" s="2012"/>
      <c r="AM276" s="2012"/>
      <c r="AN276" s="2013"/>
      <c r="AO276" s="2011"/>
      <c r="AP276" s="2012"/>
      <c r="AQ276" s="2012"/>
      <c r="AR276" s="2013"/>
      <c r="AS276" s="651"/>
      <c r="AT276" s="652"/>
      <c r="AU276" s="1983"/>
      <c r="AV276" s="1983"/>
      <c r="AW276" s="1983"/>
      <c r="AX276" s="1983"/>
      <c r="AY276" s="1983"/>
      <c r="AZ276" s="1983"/>
      <c r="BA276" s="1983"/>
      <c r="BB276" s="654"/>
      <c r="BC276" s="654"/>
      <c r="BD276" s="652"/>
      <c r="BE276" s="652"/>
      <c r="BF276" s="652"/>
      <c r="BG276" s="652"/>
      <c r="BH276" s="652"/>
      <c r="BI276" s="652"/>
      <c r="BJ276" s="2225"/>
      <c r="BK276" s="2226"/>
      <c r="BL276" s="1381"/>
      <c r="BM276" s="684"/>
    </row>
    <row r="277" spans="1:65" ht="14.1" customHeight="1" x14ac:dyDescent="0.15">
      <c r="A277" s="652" t="str">
        <f t="shared" ref="A277" si="2588">IF(AND(D277="",D279&lt;&gt;""),"×","○")</f>
        <v>○</v>
      </c>
      <c r="B277" s="2174" t="str">
        <f t="shared" ref="B277" si="2589">IF(AND(AT277="○",BB277="○",BC277="○",A277="○"),"○","×")</f>
        <v>○</v>
      </c>
      <c r="C277" s="2116">
        <v>132</v>
      </c>
      <c r="D277" s="2006"/>
      <c r="E277" s="2004"/>
      <c r="F277" s="2041"/>
      <c r="G277" s="2118"/>
      <c r="H277" s="2106"/>
      <c r="I277" s="2141"/>
      <c r="J277" s="2142"/>
      <c r="K277" s="2104"/>
      <c r="L277" s="2140"/>
      <c r="M277" s="2110"/>
      <c r="N277" s="2111"/>
      <c r="O277" s="2104"/>
      <c r="P277" s="2104"/>
      <c r="Q277" s="2106"/>
      <c r="R277" s="2110"/>
      <c r="S277" s="2111"/>
      <c r="T277" s="2104"/>
      <c r="U277" s="2104"/>
      <c r="V277" s="2106"/>
      <c r="W277" s="2110"/>
      <c r="X277" s="2111"/>
      <c r="Y277" s="2104"/>
      <c r="Z277" s="2104"/>
      <c r="AA277" s="2106"/>
      <c r="AB277" s="2110"/>
      <c r="AC277" s="2111"/>
      <c r="AD277" s="2104"/>
      <c r="AE277" s="2104"/>
      <c r="AF277" s="2106"/>
      <c r="AG277" s="2110"/>
      <c r="AH277" s="2111"/>
      <c r="AI277" s="2104"/>
      <c r="AJ277" s="2104"/>
      <c r="AK277" s="2038"/>
      <c r="AL277" s="2039"/>
      <c r="AM277" s="2039"/>
      <c r="AN277" s="2040"/>
      <c r="AO277" s="2008"/>
      <c r="AP277" s="2009"/>
      <c r="AQ277" s="2009"/>
      <c r="AR277" s="2010"/>
      <c r="AS277" s="651"/>
      <c r="AT277" s="652" t="str">
        <f t="shared" ref="AT277" si="2590">IF(OR(AND(D277&lt;&gt;"",OR(AND(E277&lt;&gt;"",F277&lt;&gt;"",OR(G277&lt;&gt;"",H277&lt;&gt;"")),AND(E277="",F277="バス・カメラマン等"))),AND(D277="",E277="",F277="",OR(G277="",H277=""))),"○","×")</f>
        <v>○</v>
      </c>
      <c r="AU277" s="1983" t="str">
        <f t="shared" ref="AU277" si="2591">IF(AND(E277&lt;&gt;"",E277&lt;=2),"2歳児以下","")</f>
        <v/>
      </c>
      <c r="AV277" s="1983" t="str">
        <f t="shared" ref="AV277" si="2592">IF(OR(AND(3&lt;=E277,E277&lt;=6),COUNTIF(E277, "幼*"),COUNTIF(E277, "年少"),COUNTIF(E277, "年中"),COUNTIF(E277, "年長")),"3歳-学齢前","")</f>
        <v/>
      </c>
      <c r="AW277" s="1983" t="str">
        <f t="shared" ref="AW277" si="2593">IF(OR(AND(6&lt;=E277,E277&lt;=12),COUNTIF(E277, "小*")),"小学生","")</f>
        <v/>
      </c>
      <c r="AX277" s="1983" t="str">
        <f t="shared" ref="AX277" si="2594">IF(OR(AND(12&lt;=E277,E277&lt;=15),COUNTIF(E277, "中*")),"中学生","")</f>
        <v/>
      </c>
      <c r="AY277" s="1983" t="str">
        <f t="shared" ref="AY277" si="2595">IF(OR(AND(15&lt;=E277,E277&lt;=18),COUNTIF(E277, "高*")),"高校生(～18歳)","")</f>
        <v/>
      </c>
      <c r="AZ277" s="1983" t="str">
        <f t="shared" ref="AZ277" si="2596">IF(OR(19&lt;=E277,COUNTIF(E277, "大*"),COUNTIF(E277, "*院*"),COUNTIF(E277, "*専*")),"一般(19歳～)","")</f>
        <v/>
      </c>
      <c r="BA277" s="1983" t="s">
        <v>475</v>
      </c>
      <c r="BB277" s="652" t="str">
        <f t="shared" ref="BB277" si="2597">IF(OR(AND(D277="",I277="",M277="",R277="",W277="",AB277="",AG277=""),AND(D277&lt;&gt;"",OR(I277&lt;&gt;"",M277&lt;&gt;"",R277&lt;&gt;"",W277&lt;&gt;"",AB277&lt;&gt;"",AG277&lt;&gt;""))),"○","×")</f>
        <v>○</v>
      </c>
      <c r="BC277" s="652" t="str">
        <f t="shared" ref="BC277" si="2598">IF(AND(BD277="○",BE277="○",BF277="○",BG277="○",BH277="○",BI277="○"),"○","×")</f>
        <v>○</v>
      </c>
      <c r="BD277" s="653" t="str">
        <f t="shared" ref="BD277" si="2599">IF(AND($I$7=" ",OR(I277&lt;&gt;"",K277&lt;&gt;"",L277&lt;&gt;"")),"×","○")</f>
        <v>○</v>
      </c>
      <c r="BE277" s="653" t="str">
        <f t="shared" ref="BE277" si="2600">IF(AND($M$7=" ",OR(M277&lt;&gt;"",O277&lt;&gt;"",P277&lt;&gt;"",Q277&lt;&gt;"")),"×","○")</f>
        <v>○</v>
      </c>
      <c r="BF277" s="653" t="str">
        <f t="shared" ref="BF277" si="2601">IF(AND($R$7=" ",OR(R277&lt;&gt;"",T277&lt;&gt;"",U277&lt;&gt;"",V277&lt;&gt;"")),"×","○")</f>
        <v>○</v>
      </c>
      <c r="BG277" s="653" t="str">
        <f t="shared" ref="BG277" si="2602">IF(AND($W$7=" ",OR(W277&lt;&gt;"",Y277&lt;&gt;"",Z277&lt;&gt;"",AA277&lt;&gt;"")),"×","○")</f>
        <v>○</v>
      </c>
      <c r="BH277" s="653" t="str">
        <f t="shared" ref="BH277" si="2603">IF(AND($AB$7=" ",OR(AB277&lt;&gt;"",AD277&lt;&gt;"",AE277&lt;&gt;"",AF277&lt;&gt;"")),"×","○")</f>
        <v>○</v>
      </c>
      <c r="BI277" s="653" t="str">
        <f t="shared" ref="BI277" si="2604">IF(AND($AG$7=" ",OR(AG277&lt;&gt;"",AI277&lt;&gt;"",AJ277&lt;&gt;"")),"×","○")</f>
        <v>○</v>
      </c>
      <c r="BJ277" s="2225" t="e">
        <f t="shared" ref="BJ277" si="2605">SUMPRODUCT(1/COUNTIF(I277:AH277,"宿泊"))</f>
        <v>#DIV/0!</v>
      </c>
      <c r="BK277" s="2226" t="e">
        <f t="shared" ref="BK277" si="2606">SUMPRODUCT(1/COUNTIF(I277:AH277,"日帰り"))</f>
        <v>#DIV/0!</v>
      </c>
      <c r="BL277" s="1381">
        <f t="shared" ref="BL277" si="2607">COUNT(BJ277)-COUNT(BK277)</f>
        <v>0</v>
      </c>
      <c r="BM277" s="684"/>
    </row>
    <row r="278" spans="1:65" ht="14.1" customHeight="1" x14ac:dyDescent="0.15">
      <c r="A278" s="652"/>
      <c r="B278" s="2174"/>
      <c r="C278" s="2117"/>
      <c r="D278" s="2007"/>
      <c r="E278" s="2005"/>
      <c r="F278" s="2042"/>
      <c r="G278" s="2119"/>
      <c r="H278" s="2107"/>
      <c r="I278" s="2112"/>
      <c r="J278" s="2113"/>
      <c r="K278" s="2105"/>
      <c r="L278" s="2127"/>
      <c r="M278" s="2112"/>
      <c r="N278" s="2113"/>
      <c r="O278" s="2105"/>
      <c r="P278" s="2105"/>
      <c r="Q278" s="2107"/>
      <c r="R278" s="2112"/>
      <c r="S278" s="2113"/>
      <c r="T278" s="2105"/>
      <c r="U278" s="2105"/>
      <c r="V278" s="2107"/>
      <c r="W278" s="2112"/>
      <c r="X278" s="2113"/>
      <c r="Y278" s="2105"/>
      <c r="Z278" s="2105"/>
      <c r="AA278" s="2107"/>
      <c r="AB278" s="2112"/>
      <c r="AC278" s="2113"/>
      <c r="AD278" s="2105"/>
      <c r="AE278" s="2105"/>
      <c r="AF278" s="2107"/>
      <c r="AG278" s="2112"/>
      <c r="AH278" s="2113"/>
      <c r="AI278" s="2105"/>
      <c r="AJ278" s="2105"/>
      <c r="AK278" s="2011"/>
      <c r="AL278" s="2012"/>
      <c r="AM278" s="2012"/>
      <c r="AN278" s="2013"/>
      <c r="AO278" s="2011"/>
      <c r="AP278" s="2012"/>
      <c r="AQ278" s="2012"/>
      <c r="AR278" s="2013"/>
      <c r="AS278" s="651"/>
      <c r="AT278" s="652"/>
      <c r="AU278" s="1983"/>
      <c r="AV278" s="1983"/>
      <c r="AW278" s="1983"/>
      <c r="AX278" s="1983"/>
      <c r="AY278" s="1983"/>
      <c r="AZ278" s="1983"/>
      <c r="BA278" s="1983"/>
      <c r="BB278" s="654"/>
      <c r="BC278" s="654"/>
      <c r="BD278" s="652"/>
      <c r="BE278" s="652"/>
      <c r="BF278" s="652"/>
      <c r="BG278" s="652"/>
      <c r="BH278" s="652"/>
      <c r="BI278" s="652"/>
      <c r="BJ278" s="2225"/>
      <c r="BK278" s="2226"/>
      <c r="BL278" s="1381"/>
      <c r="BM278" s="684"/>
    </row>
    <row r="279" spans="1:65" ht="14.1" customHeight="1" x14ac:dyDescent="0.15">
      <c r="A279" s="652" t="str">
        <f t="shared" ref="A279" si="2608">IF(AND(D279="",D281&lt;&gt;""),"×","○")</f>
        <v>○</v>
      </c>
      <c r="B279" s="2174" t="str">
        <f t="shared" ref="B279" si="2609">IF(AND(AT279="○",BB279="○",BC279="○",A279="○"),"○","×")</f>
        <v>○</v>
      </c>
      <c r="C279" s="2116">
        <v>133</v>
      </c>
      <c r="D279" s="2006"/>
      <c r="E279" s="2004"/>
      <c r="F279" s="2041"/>
      <c r="G279" s="2118"/>
      <c r="H279" s="2106"/>
      <c r="I279" s="2141"/>
      <c r="J279" s="2142"/>
      <c r="K279" s="2104"/>
      <c r="L279" s="2140"/>
      <c r="M279" s="2110"/>
      <c r="N279" s="2111"/>
      <c r="O279" s="2104"/>
      <c r="P279" s="2104"/>
      <c r="Q279" s="2106"/>
      <c r="R279" s="2110"/>
      <c r="S279" s="2111"/>
      <c r="T279" s="2104"/>
      <c r="U279" s="2104"/>
      <c r="V279" s="2106"/>
      <c r="W279" s="2110"/>
      <c r="X279" s="2111"/>
      <c r="Y279" s="2104"/>
      <c r="Z279" s="2104"/>
      <c r="AA279" s="2106"/>
      <c r="AB279" s="2110"/>
      <c r="AC279" s="2111"/>
      <c r="AD279" s="2104"/>
      <c r="AE279" s="2104"/>
      <c r="AF279" s="2106"/>
      <c r="AG279" s="2110"/>
      <c r="AH279" s="2111"/>
      <c r="AI279" s="2104"/>
      <c r="AJ279" s="2104"/>
      <c r="AK279" s="2038"/>
      <c r="AL279" s="2039"/>
      <c r="AM279" s="2039"/>
      <c r="AN279" s="2040"/>
      <c r="AO279" s="2008"/>
      <c r="AP279" s="2009"/>
      <c r="AQ279" s="2009"/>
      <c r="AR279" s="2010"/>
      <c r="AS279" s="651"/>
      <c r="AT279" s="652" t="str">
        <f t="shared" ref="AT279" si="2610">IF(OR(AND(D279&lt;&gt;"",OR(AND(E279&lt;&gt;"",F279&lt;&gt;"",OR(G279&lt;&gt;"",H279&lt;&gt;"")),AND(E279="",F279="バス・カメラマン等"))),AND(D279="",E279="",F279="",OR(G279="",H279=""))),"○","×")</f>
        <v>○</v>
      </c>
      <c r="AU279" s="1983" t="str">
        <f t="shared" ref="AU279" si="2611">IF(AND(E279&lt;&gt;"",E279&lt;=2),"2歳児以下","")</f>
        <v/>
      </c>
      <c r="AV279" s="1983" t="str">
        <f t="shared" ref="AV279" si="2612">IF(OR(AND(3&lt;=E279,E279&lt;=6),COUNTIF(E279, "幼*"),COUNTIF(E279, "年少"),COUNTIF(E279, "年中"),COUNTIF(E279, "年長")),"3歳-学齢前","")</f>
        <v/>
      </c>
      <c r="AW279" s="1983" t="str">
        <f t="shared" ref="AW279" si="2613">IF(OR(AND(6&lt;=E279,E279&lt;=12),COUNTIF(E279, "小*")),"小学生","")</f>
        <v/>
      </c>
      <c r="AX279" s="1983" t="str">
        <f t="shared" ref="AX279" si="2614">IF(OR(AND(12&lt;=E279,E279&lt;=15),COUNTIF(E279, "中*")),"中学生","")</f>
        <v/>
      </c>
      <c r="AY279" s="1983" t="str">
        <f t="shared" ref="AY279" si="2615">IF(OR(AND(15&lt;=E279,E279&lt;=18),COUNTIF(E279, "高*")),"高校生(～18歳)","")</f>
        <v/>
      </c>
      <c r="AZ279" s="1983" t="str">
        <f t="shared" ref="AZ279" si="2616">IF(OR(19&lt;=E279,COUNTIF(E279, "大*"),COUNTIF(E279, "*院*"),COUNTIF(E279, "*専*")),"一般(19歳～)","")</f>
        <v/>
      </c>
      <c r="BA279" s="1983" t="s">
        <v>475</v>
      </c>
      <c r="BB279" s="652" t="str">
        <f t="shared" ref="BB279" si="2617">IF(OR(AND(D279="",I279="",M279="",R279="",W279="",AB279="",AG279=""),AND(D279&lt;&gt;"",OR(I279&lt;&gt;"",M279&lt;&gt;"",R279&lt;&gt;"",W279&lt;&gt;"",AB279&lt;&gt;"",AG279&lt;&gt;""))),"○","×")</f>
        <v>○</v>
      </c>
      <c r="BC279" s="652" t="str">
        <f t="shared" ref="BC279" si="2618">IF(AND(BD279="○",BE279="○",BF279="○",BG279="○",BH279="○",BI279="○"),"○","×")</f>
        <v>○</v>
      </c>
      <c r="BD279" s="653" t="str">
        <f t="shared" ref="BD279" si="2619">IF(AND($I$7=" ",OR(I279&lt;&gt;"",K279&lt;&gt;"",L279&lt;&gt;"")),"×","○")</f>
        <v>○</v>
      </c>
      <c r="BE279" s="653" t="str">
        <f t="shared" ref="BE279" si="2620">IF(AND($M$7=" ",OR(M279&lt;&gt;"",O279&lt;&gt;"",P279&lt;&gt;"",Q279&lt;&gt;"")),"×","○")</f>
        <v>○</v>
      </c>
      <c r="BF279" s="653" t="str">
        <f t="shared" ref="BF279" si="2621">IF(AND($R$7=" ",OR(R279&lt;&gt;"",T279&lt;&gt;"",U279&lt;&gt;"",V279&lt;&gt;"")),"×","○")</f>
        <v>○</v>
      </c>
      <c r="BG279" s="653" t="str">
        <f t="shared" ref="BG279" si="2622">IF(AND($W$7=" ",OR(W279&lt;&gt;"",Y279&lt;&gt;"",Z279&lt;&gt;"",AA279&lt;&gt;"")),"×","○")</f>
        <v>○</v>
      </c>
      <c r="BH279" s="653" t="str">
        <f t="shared" ref="BH279" si="2623">IF(AND($AB$7=" ",OR(AB279&lt;&gt;"",AD279&lt;&gt;"",AE279&lt;&gt;"",AF279&lt;&gt;"")),"×","○")</f>
        <v>○</v>
      </c>
      <c r="BI279" s="653" t="str">
        <f t="shared" ref="BI279" si="2624">IF(AND($AG$7=" ",OR(AG279&lt;&gt;"",AI279&lt;&gt;"",AJ279&lt;&gt;"")),"×","○")</f>
        <v>○</v>
      </c>
      <c r="BJ279" s="2225" t="e">
        <f t="shared" ref="BJ279" si="2625">SUMPRODUCT(1/COUNTIF(I279:AH279,"宿泊"))</f>
        <v>#DIV/0!</v>
      </c>
      <c r="BK279" s="2226" t="e">
        <f t="shared" ref="BK279" si="2626">SUMPRODUCT(1/COUNTIF(I279:AH279,"日帰り"))</f>
        <v>#DIV/0!</v>
      </c>
      <c r="BL279" s="1381">
        <f t="shared" ref="BL279" si="2627">COUNT(BJ279)-COUNT(BK279)</f>
        <v>0</v>
      </c>
      <c r="BM279" s="684"/>
    </row>
    <row r="280" spans="1:65" ht="14.1" customHeight="1" x14ac:dyDescent="0.15">
      <c r="A280" s="652"/>
      <c r="B280" s="2174"/>
      <c r="C280" s="2117"/>
      <c r="D280" s="2007"/>
      <c r="E280" s="2005"/>
      <c r="F280" s="2042"/>
      <c r="G280" s="2119"/>
      <c r="H280" s="2107"/>
      <c r="I280" s="2112"/>
      <c r="J280" s="2113"/>
      <c r="K280" s="2105"/>
      <c r="L280" s="2127"/>
      <c r="M280" s="2112"/>
      <c r="N280" s="2113"/>
      <c r="O280" s="2105"/>
      <c r="P280" s="2105"/>
      <c r="Q280" s="2107"/>
      <c r="R280" s="2112"/>
      <c r="S280" s="2113"/>
      <c r="T280" s="2105"/>
      <c r="U280" s="2105"/>
      <c r="V280" s="2107"/>
      <c r="W280" s="2112"/>
      <c r="X280" s="2113"/>
      <c r="Y280" s="2105"/>
      <c r="Z280" s="2105"/>
      <c r="AA280" s="2107"/>
      <c r="AB280" s="2112"/>
      <c r="AC280" s="2113"/>
      <c r="AD280" s="2105"/>
      <c r="AE280" s="2105"/>
      <c r="AF280" s="2107"/>
      <c r="AG280" s="2112"/>
      <c r="AH280" s="2113"/>
      <c r="AI280" s="2105"/>
      <c r="AJ280" s="2105"/>
      <c r="AK280" s="2011"/>
      <c r="AL280" s="2012"/>
      <c r="AM280" s="2012"/>
      <c r="AN280" s="2013"/>
      <c r="AO280" s="2011"/>
      <c r="AP280" s="2012"/>
      <c r="AQ280" s="2012"/>
      <c r="AR280" s="2013"/>
      <c r="AS280" s="651"/>
      <c r="AT280" s="652"/>
      <c r="AU280" s="1983"/>
      <c r="AV280" s="1983"/>
      <c r="AW280" s="1983"/>
      <c r="AX280" s="1983"/>
      <c r="AY280" s="1983"/>
      <c r="AZ280" s="1983"/>
      <c r="BA280" s="1983"/>
      <c r="BB280" s="654"/>
      <c r="BC280" s="654"/>
      <c r="BD280" s="652"/>
      <c r="BE280" s="652"/>
      <c r="BF280" s="652"/>
      <c r="BG280" s="652"/>
      <c r="BH280" s="652"/>
      <c r="BI280" s="652"/>
      <c r="BJ280" s="2225"/>
      <c r="BK280" s="2226"/>
      <c r="BL280" s="1381"/>
      <c r="BM280" s="684"/>
    </row>
    <row r="281" spans="1:65" ht="14.1" customHeight="1" x14ac:dyDescent="0.15">
      <c r="A281" s="652" t="str">
        <f t="shared" ref="A281" si="2628">IF(AND(D281="",D283&lt;&gt;""),"×","○")</f>
        <v>○</v>
      </c>
      <c r="B281" s="2174" t="str">
        <f t="shared" ref="B281" si="2629">IF(AND(AT281="○",BB281="○",BC281="○",A281="○"),"○","×")</f>
        <v>○</v>
      </c>
      <c r="C281" s="2116">
        <v>134</v>
      </c>
      <c r="D281" s="2006"/>
      <c r="E281" s="2004"/>
      <c r="F281" s="2041"/>
      <c r="G281" s="2118"/>
      <c r="H281" s="2106"/>
      <c r="I281" s="2141"/>
      <c r="J281" s="2142"/>
      <c r="K281" s="2104"/>
      <c r="L281" s="2140"/>
      <c r="M281" s="2110"/>
      <c r="N281" s="2111"/>
      <c r="O281" s="2104"/>
      <c r="P281" s="2104"/>
      <c r="Q281" s="2106"/>
      <c r="R281" s="2110"/>
      <c r="S281" s="2111"/>
      <c r="T281" s="2104"/>
      <c r="U281" s="2104"/>
      <c r="V281" s="2106"/>
      <c r="W281" s="2110"/>
      <c r="X281" s="2111"/>
      <c r="Y281" s="2104"/>
      <c r="Z281" s="2104"/>
      <c r="AA281" s="2106"/>
      <c r="AB281" s="2110"/>
      <c r="AC281" s="2111"/>
      <c r="AD281" s="2104"/>
      <c r="AE281" s="2104"/>
      <c r="AF281" s="2106"/>
      <c r="AG281" s="2110"/>
      <c r="AH281" s="2111"/>
      <c r="AI281" s="2104"/>
      <c r="AJ281" s="2104"/>
      <c r="AK281" s="2038"/>
      <c r="AL281" s="2039"/>
      <c r="AM281" s="2039"/>
      <c r="AN281" s="2040"/>
      <c r="AO281" s="2008"/>
      <c r="AP281" s="2009"/>
      <c r="AQ281" s="2009"/>
      <c r="AR281" s="2010"/>
      <c r="AS281" s="651"/>
      <c r="AT281" s="652" t="str">
        <f t="shared" ref="AT281" si="2630">IF(OR(AND(D281&lt;&gt;"",OR(AND(E281&lt;&gt;"",F281&lt;&gt;"",OR(G281&lt;&gt;"",H281&lt;&gt;"")),AND(E281="",F281="バス・カメラマン等"))),AND(D281="",E281="",F281="",OR(G281="",H281=""))),"○","×")</f>
        <v>○</v>
      </c>
      <c r="AU281" s="1983" t="str">
        <f t="shared" ref="AU281" si="2631">IF(AND(E281&lt;&gt;"",E281&lt;=2),"2歳児以下","")</f>
        <v/>
      </c>
      <c r="AV281" s="1983" t="str">
        <f t="shared" ref="AV281" si="2632">IF(OR(AND(3&lt;=E281,E281&lt;=6),COUNTIF(E281, "幼*"),COUNTIF(E281, "年少"),COUNTIF(E281, "年中"),COUNTIF(E281, "年長")),"3歳-学齢前","")</f>
        <v/>
      </c>
      <c r="AW281" s="1983" t="str">
        <f t="shared" ref="AW281" si="2633">IF(OR(AND(6&lt;=E281,E281&lt;=12),COUNTIF(E281, "小*")),"小学生","")</f>
        <v/>
      </c>
      <c r="AX281" s="1983" t="str">
        <f t="shared" ref="AX281" si="2634">IF(OR(AND(12&lt;=E281,E281&lt;=15),COUNTIF(E281, "中*")),"中学生","")</f>
        <v/>
      </c>
      <c r="AY281" s="1983" t="str">
        <f t="shared" ref="AY281" si="2635">IF(OR(AND(15&lt;=E281,E281&lt;=18),COUNTIF(E281, "高*")),"高校生(～18歳)","")</f>
        <v/>
      </c>
      <c r="AZ281" s="1983" t="str">
        <f t="shared" ref="AZ281" si="2636">IF(OR(19&lt;=E281,COUNTIF(E281, "大*"),COUNTIF(E281, "*院*"),COUNTIF(E281, "*専*")),"一般(19歳～)","")</f>
        <v/>
      </c>
      <c r="BA281" s="1983" t="s">
        <v>475</v>
      </c>
      <c r="BB281" s="652" t="str">
        <f t="shared" ref="BB281" si="2637">IF(OR(AND(D281="",I281="",M281="",R281="",W281="",AB281="",AG281=""),AND(D281&lt;&gt;"",OR(I281&lt;&gt;"",M281&lt;&gt;"",R281&lt;&gt;"",W281&lt;&gt;"",AB281&lt;&gt;"",AG281&lt;&gt;""))),"○","×")</f>
        <v>○</v>
      </c>
      <c r="BC281" s="652" t="str">
        <f t="shared" ref="BC281" si="2638">IF(AND(BD281="○",BE281="○",BF281="○",BG281="○",BH281="○",BI281="○"),"○","×")</f>
        <v>○</v>
      </c>
      <c r="BD281" s="653" t="str">
        <f t="shared" ref="BD281" si="2639">IF(AND($I$7=" ",OR(I281&lt;&gt;"",K281&lt;&gt;"",L281&lt;&gt;"")),"×","○")</f>
        <v>○</v>
      </c>
      <c r="BE281" s="653" t="str">
        <f t="shared" ref="BE281" si="2640">IF(AND($M$7=" ",OR(M281&lt;&gt;"",O281&lt;&gt;"",P281&lt;&gt;"",Q281&lt;&gt;"")),"×","○")</f>
        <v>○</v>
      </c>
      <c r="BF281" s="653" t="str">
        <f t="shared" ref="BF281" si="2641">IF(AND($R$7=" ",OR(R281&lt;&gt;"",T281&lt;&gt;"",U281&lt;&gt;"",V281&lt;&gt;"")),"×","○")</f>
        <v>○</v>
      </c>
      <c r="BG281" s="653" t="str">
        <f t="shared" ref="BG281" si="2642">IF(AND($W$7=" ",OR(W281&lt;&gt;"",Y281&lt;&gt;"",Z281&lt;&gt;"",AA281&lt;&gt;"")),"×","○")</f>
        <v>○</v>
      </c>
      <c r="BH281" s="653" t="str">
        <f t="shared" ref="BH281" si="2643">IF(AND($AB$7=" ",OR(AB281&lt;&gt;"",AD281&lt;&gt;"",AE281&lt;&gt;"",AF281&lt;&gt;"")),"×","○")</f>
        <v>○</v>
      </c>
      <c r="BI281" s="653" t="str">
        <f t="shared" ref="BI281" si="2644">IF(AND($AG$7=" ",OR(AG281&lt;&gt;"",AI281&lt;&gt;"",AJ281&lt;&gt;"")),"×","○")</f>
        <v>○</v>
      </c>
      <c r="BJ281" s="2225" t="e">
        <f t="shared" ref="BJ281" si="2645">SUMPRODUCT(1/COUNTIF(I281:AH281,"宿泊"))</f>
        <v>#DIV/0!</v>
      </c>
      <c r="BK281" s="2226" t="e">
        <f t="shared" ref="BK281" si="2646">SUMPRODUCT(1/COUNTIF(I281:AH281,"日帰り"))</f>
        <v>#DIV/0!</v>
      </c>
      <c r="BL281" s="1381">
        <f t="shared" ref="BL281" si="2647">COUNT(BJ281)-COUNT(BK281)</f>
        <v>0</v>
      </c>
      <c r="BM281" s="684"/>
    </row>
    <row r="282" spans="1:65" ht="14.1" customHeight="1" x14ac:dyDescent="0.15">
      <c r="A282" s="652"/>
      <c r="B282" s="2174"/>
      <c r="C282" s="2117"/>
      <c r="D282" s="2007"/>
      <c r="E282" s="2005"/>
      <c r="F282" s="2042"/>
      <c r="G282" s="2119"/>
      <c r="H282" s="2107"/>
      <c r="I282" s="2112"/>
      <c r="J282" s="2113"/>
      <c r="K282" s="2105"/>
      <c r="L282" s="2127"/>
      <c r="M282" s="2112"/>
      <c r="N282" s="2113"/>
      <c r="O282" s="2105"/>
      <c r="P282" s="2105"/>
      <c r="Q282" s="2107"/>
      <c r="R282" s="2112"/>
      <c r="S282" s="2113"/>
      <c r="T282" s="2105"/>
      <c r="U282" s="2105"/>
      <c r="V282" s="2107"/>
      <c r="W282" s="2112"/>
      <c r="X282" s="2113"/>
      <c r="Y282" s="2105"/>
      <c r="Z282" s="2105"/>
      <c r="AA282" s="2107"/>
      <c r="AB282" s="2112"/>
      <c r="AC282" s="2113"/>
      <c r="AD282" s="2105"/>
      <c r="AE282" s="2105"/>
      <c r="AF282" s="2107"/>
      <c r="AG282" s="2112"/>
      <c r="AH282" s="2113"/>
      <c r="AI282" s="2105"/>
      <c r="AJ282" s="2105"/>
      <c r="AK282" s="2011"/>
      <c r="AL282" s="2012"/>
      <c r="AM282" s="2012"/>
      <c r="AN282" s="2013"/>
      <c r="AO282" s="2011"/>
      <c r="AP282" s="2012"/>
      <c r="AQ282" s="2012"/>
      <c r="AR282" s="2013"/>
      <c r="AS282" s="651"/>
      <c r="AT282" s="652"/>
      <c r="AU282" s="1983"/>
      <c r="AV282" s="1983"/>
      <c r="AW282" s="1983"/>
      <c r="AX282" s="1983"/>
      <c r="AY282" s="1983"/>
      <c r="AZ282" s="1983"/>
      <c r="BA282" s="1983"/>
      <c r="BB282" s="654"/>
      <c r="BC282" s="654"/>
      <c r="BD282" s="652"/>
      <c r="BE282" s="652"/>
      <c r="BF282" s="652"/>
      <c r="BG282" s="652"/>
      <c r="BH282" s="652"/>
      <c r="BI282" s="652"/>
      <c r="BJ282" s="2225"/>
      <c r="BK282" s="2226"/>
      <c r="BL282" s="1381"/>
      <c r="BM282" s="684"/>
    </row>
    <row r="283" spans="1:65" ht="14.1" customHeight="1" x14ac:dyDescent="0.15">
      <c r="A283" s="652" t="str">
        <f t="shared" ref="A283" si="2648">IF(AND(D283="",D285&lt;&gt;""),"×","○")</f>
        <v>○</v>
      </c>
      <c r="B283" s="2174" t="str">
        <f t="shared" ref="B283" si="2649">IF(AND(AT283="○",BB283="○",BC283="○",A283="○"),"○","×")</f>
        <v>○</v>
      </c>
      <c r="C283" s="2116">
        <v>135</v>
      </c>
      <c r="D283" s="2006"/>
      <c r="E283" s="2004"/>
      <c r="F283" s="2041"/>
      <c r="G283" s="2118"/>
      <c r="H283" s="2106"/>
      <c r="I283" s="2141"/>
      <c r="J283" s="2142"/>
      <c r="K283" s="2104"/>
      <c r="L283" s="2140"/>
      <c r="M283" s="2110"/>
      <c r="N283" s="2111"/>
      <c r="O283" s="2104"/>
      <c r="P283" s="2104"/>
      <c r="Q283" s="2106"/>
      <c r="R283" s="2110"/>
      <c r="S283" s="2111"/>
      <c r="T283" s="2104"/>
      <c r="U283" s="2104"/>
      <c r="V283" s="2106"/>
      <c r="W283" s="2110"/>
      <c r="X283" s="2111"/>
      <c r="Y283" s="2104"/>
      <c r="Z283" s="2104"/>
      <c r="AA283" s="2106"/>
      <c r="AB283" s="2110"/>
      <c r="AC283" s="2111"/>
      <c r="AD283" s="2104"/>
      <c r="AE283" s="2104"/>
      <c r="AF283" s="2106"/>
      <c r="AG283" s="2110"/>
      <c r="AH283" s="2111"/>
      <c r="AI283" s="2104"/>
      <c r="AJ283" s="2104"/>
      <c r="AK283" s="2038"/>
      <c r="AL283" s="2039"/>
      <c r="AM283" s="2039"/>
      <c r="AN283" s="2040"/>
      <c r="AO283" s="2008"/>
      <c r="AP283" s="2009"/>
      <c r="AQ283" s="2009"/>
      <c r="AR283" s="2010"/>
      <c r="AS283" s="651"/>
      <c r="AT283" s="652" t="str">
        <f t="shared" ref="AT283" si="2650">IF(OR(AND(D283&lt;&gt;"",OR(AND(E283&lt;&gt;"",F283&lt;&gt;"",OR(G283&lt;&gt;"",H283&lt;&gt;"")),AND(E283="",F283="バス・カメラマン等"))),AND(D283="",E283="",F283="",OR(G283="",H283=""))),"○","×")</f>
        <v>○</v>
      </c>
      <c r="AU283" s="1983" t="str">
        <f t="shared" ref="AU283" si="2651">IF(AND(E283&lt;&gt;"",E283&lt;=2),"2歳児以下","")</f>
        <v/>
      </c>
      <c r="AV283" s="1983" t="str">
        <f t="shared" ref="AV283" si="2652">IF(OR(AND(3&lt;=E283,E283&lt;=6),COUNTIF(E283, "幼*"),COUNTIF(E283, "年少"),COUNTIF(E283, "年中"),COUNTIF(E283, "年長")),"3歳-学齢前","")</f>
        <v/>
      </c>
      <c r="AW283" s="1983" t="str">
        <f t="shared" ref="AW283" si="2653">IF(OR(AND(6&lt;=E283,E283&lt;=12),COUNTIF(E283, "小*")),"小学生","")</f>
        <v/>
      </c>
      <c r="AX283" s="1983" t="str">
        <f t="shared" ref="AX283" si="2654">IF(OR(AND(12&lt;=E283,E283&lt;=15),COUNTIF(E283, "中*")),"中学生","")</f>
        <v/>
      </c>
      <c r="AY283" s="1983" t="str">
        <f t="shared" ref="AY283" si="2655">IF(OR(AND(15&lt;=E283,E283&lt;=18),COUNTIF(E283, "高*")),"高校生(～18歳)","")</f>
        <v/>
      </c>
      <c r="AZ283" s="1983" t="str">
        <f t="shared" ref="AZ283" si="2656">IF(OR(19&lt;=E283,COUNTIF(E283, "大*"),COUNTIF(E283, "*院*"),COUNTIF(E283, "*専*")),"一般(19歳～)","")</f>
        <v/>
      </c>
      <c r="BA283" s="1983" t="s">
        <v>475</v>
      </c>
      <c r="BB283" s="652" t="str">
        <f t="shared" ref="BB283" si="2657">IF(OR(AND(D283="",I283="",M283="",R283="",W283="",AB283="",AG283=""),AND(D283&lt;&gt;"",OR(I283&lt;&gt;"",M283&lt;&gt;"",R283&lt;&gt;"",W283&lt;&gt;"",AB283&lt;&gt;"",AG283&lt;&gt;""))),"○","×")</f>
        <v>○</v>
      </c>
      <c r="BC283" s="652" t="str">
        <f t="shared" ref="BC283" si="2658">IF(AND(BD283="○",BE283="○",BF283="○",BG283="○",BH283="○",BI283="○"),"○","×")</f>
        <v>○</v>
      </c>
      <c r="BD283" s="653" t="str">
        <f t="shared" ref="BD283" si="2659">IF(AND($I$7=" ",OR(I283&lt;&gt;"",K283&lt;&gt;"",L283&lt;&gt;"")),"×","○")</f>
        <v>○</v>
      </c>
      <c r="BE283" s="653" t="str">
        <f t="shared" ref="BE283" si="2660">IF(AND($M$7=" ",OR(M283&lt;&gt;"",O283&lt;&gt;"",P283&lt;&gt;"",Q283&lt;&gt;"")),"×","○")</f>
        <v>○</v>
      </c>
      <c r="BF283" s="653" t="str">
        <f t="shared" ref="BF283" si="2661">IF(AND($R$7=" ",OR(R283&lt;&gt;"",T283&lt;&gt;"",U283&lt;&gt;"",V283&lt;&gt;"")),"×","○")</f>
        <v>○</v>
      </c>
      <c r="BG283" s="653" t="str">
        <f t="shared" ref="BG283" si="2662">IF(AND($W$7=" ",OR(W283&lt;&gt;"",Y283&lt;&gt;"",Z283&lt;&gt;"",AA283&lt;&gt;"")),"×","○")</f>
        <v>○</v>
      </c>
      <c r="BH283" s="653" t="str">
        <f t="shared" ref="BH283" si="2663">IF(AND($AB$7=" ",OR(AB283&lt;&gt;"",AD283&lt;&gt;"",AE283&lt;&gt;"",AF283&lt;&gt;"")),"×","○")</f>
        <v>○</v>
      </c>
      <c r="BI283" s="653" t="str">
        <f t="shared" ref="BI283" si="2664">IF(AND($AG$7=" ",OR(AG283&lt;&gt;"",AI283&lt;&gt;"",AJ283&lt;&gt;"")),"×","○")</f>
        <v>○</v>
      </c>
      <c r="BJ283" s="2225" t="e">
        <f t="shared" ref="BJ283" si="2665">SUMPRODUCT(1/COUNTIF(I283:AH283,"宿泊"))</f>
        <v>#DIV/0!</v>
      </c>
      <c r="BK283" s="2226" t="e">
        <f t="shared" ref="BK283" si="2666">SUMPRODUCT(1/COUNTIF(I283:AH283,"日帰り"))</f>
        <v>#DIV/0!</v>
      </c>
      <c r="BL283" s="1381">
        <f t="shared" ref="BL283" si="2667">COUNT(BJ283)-COUNT(BK283)</f>
        <v>0</v>
      </c>
      <c r="BM283" s="684"/>
    </row>
    <row r="284" spans="1:65" ht="14.1" customHeight="1" x14ac:dyDescent="0.15">
      <c r="A284" s="652"/>
      <c r="B284" s="2174"/>
      <c r="C284" s="2117"/>
      <c r="D284" s="2007"/>
      <c r="E284" s="2005"/>
      <c r="F284" s="2042"/>
      <c r="G284" s="2119"/>
      <c r="H284" s="2107"/>
      <c r="I284" s="2112"/>
      <c r="J284" s="2113"/>
      <c r="K284" s="2105"/>
      <c r="L284" s="2127"/>
      <c r="M284" s="2112"/>
      <c r="N284" s="2113"/>
      <c r="O284" s="2105"/>
      <c r="P284" s="2105"/>
      <c r="Q284" s="2107"/>
      <c r="R284" s="2112"/>
      <c r="S284" s="2113"/>
      <c r="T284" s="2105"/>
      <c r="U284" s="2105"/>
      <c r="V284" s="2107"/>
      <c r="W284" s="2112"/>
      <c r="X284" s="2113"/>
      <c r="Y284" s="2105"/>
      <c r="Z284" s="2105"/>
      <c r="AA284" s="2107"/>
      <c r="AB284" s="2112"/>
      <c r="AC284" s="2113"/>
      <c r="AD284" s="2105"/>
      <c r="AE284" s="2105"/>
      <c r="AF284" s="2107"/>
      <c r="AG284" s="2112"/>
      <c r="AH284" s="2113"/>
      <c r="AI284" s="2105"/>
      <c r="AJ284" s="2105"/>
      <c r="AK284" s="2011"/>
      <c r="AL284" s="2012"/>
      <c r="AM284" s="2012"/>
      <c r="AN284" s="2013"/>
      <c r="AO284" s="2011"/>
      <c r="AP284" s="2012"/>
      <c r="AQ284" s="2012"/>
      <c r="AR284" s="2013"/>
      <c r="AS284" s="651"/>
      <c r="AT284" s="652"/>
      <c r="AU284" s="1983"/>
      <c r="AV284" s="1983"/>
      <c r="AW284" s="1983"/>
      <c r="AX284" s="1983"/>
      <c r="AY284" s="1983"/>
      <c r="AZ284" s="1983"/>
      <c r="BA284" s="1983"/>
      <c r="BB284" s="654"/>
      <c r="BC284" s="654"/>
      <c r="BD284" s="652"/>
      <c r="BE284" s="652"/>
      <c r="BF284" s="652"/>
      <c r="BG284" s="652"/>
      <c r="BH284" s="652"/>
      <c r="BI284" s="652"/>
      <c r="BJ284" s="2225"/>
      <c r="BK284" s="2226"/>
      <c r="BL284" s="1381"/>
      <c r="BM284" s="684"/>
    </row>
    <row r="285" spans="1:65" ht="14.1" customHeight="1" x14ac:dyDescent="0.15">
      <c r="A285" s="652" t="str">
        <f t="shared" ref="A285" si="2668">IF(AND(D285="",D287&lt;&gt;""),"×","○")</f>
        <v>○</v>
      </c>
      <c r="B285" s="2174" t="str">
        <f t="shared" ref="B285" si="2669">IF(AND(AT285="○",BB285="○",BC285="○",A285="○"),"○","×")</f>
        <v>○</v>
      </c>
      <c r="C285" s="2143">
        <v>136</v>
      </c>
      <c r="D285" s="2006"/>
      <c r="E285" s="2004"/>
      <c r="F285" s="2041"/>
      <c r="G285" s="2118"/>
      <c r="H285" s="2106"/>
      <c r="I285" s="2141"/>
      <c r="J285" s="2142"/>
      <c r="K285" s="2104"/>
      <c r="L285" s="2140"/>
      <c r="M285" s="2110"/>
      <c r="N285" s="2111"/>
      <c r="O285" s="2104"/>
      <c r="P285" s="2104"/>
      <c r="Q285" s="2106"/>
      <c r="R285" s="2110"/>
      <c r="S285" s="2111"/>
      <c r="T285" s="2104"/>
      <c r="U285" s="2104"/>
      <c r="V285" s="2106"/>
      <c r="W285" s="2110"/>
      <c r="X285" s="2111"/>
      <c r="Y285" s="2104"/>
      <c r="Z285" s="2104"/>
      <c r="AA285" s="2106"/>
      <c r="AB285" s="2110"/>
      <c r="AC285" s="2111"/>
      <c r="AD285" s="2104"/>
      <c r="AE285" s="2104"/>
      <c r="AF285" s="2106"/>
      <c r="AG285" s="2110"/>
      <c r="AH285" s="2111"/>
      <c r="AI285" s="2104"/>
      <c r="AJ285" s="2104"/>
      <c r="AK285" s="2038"/>
      <c r="AL285" s="2039"/>
      <c r="AM285" s="2039"/>
      <c r="AN285" s="2040"/>
      <c r="AO285" s="2008"/>
      <c r="AP285" s="2009"/>
      <c r="AQ285" s="2009"/>
      <c r="AR285" s="2010"/>
      <c r="AS285" s="651"/>
      <c r="AT285" s="652" t="str">
        <f t="shared" ref="AT285" si="2670">IF(OR(AND(D285&lt;&gt;"",OR(AND(E285&lt;&gt;"",F285&lt;&gt;"",OR(G285&lt;&gt;"",H285&lt;&gt;"")),AND(E285="",F285="バス・カメラマン等"))),AND(D285="",E285="",F285="",OR(G285="",H285=""))),"○","×")</f>
        <v>○</v>
      </c>
      <c r="AU285" s="1983" t="str">
        <f t="shared" ref="AU285" si="2671">IF(AND(E285&lt;&gt;"",E285&lt;=2),"2歳児以下","")</f>
        <v/>
      </c>
      <c r="AV285" s="1983" t="str">
        <f t="shared" ref="AV285" si="2672">IF(OR(AND(3&lt;=E285,E285&lt;=6),COUNTIF(E285, "幼*"),COUNTIF(E285, "年少"),COUNTIF(E285, "年中"),COUNTIF(E285, "年長")),"3歳-学齢前","")</f>
        <v/>
      </c>
      <c r="AW285" s="1983" t="str">
        <f t="shared" ref="AW285" si="2673">IF(OR(AND(6&lt;=E285,E285&lt;=12),COUNTIF(E285, "小*")),"小学生","")</f>
        <v/>
      </c>
      <c r="AX285" s="1983" t="str">
        <f t="shared" ref="AX285" si="2674">IF(OR(AND(12&lt;=E285,E285&lt;=15),COUNTIF(E285, "中*")),"中学生","")</f>
        <v/>
      </c>
      <c r="AY285" s="1983" t="str">
        <f t="shared" ref="AY285" si="2675">IF(OR(AND(15&lt;=E285,E285&lt;=18),COUNTIF(E285, "高*")),"高校生(～18歳)","")</f>
        <v/>
      </c>
      <c r="AZ285" s="1983" t="str">
        <f t="shared" ref="AZ285" si="2676">IF(OR(19&lt;=E285,COUNTIF(E285, "大*"),COUNTIF(E285, "*院*"),COUNTIF(E285, "*専*")),"一般(19歳～)","")</f>
        <v/>
      </c>
      <c r="BA285" s="1983" t="s">
        <v>475</v>
      </c>
      <c r="BB285" s="652" t="str">
        <f t="shared" ref="BB285" si="2677">IF(OR(AND(D285="",I285="",M285="",R285="",W285="",AB285="",AG285=""),AND(D285&lt;&gt;"",OR(I285&lt;&gt;"",M285&lt;&gt;"",R285&lt;&gt;"",W285&lt;&gt;"",AB285&lt;&gt;"",AG285&lt;&gt;""))),"○","×")</f>
        <v>○</v>
      </c>
      <c r="BC285" s="652" t="str">
        <f t="shared" ref="BC285" si="2678">IF(AND(BD285="○",BE285="○",BF285="○",BG285="○",BH285="○",BI285="○"),"○","×")</f>
        <v>○</v>
      </c>
      <c r="BD285" s="653" t="str">
        <f t="shared" ref="BD285" si="2679">IF(AND($I$7=" ",OR(I285&lt;&gt;"",K285&lt;&gt;"",L285&lt;&gt;"")),"×","○")</f>
        <v>○</v>
      </c>
      <c r="BE285" s="653" t="str">
        <f t="shared" ref="BE285" si="2680">IF(AND($M$7=" ",OR(M285&lt;&gt;"",O285&lt;&gt;"",P285&lt;&gt;"",Q285&lt;&gt;"")),"×","○")</f>
        <v>○</v>
      </c>
      <c r="BF285" s="653" t="str">
        <f t="shared" ref="BF285" si="2681">IF(AND($R$7=" ",OR(R285&lt;&gt;"",T285&lt;&gt;"",U285&lt;&gt;"",V285&lt;&gt;"")),"×","○")</f>
        <v>○</v>
      </c>
      <c r="BG285" s="653" t="str">
        <f t="shared" ref="BG285" si="2682">IF(AND($W$7=" ",OR(W285&lt;&gt;"",Y285&lt;&gt;"",Z285&lt;&gt;"",AA285&lt;&gt;"")),"×","○")</f>
        <v>○</v>
      </c>
      <c r="BH285" s="653" t="str">
        <f t="shared" ref="BH285" si="2683">IF(AND($AB$7=" ",OR(AB285&lt;&gt;"",AD285&lt;&gt;"",AE285&lt;&gt;"",AF285&lt;&gt;"")),"×","○")</f>
        <v>○</v>
      </c>
      <c r="BI285" s="653" t="str">
        <f t="shared" ref="BI285" si="2684">IF(AND($AG$7=" ",OR(AG285&lt;&gt;"",AI285&lt;&gt;"",AJ285&lt;&gt;"")),"×","○")</f>
        <v>○</v>
      </c>
      <c r="BJ285" s="2225" t="e">
        <f t="shared" ref="BJ285" si="2685">SUMPRODUCT(1/COUNTIF(I285:AH285,"宿泊"))</f>
        <v>#DIV/0!</v>
      </c>
      <c r="BK285" s="2226" t="e">
        <f t="shared" ref="BK285" si="2686">SUMPRODUCT(1/COUNTIF(I285:AH285,"日帰り"))</f>
        <v>#DIV/0!</v>
      </c>
      <c r="BL285" s="1381">
        <f t="shared" ref="BL285" si="2687">COUNT(BJ285)-COUNT(BK285)</f>
        <v>0</v>
      </c>
      <c r="BM285" s="684"/>
    </row>
    <row r="286" spans="1:65" ht="14.1" customHeight="1" x14ac:dyDescent="0.15">
      <c r="A286" s="652"/>
      <c r="B286" s="2174"/>
      <c r="C286" s="2144"/>
      <c r="D286" s="2007"/>
      <c r="E286" s="2005"/>
      <c r="F286" s="2042"/>
      <c r="G286" s="2119"/>
      <c r="H286" s="2107"/>
      <c r="I286" s="2112"/>
      <c r="J286" s="2113"/>
      <c r="K286" s="2105"/>
      <c r="L286" s="2127"/>
      <c r="M286" s="2112"/>
      <c r="N286" s="2113"/>
      <c r="O286" s="2105"/>
      <c r="P286" s="2105"/>
      <c r="Q286" s="2107"/>
      <c r="R286" s="2112"/>
      <c r="S286" s="2113"/>
      <c r="T286" s="2105"/>
      <c r="U286" s="2105"/>
      <c r="V286" s="2107"/>
      <c r="W286" s="2112"/>
      <c r="X286" s="2113"/>
      <c r="Y286" s="2105"/>
      <c r="Z286" s="2105"/>
      <c r="AA286" s="2107"/>
      <c r="AB286" s="2112"/>
      <c r="AC286" s="2113"/>
      <c r="AD286" s="2105"/>
      <c r="AE286" s="2105"/>
      <c r="AF286" s="2107"/>
      <c r="AG286" s="2112"/>
      <c r="AH286" s="2113"/>
      <c r="AI286" s="2105"/>
      <c r="AJ286" s="2105"/>
      <c r="AK286" s="2011"/>
      <c r="AL286" s="2012"/>
      <c r="AM286" s="2012"/>
      <c r="AN286" s="2013"/>
      <c r="AO286" s="2011"/>
      <c r="AP286" s="2012"/>
      <c r="AQ286" s="2012"/>
      <c r="AR286" s="2013"/>
      <c r="AS286" s="651"/>
      <c r="AT286" s="652"/>
      <c r="AU286" s="1983"/>
      <c r="AV286" s="1983"/>
      <c r="AW286" s="1983"/>
      <c r="AX286" s="1983"/>
      <c r="AY286" s="1983"/>
      <c r="AZ286" s="1983"/>
      <c r="BA286" s="1983"/>
      <c r="BB286" s="654"/>
      <c r="BC286" s="654"/>
      <c r="BD286" s="652"/>
      <c r="BE286" s="652"/>
      <c r="BF286" s="652"/>
      <c r="BG286" s="652"/>
      <c r="BH286" s="652"/>
      <c r="BI286" s="652"/>
      <c r="BJ286" s="2225"/>
      <c r="BK286" s="2226"/>
      <c r="BL286" s="1381"/>
      <c r="BM286" s="684"/>
    </row>
    <row r="287" spans="1:65" ht="14.1" customHeight="1" x14ac:dyDescent="0.15">
      <c r="A287" s="652" t="str">
        <f t="shared" ref="A287" si="2688">IF(AND(D287="",D289&lt;&gt;""),"×","○")</f>
        <v>○</v>
      </c>
      <c r="B287" s="2174" t="str">
        <f t="shared" ref="B287" si="2689">IF(AND(AT287="○",BB287="○",BC287="○",A287="○"),"○","×")</f>
        <v>○</v>
      </c>
      <c r="C287" s="2143">
        <v>137</v>
      </c>
      <c r="D287" s="2006"/>
      <c r="E287" s="2004"/>
      <c r="F287" s="2041"/>
      <c r="G287" s="2118"/>
      <c r="H287" s="2106"/>
      <c r="I287" s="2141"/>
      <c r="J287" s="2142"/>
      <c r="K287" s="2104"/>
      <c r="L287" s="2140"/>
      <c r="M287" s="2110"/>
      <c r="N287" s="2111"/>
      <c r="O287" s="2104"/>
      <c r="P287" s="2104"/>
      <c r="Q287" s="2106"/>
      <c r="R287" s="2110"/>
      <c r="S287" s="2111"/>
      <c r="T287" s="2104"/>
      <c r="U287" s="2104"/>
      <c r="V287" s="2106"/>
      <c r="W287" s="2110"/>
      <c r="X287" s="2111"/>
      <c r="Y287" s="2104"/>
      <c r="Z287" s="2104"/>
      <c r="AA287" s="2106"/>
      <c r="AB287" s="2110"/>
      <c r="AC287" s="2111"/>
      <c r="AD287" s="2104"/>
      <c r="AE287" s="2104"/>
      <c r="AF287" s="2106"/>
      <c r="AG287" s="2110"/>
      <c r="AH287" s="2111"/>
      <c r="AI287" s="2104"/>
      <c r="AJ287" s="2104"/>
      <c r="AK287" s="2038"/>
      <c r="AL287" s="2039"/>
      <c r="AM287" s="2039"/>
      <c r="AN287" s="2040"/>
      <c r="AO287" s="2008"/>
      <c r="AP287" s="2009"/>
      <c r="AQ287" s="2009"/>
      <c r="AR287" s="2010"/>
      <c r="AS287" s="651"/>
      <c r="AT287" s="652" t="str">
        <f t="shared" ref="AT287" si="2690">IF(OR(AND(D287&lt;&gt;"",OR(AND(E287&lt;&gt;"",F287&lt;&gt;"",OR(G287&lt;&gt;"",H287&lt;&gt;"")),AND(E287="",F287="バス・カメラマン等"))),AND(D287="",E287="",F287="",OR(G287="",H287=""))),"○","×")</f>
        <v>○</v>
      </c>
      <c r="AU287" s="1983" t="str">
        <f t="shared" ref="AU287" si="2691">IF(AND(E287&lt;&gt;"",E287&lt;=2),"2歳児以下","")</f>
        <v/>
      </c>
      <c r="AV287" s="1983" t="str">
        <f t="shared" ref="AV287" si="2692">IF(OR(AND(3&lt;=E287,E287&lt;=6),COUNTIF(E287, "幼*"),COUNTIF(E287, "年少"),COUNTIF(E287, "年中"),COUNTIF(E287, "年長")),"3歳-学齢前","")</f>
        <v/>
      </c>
      <c r="AW287" s="1983" t="str">
        <f t="shared" ref="AW287" si="2693">IF(OR(AND(6&lt;=E287,E287&lt;=12),COUNTIF(E287, "小*")),"小学生","")</f>
        <v/>
      </c>
      <c r="AX287" s="1983" t="str">
        <f t="shared" ref="AX287" si="2694">IF(OR(AND(12&lt;=E287,E287&lt;=15),COUNTIF(E287, "中*")),"中学生","")</f>
        <v/>
      </c>
      <c r="AY287" s="1983" t="str">
        <f t="shared" ref="AY287" si="2695">IF(OR(AND(15&lt;=E287,E287&lt;=18),COUNTIF(E287, "高*")),"高校生(～18歳)","")</f>
        <v/>
      </c>
      <c r="AZ287" s="1983" t="str">
        <f t="shared" ref="AZ287" si="2696">IF(OR(19&lt;=E287,COUNTIF(E287, "大*"),COUNTIF(E287, "*院*"),COUNTIF(E287, "*専*")),"一般(19歳～)","")</f>
        <v/>
      </c>
      <c r="BA287" s="1983" t="s">
        <v>475</v>
      </c>
      <c r="BB287" s="652" t="str">
        <f t="shared" ref="BB287" si="2697">IF(OR(AND(D287="",I287="",M287="",R287="",W287="",AB287="",AG287=""),AND(D287&lt;&gt;"",OR(I287&lt;&gt;"",M287&lt;&gt;"",R287&lt;&gt;"",W287&lt;&gt;"",AB287&lt;&gt;"",AG287&lt;&gt;""))),"○","×")</f>
        <v>○</v>
      </c>
      <c r="BC287" s="652" t="str">
        <f t="shared" ref="BC287" si="2698">IF(AND(BD287="○",BE287="○",BF287="○",BG287="○",BH287="○",BI287="○"),"○","×")</f>
        <v>○</v>
      </c>
      <c r="BD287" s="653" t="str">
        <f t="shared" ref="BD287" si="2699">IF(AND($I$7=" ",OR(I287&lt;&gt;"",K287&lt;&gt;"",L287&lt;&gt;"")),"×","○")</f>
        <v>○</v>
      </c>
      <c r="BE287" s="653" t="str">
        <f t="shared" ref="BE287" si="2700">IF(AND($M$7=" ",OR(M287&lt;&gt;"",O287&lt;&gt;"",P287&lt;&gt;"",Q287&lt;&gt;"")),"×","○")</f>
        <v>○</v>
      </c>
      <c r="BF287" s="653" t="str">
        <f t="shared" ref="BF287" si="2701">IF(AND($R$7=" ",OR(R287&lt;&gt;"",T287&lt;&gt;"",U287&lt;&gt;"",V287&lt;&gt;"")),"×","○")</f>
        <v>○</v>
      </c>
      <c r="BG287" s="653" t="str">
        <f t="shared" ref="BG287" si="2702">IF(AND($W$7=" ",OR(W287&lt;&gt;"",Y287&lt;&gt;"",Z287&lt;&gt;"",AA287&lt;&gt;"")),"×","○")</f>
        <v>○</v>
      </c>
      <c r="BH287" s="653" t="str">
        <f t="shared" ref="BH287" si="2703">IF(AND($AB$7=" ",OR(AB287&lt;&gt;"",AD287&lt;&gt;"",AE287&lt;&gt;"",AF287&lt;&gt;"")),"×","○")</f>
        <v>○</v>
      </c>
      <c r="BI287" s="653" t="str">
        <f t="shared" ref="BI287" si="2704">IF(AND($AG$7=" ",OR(AG287&lt;&gt;"",AI287&lt;&gt;"",AJ287&lt;&gt;"")),"×","○")</f>
        <v>○</v>
      </c>
      <c r="BJ287" s="2225" t="e">
        <f t="shared" ref="BJ287" si="2705">SUMPRODUCT(1/COUNTIF(I287:AH287,"宿泊"))</f>
        <v>#DIV/0!</v>
      </c>
      <c r="BK287" s="2226" t="e">
        <f t="shared" ref="BK287" si="2706">SUMPRODUCT(1/COUNTIF(I287:AH287,"日帰り"))</f>
        <v>#DIV/0!</v>
      </c>
      <c r="BL287" s="1381">
        <f t="shared" ref="BL287" si="2707">COUNT(BJ287)-COUNT(BK287)</f>
        <v>0</v>
      </c>
      <c r="BM287" s="684"/>
    </row>
    <row r="288" spans="1:65" ht="14.1" customHeight="1" x14ac:dyDescent="0.15">
      <c r="A288" s="652"/>
      <c r="B288" s="2174"/>
      <c r="C288" s="2144"/>
      <c r="D288" s="2007"/>
      <c r="E288" s="2005"/>
      <c r="F288" s="2042"/>
      <c r="G288" s="2119"/>
      <c r="H288" s="2107"/>
      <c r="I288" s="2112"/>
      <c r="J288" s="2113"/>
      <c r="K288" s="2105"/>
      <c r="L288" s="2127"/>
      <c r="M288" s="2112"/>
      <c r="N288" s="2113"/>
      <c r="O288" s="2105"/>
      <c r="P288" s="2105"/>
      <c r="Q288" s="2107"/>
      <c r="R288" s="2112"/>
      <c r="S288" s="2113"/>
      <c r="T288" s="2105"/>
      <c r="U288" s="2105"/>
      <c r="V288" s="2107"/>
      <c r="W288" s="2112"/>
      <c r="X288" s="2113"/>
      <c r="Y288" s="2105"/>
      <c r="Z288" s="2105"/>
      <c r="AA288" s="2107"/>
      <c r="AB288" s="2112"/>
      <c r="AC288" s="2113"/>
      <c r="AD288" s="2105"/>
      <c r="AE288" s="2105"/>
      <c r="AF288" s="2107"/>
      <c r="AG288" s="2112"/>
      <c r="AH288" s="2113"/>
      <c r="AI288" s="2105"/>
      <c r="AJ288" s="2105"/>
      <c r="AK288" s="2011"/>
      <c r="AL288" s="2012"/>
      <c r="AM288" s="2012"/>
      <c r="AN288" s="2013"/>
      <c r="AO288" s="2011"/>
      <c r="AP288" s="2012"/>
      <c r="AQ288" s="2012"/>
      <c r="AR288" s="2013"/>
      <c r="AS288" s="651"/>
      <c r="AT288" s="652"/>
      <c r="AU288" s="1983"/>
      <c r="AV288" s="1983"/>
      <c r="AW288" s="1983"/>
      <c r="AX288" s="1983"/>
      <c r="AY288" s="1983"/>
      <c r="AZ288" s="1983"/>
      <c r="BA288" s="1983"/>
      <c r="BB288" s="654"/>
      <c r="BC288" s="654"/>
      <c r="BD288" s="652"/>
      <c r="BE288" s="652"/>
      <c r="BF288" s="652"/>
      <c r="BG288" s="652"/>
      <c r="BH288" s="652"/>
      <c r="BI288" s="652"/>
      <c r="BJ288" s="2225"/>
      <c r="BK288" s="2226"/>
      <c r="BL288" s="1381"/>
      <c r="BM288" s="684"/>
    </row>
    <row r="289" spans="1:65" ht="14.1" customHeight="1" x14ac:dyDescent="0.15">
      <c r="A289" s="652" t="str">
        <f t="shared" ref="A289" si="2708">IF(AND(D289="",D291&lt;&gt;""),"×","○")</f>
        <v>○</v>
      </c>
      <c r="B289" s="2174" t="str">
        <f t="shared" ref="B289" si="2709">IF(AND(AT289="○",BB289="○",BC289="○",A289="○"),"○","×")</f>
        <v>○</v>
      </c>
      <c r="C289" s="2143">
        <v>138</v>
      </c>
      <c r="D289" s="2006"/>
      <c r="E289" s="2004"/>
      <c r="F289" s="2041"/>
      <c r="G289" s="2118"/>
      <c r="H289" s="2106"/>
      <c r="I289" s="2141"/>
      <c r="J289" s="2142"/>
      <c r="K289" s="2104"/>
      <c r="L289" s="2140"/>
      <c r="M289" s="2110"/>
      <c r="N289" s="2111"/>
      <c r="O289" s="2104"/>
      <c r="P289" s="2104"/>
      <c r="Q289" s="2106"/>
      <c r="R289" s="2110"/>
      <c r="S289" s="2111"/>
      <c r="T289" s="2104"/>
      <c r="U289" s="2104"/>
      <c r="V289" s="2106"/>
      <c r="W289" s="2110"/>
      <c r="X289" s="2111"/>
      <c r="Y289" s="2104"/>
      <c r="Z289" s="2104"/>
      <c r="AA289" s="2106"/>
      <c r="AB289" s="2110"/>
      <c r="AC289" s="2111"/>
      <c r="AD289" s="2104"/>
      <c r="AE289" s="2104"/>
      <c r="AF289" s="2106"/>
      <c r="AG289" s="2110"/>
      <c r="AH289" s="2111"/>
      <c r="AI289" s="2104"/>
      <c r="AJ289" s="2104"/>
      <c r="AK289" s="2038"/>
      <c r="AL289" s="2039"/>
      <c r="AM289" s="2039"/>
      <c r="AN289" s="2040"/>
      <c r="AO289" s="2008"/>
      <c r="AP289" s="2009"/>
      <c r="AQ289" s="2009"/>
      <c r="AR289" s="2010"/>
      <c r="AS289" s="651"/>
      <c r="AT289" s="652" t="str">
        <f t="shared" ref="AT289" si="2710">IF(OR(AND(D289&lt;&gt;"",OR(AND(E289&lt;&gt;"",F289&lt;&gt;"",OR(G289&lt;&gt;"",H289&lt;&gt;"")),AND(E289="",F289="バス・カメラマン等"))),AND(D289="",E289="",F289="",OR(G289="",H289=""))),"○","×")</f>
        <v>○</v>
      </c>
      <c r="AU289" s="1983" t="str">
        <f t="shared" ref="AU289" si="2711">IF(AND(E289&lt;&gt;"",E289&lt;=2),"2歳児以下","")</f>
        <v/>
      </c>
      <c r="AV289" s="1983" t="str">
        <f t="shared" ref="AV289" si="2712">IF(OR(AND(3&lt;=E289,E289&lt;=6),COUNTIF(E289, "幼*"),COUNTIF(E289, "年少"),COUNTIF(E289, "年中"),COUNTIF(E289, "年長")),"3歳-学齢前","")</f>
        <v/>
      </c>
      <c r="AW289" s="1983" t="str">
        <f t="shared" ref="AW289" si="2713">IF(OR(AND(6&lt;=E289,E289&lt;=12),COUNTIF(E289, "小*")),"小学生","")</f>
        <v/>
      </c>
      <c r="AX289" s="1983" t="str">
        <f t="shared" ref="AX289" si="2714">IF(OR(AND(12&lt;=E289,E289&lt;=15),COUNTIF(E289, "中*")),"中学生","")</f>
        <v/>
      </c>
      <c r="AY289" s="1983" t="str">
        <f t="shared" ref="AY289" si="2715">IF(OR(AND(15&lt;=E289,E289&lt;=18),COUNTIF(E289, "高*")),"高校生(～18歳)","")</f>
        <v/>
      </c>
      <c r="AZ289" s="1983" t="str">
        <f t="shared" ref="AZ289" si="2716">IF(OR(19&lt;=E289,COUNTIF(E289, "大*"),COUNTIF(E289, "*院*"),COUNTIF(E289, "*専*")),"一般(19歳～)","")</f>
        <v/>
      </c>
      <c r="BA289" s="1983" t="s">
        <v>475</v>
      </c>
      <c r="BB289" s="652" t="str">
        <f t="shared" ref="BB289" si="2717">IF(OR(AND(D289="",I289="",M289="",R289="",W289="",AB289="",AG289=""),AND(D289&lt;&gt;"",OR(I289&lt;&gt;"",M289&lt;&gt;"",R289&lt;&gt;"",W289&lt;&gt;"",AB289&lt;&gt;"",AG289&lt;&gt;""))),"○","×")</f>
        <v>○</v>
      </c>
      <c r="BC289" s="652" t="str">
        <f t="shared" ref="BC289" si="2718">IF(AND(BD289="○",BE289="○",BF289="○",BG289="○",BH289="○",BI289="○"),"○","×")</f>
        <v>○</v>
      </c>
      <c r="BD289" s="653" t="str">
        <f t="shared" ref="BD289" si="2719">IF(AND($I$7=" ",OR(I289&lt;&gt;"",K289&lt;&gt;"",L289&lt;&gt;"")),"×","○")</f>
        <v>○</v>
      </c>
      <c r="BE289" s="653" t="str">
        <f t="shared" ref="BE289" si="2720">IF(AND($M$7=" ",OR(M289&lt;&gt;"",O289&lt;&gt;"",P289&lt;&gt;"",Q289&lt;&gt;"")),"×","○")</f>
        <v>○</v>
      </c>
      <c r="BF289" s="653" t="str">
        <f t="shared" ref="BF289" si="2721">IF(AND($R$7=" ",OR(R289&lt;&gt;"",T289&lt;&gt;"",U289&lt;&gt;"",V289&lt;&gt;"")),"×","○")</f>
        <v>○</v>
      </c>
      <c r="BG289" s="653" t="str">
        <f t="shared" ref="BG289" si="2722">IF(AND($W$7=" ",OR(W289&lt;&gt;"",Y289&lt;&gt;"",Z289&lt;&gt;"",AA289&lt;&gt;"")),"×","○")</f>
        <v>○</v>
      </c>
      <c r="BH289" s="653" t="str">
        <f t="shared" ref="BH289" si="2723">IF(AND($AB$7=" ",OR(AB289&lt;&gt;"",AD289&lt;&gt;"",AE289&lt;&gt;"",AF289&lt;&gt;"")),"×","○")</f>
        <v>○</v>
      </c>
      <c r="BI289" s="653" t="str">
        <f t="shared" ref="BI289" si="2724">IF(AND($AG$7=" ",OR(AG289&lt;&gt;"",AI289&lt;&gt;"",AJ289&lt;&gt;"")),"×","○")</f>
        <v>○</v>
      </c>
      <c r="BJ289" s="2225" t="e">
        <f t="shared" ref="BJ289" si="2725">SUMPRODUCT(1/COUNTIF(I289:AH289,"宿泊"))</f>
        <v>#DIV/0!</v>
      </c>
      <c r="BK289" s="2226" t="e">
        <f t="shared" ref="BK289" si="2726">SUMPRODUCT(1/COUNTIF(I289:AH289,"日帰り"))</f>
        <v>#DIV/0!</v>
      </c>
      <c r="BL289" s="1381">
        <f t="shared" ref="BL289" si="2727">COUNT(BJ289)-COUNT(BK289)</f>
        <v>0</v>
      </c>
      <c r="BM289" s="684"/>
    </row>
    <row r="290" spans="1:65" ht="14.1" customHeight="1" x14ac:dyDescent="0.15">
      <c r="A290" s="652"/>
      <c r="B290" s="2174"/>
      <c r="C290" s="2144"/>
      <c r="D290" s="2007"/>
      <c r="E290" s="2005"/>
      <c r="F290" s="2042"/>
      <c r="G290" s="2119"/>
      <c r="H290" s="2107"/>
      <c r="I290" s="2112"/>
      <c r="J290" s="2113"/>
      <c r="K290" s="2105"/>
      <c r="L290" s="2127"/>
      <c r="M290" s="2112"/>
      <c r="N290" s="2113"/>
      <c r="O290" s="2105"/>
      <c r="P290" s="2105"/>
      <c r="Q290" s="2107"/>
      <c r="R290" s="2112"/>
      <c r="S290" s="2113"/>
      <c r="T290" s="2105"/>
      <c r="U290" s="2105"/>
      <c r="V290" s="2107"/>
      <c r="W290" s="2112"/>
      <c r="X290" s="2113"/>
      <c r="Y290" s="2105"/>
      <c r="Z290" s="2105"/>
      <c r="AA290" s="2107"/>
      <c r="AB290" s="2112"/>
      <c r="AC290" s="2113"/>
      <c r="AD290" s="2105"/>
      <c r="AE290" s="2105"/>
      <c r="AF290" s="2107"/>
      <c r="AG290" s="2112"/>
      <c r="AH290" s="2113"/>
      <c r="AI290" s="2105"/>
      <c r="AJ290" s="2105"/>
      <c r="AK290" s="2011"/>
      <c r="AL290" s="2012"/>
      <c r="AM290" s="2012"/>
      <c r="AN290" s="2013"/>
      <c r="AO290" s="2011"/>
      <c r="AP290" s="2012"/>
      <c r="AQ290" s="2012"/>
      <c r="AR290" s="2013"/>
      <c r="AS290" s="651"/>
      <c r="AT290" s="652"/>
      <c r="AU290" s="1983"/>
      <c r="AV290" s="1983"/>
      <c r="AW290" s="1983"/>
      <c r="AX290" s="1983"/>
      <c r="AY290" s="1983"/>
      <c r="AZ290" s="1983"/>
      <c r="BA290" s="1983"/>
      <c r="BB290" s="654"/>
      <c r="BC290" s="654"/>
      <c r="BD290" s="652"/>
      <c r="BE290" s="652"/>
      <c r="BF290" s="652"/>
      <c r="BG290" s="652"/>
      <c r="BH290" s="652"/>
      <c r="BI290" s="652"/>
      <c r="BJ290" s="2225"/>
      <c r="BK290" s="2226"/>
      <c r="BL290" s="1381"/>
      <c r="BM290" s="684"/>
    </row>
    <row r="291" spans="1:65" ht="14.1" customHeight="1" x14ac:dyDescent="0.15">
      <c r="A291" s="652" t="str">
        <f t="shared" ref="A291" si="2728">IF(AND(D291="",D293&lt;&gt;""),"×","○")</f>
        <v>○</v>
      </c>
      <c r="B291" s="2174" t="str">
        <f t="shared" ref="B291" si="2729">IF(AND(AT291="○",BB291="○",BC291="○",A291="○"),"○","×")</f>
        <v>○</v>
      </c>
      <c r="C291" s="2143">
        <v>139</v>
      </c>
      <c r="D291" s="2006"/>
      <c r="E291" s="2004"/>
      <c r="F291" s="2041"/>
      <c r="G291" s="2118"/>
      <c r="H291" s="2106"/>
      <c r="I291" s="2141"/>
      <c r="J291" s="2142"/>
      <c r="K291" s="2104"/>
      <c r="L291" s="2140"/>
      <c r="M291" s="2110"/>
      <c r="N291" s="2111"/>
      <c r="O291" s="2104"/>
      <c r="P291" s="2104"/>
      <c r="Q291" s="2106"/>
      <c r="R291" s="2110"/>
      <c r="S291" s="2111"/>
      <c r="T291" s="2104"/>
      <c r="U291" s="2104"/>
      <c r="V291" s="2106"/>
      <c r="W291" s="2110"/>
      <c r="X291" s="2111"/>
      <c r="Y291" s="2104"/>
      <c r="Z291" s="2104"/>
      <c r="AA291" s="2106"/>
      <c r="AB291" s="2110"/>
      <c r="AC291" s="2111"/>
      <c r="AD291" s="2104"/>
      <c r="AE291" s="2104"/>
      <c r="AF291" s="2106"/>
      <c r="AG291" s="2110"/>
      <c r="AH291" s="2111"/>
      <c r="AI291" s="2104"/>
      <c r="AJ291" s="2104"/>
      <c r="AK291" s="2038"/>
      <c r="AL291" s="2039"/>
      <c r="AM291" s="2039"/>
      <c r="AN291" s="2040"/>
      <c r="AO291" s="2008"/>
      <c r="AP291" s="2009"/>
      <c r="AQ291" s="2009"/>
      <c r="AR291" s="2010"/>
      <c r="AS291" s="651"/>
      <c r="AT291" s="652" t="str">
        <f t="shared" ref="AT291" si="2730">IF(OR(AND(D291&lt;&gt;"",OR(AND(E291&lt;&gt;"",F291&lt;&gt;"",OR(G291&lt;&gt;"",H291&lt;&gt;"")),AND(E291="",F291="バス・カメラマン等"))),AND(D291="",E291="",F291="",OR(G291="",H291=""))),"○","×")</f>
        <v>○</v>
      </c>
      <c r="AU291" s="1983" t="str">
        <f t="shared" ref="AU291" si="2731">IF(AND(E291&lt;&gt;"",E291&lt;=2),"2歳児以下","")</f>
        <v/>
      </c>
      <c r="AV291" s="1983" t="str">
        <f t="shared" ref="AV291" si="2732">IF(OR(AND(3&lt;=E291,E291&lt;=6),COUNTIF(E291, "幼*"),COUNTIF(E291, "年少"),COUNTIF(E291, "年中"),COUNTIF(E291, "年長")),"3歳-学齢前","")</f>
        <v/>
      </c>
      <c r="AW291" s="1983" t="str">
        <f t="shared" ref="AW291" si="2733">IF(OR(AND(6&lt;=E291,E291&lt;=12),COUNTIF(E291, "小*")),"小学生","")</f>
        <v/>
      </c>
      <c r="AX291" s="1983" t="str">
        <f t="shared" ref="AX291" si="2734">IF(OR(AND(12&lt;=E291,E291&lt;=15),COUNTIF(E291, "中*")),"中学生","")</f>
        <v/>
      </c>
      <c r="AY291" s="1983" t="str">
        <f t="shared" ref="AY291" si="2735">IF(OR(AND(15&lt;=E291,E291&lt;=18),COUNTIF(E291, "高*")),"高校生(～18歳)","")</f>
        <v/>
      </c>
      <c r="AZ291" s="1983" t="str">
        <f t="shared" ref="AZ291" si="2736">IF(OR(19&lt;=E291,COUNTIF(E291, "大*"),COUNTIF(E291, "*院*"),COUNTIF(E291, "*専*")),"一般(19歳～)","")</f>
        <v/>
      </c>
      <c r="BA291" s="1983" t="s">
        <v>475</v>
      </c>
      <c r="BB291" s="652" t="str">
        <f t="shared" ref="BB291" si="2737">IF(OR(AND(D291="",I291="",M291="",R291="",W291="",AB291="",AG291=""),AND(D291&lt;&gt;"",OR(I291&lt;&gt;"",M291&lt;&gt;"",R291&lt;&gt;"",W291&lt;&gt;"",AB291&lt;&gt;"",AG291&lt;&gt;""))),"○","×")</f>
        <v>○</v>
      </c>
      <c r="BC291" s="652" t="str">
        <f t="shared" ref="BC291" si="2738">IF(AND(BD291="○",BE291="○",BF291="○",BG291="○",BH291="○",BI291="○"),"○","×")</f>
        <v>○</v>
      </c>
      <c r="BD291" s="653" t="str">
        <f t="shared" ref="BD291" si="2739">IF(AND($I$7=" ",OR(I291&lt;&gt;"",K291&lt;&gt;"",L291&lt;&gt;"")),"×","○")</f>
        <v>○</v>
      </c>
      <c r="BE291" s="653" t="str">
        <f t="shared" ref="BE291" si="2740">IF(AND($M$7=" ",OR(M291&lt;&gt;"",O291&lt;&gt;"",P291&lt;&gt;"",Q291&lt;&gt;"")),"×","○")</f>
        <v>○</v>
      </c>
      <c r="BF291" s="653" t="str">
        <f t="shared" ref="BF291" si="2741">IF(AND($R$7=" ",OR(R291&lt;&gt;"",T291&lt;&gt;"",U291&lt;&gt;"",V291&lt;&gt;"")),"×","○")</f>
        <v>○</v>
      </c>
      <c r="BG291" s="653" t="str">
        <f t="shared" ref="BG291" si="2742">IF(AND($W$7=" ",OR(W291&lt;&gt;"",Y291&lt;&gt;"",Z291&lt;&gt;"",AA291&lt;&gt;"")),"×","○")</f>
        <v>○</v>
      </c>
      <c r="BH291" s="653" t="str">
        <f t="shared" ref="BH291" si="2743">IF(AND($AB$7=" ",OR(AB291&lt;&gt;"",AD291&lt;&gt;"",AE291&lt;&gt;"",AF291&lt;&gt;"")),"×","○")</f>
        <v>○</v>
      </c>
      <c r="BI291" s="653" t="str">
        <f t="shared" ref="BI291" si="2744">IF(AND($AG$7=" ",OR(AG291&lt;&gt;"",AI291&lt;&gt;"",AJ291&lt;&gt;"")),"×","○")</f>
        <v>○</v>
      </c>
      <c r="BJ291" s="2225" t="e">
        <f t="shared" ref="BJ291" si="2745">SUMPRODUCT(1/COUNTIF(I291:AH291,"宿泊"))</f>
        <v>#DIV/0!</v>
      </c>
      <c r="BK291" s="2226" t="e">
        <f t="shared" ref="BK291" si="2746">SUMPRODUCT(1/COUNTIF(I291:AH291,"日帰り"))</f>
        <v>#DIV/0!</v>
      </c>
      <c r="BL291" s="1381">
        <f t="shared" ref="BL291" si="2747">COUNT(BJ291)-COUNT(BK291)</f>
        <v>0</v>
      </c>
      <c r="BM291" s="684"/>
    </row>
    <row r="292" spans="1:65" ht="14.1" customHeight="1" x14ac:dyDescent="0.15">
      <c r="A292" s="652"/>
      <c r="B292" s="2174"/>
      <c r="C292" s="2144"/>
      <c r="D292" s="2007"/>
      <c r="E292" s="2005"/>
      <c r="F292" s="2042"/>
      <c r="G292" s="2119"/>
      <c r="H292" s="2107"/>
      <c r="I292" s="2112"/>
      <c r="J292" s="2113"/>
      <c r="K292" s="2105"/>
      <c r="L292" s="2127"/>
      <c r="M292" s="2112"/>
      <c r="N292" s="2113"/>
      <c r="O292" s="2105"/>
      <c r="P292" s="2105"/>
      <c r="Q292" s="2107"/>
      <c r="R292" s="2112"/>
      <c r="S292" s="2113"/>
      <c r="T292" s="2105"/>
      <c r="U292" s="2105"/>
      <c r="V292" s="2107"/>
      <c r="W292" s="2112"/>
      <c r="X292" s="2113"/>
      <c r="Y292" s="2105"/>
      <c r="Z292" s="2105"/>
      <c r="AA292" s="2107"/>
      <c r="AB292" s="2112"/>
      <c r="AC292" s="2113"/>
      <c r="AD292" s="2105"/>
      <c r="AE292" s="2105"/>
      <c r="AF292" s="2107"/>
      <c r="AG292" s="2112"/>
      <c r="AH292" s="2113"/>
      <c r="AI292" s="2105"/>
      <c r="AJ292" s="2105"/>
      <c r="AK292" s="2011"/>
      <c r="AL292" s="2012"/>
      <c r="AM292" s="2012"/>
      <c r="AN292" s="2013"/>
      <c r="AO292" s="2011"/>
      <c r="AP292" s="2012"/>
      <c r="AQ292" s="2012"/>
      <c r="AR292" s="2013"/>
      <c r="AS292" s="651"/>
      <c r="AT292" s="652"/>
      <c r="AU292" s="1983"/>
      <c r="AV292" s="1983"/>
      <c r="AW292" s="1983"/>
      <c r="AX292" s="1983"/>
      <c r="AY292" s="1983"/>
      <c r="AZ292" s="1983"/>
      <c r="BA292" s="1983"/>
      <c r="BB292" s="654"/>
      <c r="BC292" s="654"/>
      <c r="BD292" s="652"/>
      <c r="BE292" s="652"/>
      <c r="BF292" s="652"/>
      <c r="BG292" s="652"/>
      <c r="BH292" s="652"/>
      <c r="BI292" s="652"/>
      <c r="BJ292" s="2225"/>
      <c r="BK292" s="2226"/>
      <c r="BL292" s="1381"/>
      <c r="BM292" s="684"/>
    </row>
    <row r="293" spans="1:65" ht="14.1" customHeight="1" x14ac:dyDescent="0.15">
      <c r="A293" s="652" t="str">
        <f t="shared" ref="A293" si="2748">IF(AND(D293="",D295&lt;&gt;""),"×","○")</f>
        <v>○</v>
      </c>
      <c r="B293" s="2174" t="str">
        <f t="shared" ref="B293" si="2749">IF(AND(AT293="○",BB293="○",BC293="○",A293="○"),"○","×")</f>
        <v>○</v>
      </c>
      <c r="C293" s="2143">
        <v>140</v>
      </c>
      <c r="D293" s="2006"/>
      <c r="E293" s="2004"/>
      <c r="F293" s="2041"/>
      <c r="G293" s="2118"/>
      <c r="H293" s="2106"/>
      <c r="I293" s="2141"/>
      <c r="J293" s="2142"/>
      <c r="K293" s="2104"/>
      <c r="L293" s="2140"/>
      <c r="M293" s="2110"/>
      <c r="N293" s="2111"/>
      <c r="O293" s="2104"/>
      <c r="P293" s="2104"/>
      <c r="Q293" s="2106"/>
      <c r="R293" s="2110"/>
      <c r="S293" s="2111"/>
      <c r="T293" s="2104"/>
      <c r="U293" s="2104"/>
      <c r="V293" s="2106"/>
      <c r="W293" s="2110"/>
      <c r="X293" s="2111"/>
      <c r="Y293" s="2104"/>
      <c r="Z293" s="2104"/>
      <c r="AA293" s="2106"/>
      <c r="AB293" s="2110"/>
      <c r="AC293" s="2111"/>
      <c r="AD293" s="2104"/>
      <c r="AE293" s="2104"/>
      <c r="AF293" s="2106"/>
      <c r="AG293" s="2110"/>
      <c r="AH293" s="2111"/>
      <c r="AI293" s="2104"/>
      <c r="AJ293" s="2104"/>
      <c r="AK293" s="2038"/>
      <c r="AL293" s="2039"/>
      <c r="AM293" s="2039"/>
      <c r="AN293" s="2040"/>
      <c r="AO293" s="2008"/>
      <c r="AP293" s="2009"/>
      <c r="AQ293" s="2009"/>
      <c r="AR293" s="2010"/>
      <c r="AS293" s="651"/>
      <c r="AT293" s="652" t="str">
        <f t="shared" ref="AT293" si="2750">IF(OR(AND(D293&lt;&gt;"",OR(AND(E293&lt;&gt;"",F293&lt;&gt;"",OR(G293&lt;&gt;"",H293&lt;&gt;"")),AND(E293="",F293="バス・カメラマン等"))),AND(D293="",E293="",F293="",OR(G293="",H293=""))),"○","×")</f>
        <v>○</v>
      </c>
      <c r="AU293" s="1983" t="str">
        <f t="shared" ref="AU293" si="2751">IF(AND(E293&lt;&gt;"",E293&lt;=2),"2歳児以下","")</f>
        <v/>
      </c>
      <c r="AV293" s="1983" t="str">
        <f t="shared" ref="AV293" si="2752">IF(OR(AND(3&lt;=E293,E293&lt;=6),COUNTIF(E293, "幼*"),COUNTIF(E293, "年少"),COUNTIF(E293, "年中"),COUNTIF(E293, "年長")),"3歳-学齢前","")</f>
        <v/>
      </c>
      <c r="AW293" s="1983" t="str">
        <f t="shared" ref="AW293" si="2753">IF(OR(AND(6&lt;=E293,E293&lt;=12),COUNTIF(E293, "小*")),"小学生","")</f>
        <v/>
      </c>
      <c r="AX293" s="1983" t="str">
        <f t="shared" ref="AX293" si="2754">IF(OR(AND(12&lt;=E293,E293&lt;=15),COUNTIF(E293, "中*")),"中学生","")</f>
        <v/>
      </c>
      <c r="AY293" s="1983" t="str">
        <f t="shared" ref="AY293" si="2755">IF(OR(AND(15&lt;=E293,E293&lt;=18),COUNTIF(E293, "高*")),"高校生(～18歳)","")</f>
        <v/>
      </c>
      <c r="AZ293" s="1983" t="str">
        <f t="shared" ref="AZ293" si="2756">IF(OR(19&lt;=E293,COUNTIF(E293, "大*"),COUNTIF(E293, "*院*"),COUNTIF(E293, "*専*")),"一般(19歳～)","")</f>
        <v/>
      </c>
      <c r="BA293" s="1983" t="s">
        <v>475</v>
      </c>
      <c r="BB293" s="652" t="str">
        <f t="shared" ref="BB293" si="2757">IF(OR(AND(D293="",I293="",M293="",R293="",W293="",AB293="",AG293=""),AND(D293&lt;&gt;"",OR(I293&lt;&gt;"",M293&lt;&gt;"",R293&lt;&gt;"",W293&lt;&gt;"",AB293&lt;&gt;"",AG293&lt;&gt;""))),"○","×")</f>
        <v>○</v>
      </c>
      <c r="BC293" s="652" t="str">
        <f t="shared" ref="BC293" si="2758">IF(AND(BD293="○",BE293="○",BF293="○",BG293="○",BH293="○",BI293="○"),"○","×")</f>
        <v>○</v>
      </c>
      <c r="BD293" s="653" t="str">
        <f t="shared" ref="BD293" si="2759">IF(AND($I$7=" ",OR(I293&lt;&gt;"",K293&lt;&gt;"",L293&lt;&gt;"")),"×","○")</f>
        <v>○</v>
      </c>
      <c r="BE293" s="653" t="str">
        <f t="shared" ref="BE293" si="2760">IF(AND($M$7=" ",OR(M293&lt;&gt;"",O293&lt;&gt;"",P293&lt;&gt;"",Q293&lt;&gt;"")),"×","○")</f>
        <v>○</v>
      </c>
      <c r="BF293" s="653" t="str">
        <f t="shared" ref="BF293" si="2761">IF(AND($R$7=" ",OR(R293&lt;&gt;"",T293&lt;&gt;"",U293&lt;&gt;"",V293&lt;&gt;"")),"×","○")</f>
        <v>○</v>
      </c>
      <c r="BG293" s="653" t="str">
        <f t="shared" ref="BG293" si="2762">IF(AND($W$7=" ",OR(W293&lt;&gt;"",Y293&lt;&gt;"",Z293&lt;&gt;"",AA293&lt;&gt;"")),"×","○")</f>
        <v>○</v>
      </c>
      <c r="BH293" s="653" t="str">
        <f t="shared" ref="BH293" si="2763">IF(AND($AB$7=" ",OR(AB293&lt;&gt;"",AD293&lt;&gt;"",AE293&lt;&gt;"",AF293&lt;&gt;"")),"×","○")</f>
        <v>○</v>
      </c>
      <c r="BI293" s="653" t="str">
        <f t="shared" ref="BI293" si="2764">IF(AND($AG$7=" ",OR(AG293&lt;&gt;"",AI293&lt;&gt;"",AJ293&lt;&gt;"")),"×","○")</f>
        <v>○</v>
      </c>
      <c r="BJ293" s="2225" t="e">
        <f t="shared" ref="BJ293" si="2765">SUMPRODUCT(1/COUNTIF(I293:AH293,"宿泊"))</f>
        <v>#DIV/0!</v>
      </c>
      <c r="BK293" s="2226" t="e">
        <f t="shared" ref="BK293" si="2766">SUMPRODUCT(1/COUNTIF(I293:AH293,"日帰り"))</f>
        <v>#DIV/0!</v>
      </c>
      <c r="BL293" s="1381">
        <f t="shared" ref="BL293" si="2767">COUNT(BJ293)-COUNT(BK293)</f>
        <v>0</v>
      </c>
      <c r="BM293" s="684"/>
    </row>
    <row r="294" spans="1:65" ht="14.1" customHeight="1" x14ac:dyDescent="0.15">
      <c r="A294" s="652"/>
      <c r="B294" s="2174"/>
      <c r="C294" s="2144"/>
      <c r="D294" s="2007"/>
      <c r="E294" s="2005"/>
      <c r="F294" s="2042"/>
      <c r="G294" s="2119"/>
      <c r="H294" s="2107"/>
      <c r="I294" s="2112"/>
      <c r="J294" s="2113"/>
      <c r="K294" s="2105"/>
      <c r="L294" s="2127"/>
      <c r="M294" s="2112"/>
      <c r="N294" s="2113"/>
      <c r="O294" s="2105"/>
      <c r="P294" s="2105"/>
      <c r="Q294" s="2107"/>
      <c r="R294" s="2112"/>
      <c r="S294" s="2113"/>
      <c r="T294" s="2105"/>
      <c r="U294" s="2105"/>
      <c r="V294" s="2107"/>
      <c r="W294" s="2112"/>
      <c r="X294" s="2113"/>
      <c r="Y294" s="2105"/>
      <c r="Z294" s="2105"/>
      <c r="AA294" s="2107"/>
      <c r="AB294" s="2112"/>
      <c r="AC294" s="2113"/>
      <c r="AD294" s="2105"/>
      <c r="AE294" s="2105"/>
      <c r="AF294" s="2107"/>
      <c r="AG294" s="2112"/>
      <c r="AH294" s="2113"/>
      <c r="AI294" s="2105"/>
      <c r="AJ294" s="2105"/>
      <c r="AK294" s="2011"/>
      <c r="AL294" s="2012"/>
      <c r="AM294" s="2012"/>
      <c r="AN294" s="2013"/>
      <c r="AO294" s="2011"/>
      <c r="AP294" s="2012"/>
      <c r="AQ294" s="2012"/>
      <c r="AR294" s="2013"/>
      <c r="AS294" s="651"/>
      <c r="AT294" s="652"/>
      <c r="AU294" s="1983"/>
      <c r="AV294" s="1983"/>
      <c r="AW294" s="1983"/>
      <c r="AX294" s="1983"/>
      <c r="AY294" s="1983"/>
      <c r="AZ294" s="1983"/>
      <c r="BA294" s="1983"/>
      <c r="BB294" s="654"/>
      <c r="BC294" s="654"/>
      <c r="BD294" s="652"/>
      <c r="BE294" s="652"/>
      <c r="BF294" s="652"/>
      <c r="BG294" s="652"/>
      <c r="BH294" s="652"/>
      <c r="BI294" s="652"/>
      <c r="BJ294" s="2225"/>
      <c r="BK294" s="2226"/>
      <c r="BL294" s="1381"/>
      <c r="BM294" s="684"/>
    </row>
    <row r="295" spans="1:65" ht="14.1" customHeight="1" x14ac:dyDescent="0.15">
      <c r="A295" s="652" t="str">
        <f t="shared" ref="A295" si="2768">IF(AND(D295="",D297&lt;&gt;""),"×","○")</f>
        <v>○</v>
      </c>
      <c r="B295" s="2174" t="str">
        <f t="shared" ref="B295" si="2769">IF(AND(AT295="○",BB295="○",BC295="○",A295="○"),"○","×")</f>
        <v>○</v>
      </c>
      <c r="C295" s="2143">
        <v>141</v>
      </c>
      <c r="D295" s="2006"/>
      <c r="E295" s="2004"/>
      <c r="F295" s="2041"/>
      <c r="G295" s="2118"/>
      <c r="H295" s="2106"/>
      <c r="I295" s="2141"/>
      <c r="J295" s="2142"/>
      <c r="K295" s="2104"/>
      <c r="L295" s="2140"/>
      <c r="M295" s="2110"/>
      <c r="N295" s="2111"/>
      <c r="O295" s="2104"/>
      <c r="P295" s="2104"/>
      <c r="Q295" s="2106"/>
      <c r="R295" s="2110"/>
      <c r="S295" s="2111"/>
      <c r="T295" s="2104"/>
      <c r="U295" s="2104"/>
      <c r="V295" s="2106"/>
      <c r="W295" s="2110"/>
      <c r="X295" s="2111"/>
      <c r="Y295" s="2104"/>
      <c r="Z295" s="2104"/>
      <c r="AA295" s="2106"/>
      <c r="AB295" s="2110"/>
      <c r="AC295" s="2111"/>
      <c r="AD295" s="2104"/>
      <c r="AE295" s="2104"/>
      <c r="AF295" s="2106"/>
      <c r="AG295" s="2110"/>
      <c r="AH295" s="2111"/>
      <c r="AI295" s="2104"/>
      <c r="AJ295" s="2104"/>
      <c r="AK295" s="2038"/>
      <c r="AL295" s="2039"/>
      <c r="AM295" s="2039"/>
      <c r="AN295" s="2040"/>
      <c r="AO295" s="2008"/>
      <c r="AP295" s="2009"/>
      <c r="AQ295" s="2009"/>
      <c r="AR295" s="2010"/>
      <c r="AS295" s="651"/>
      <c r="AT295" s="652" t="str">
        <f t="shared" ref="AT295" si="2770">IF(OR(AND(D295&lt;&gt;"",OR(AND(E295&lt;&gt;"",F295&lt;&gt;"",OR(G295&lt;&gt;"",H295&lt;&gt;"")),AND(E295="",F295="バス・カメラマン等"))),AND(D295="",E295="",F295="",OR(G295="",H295=""))),"○","×")</f>
        <v>○</v>
      </c>
      <c r="AU295" s="1983" t="str">
        <f t="shared" ref="AU295" si="2771">IF(AND(E295&lt;&gt;"",E295&lt;=2),"2歳児以下","")</f>
        <v/>
      </c>
      <c r="AV295" s="1983" t="str">
        <f t="shared" ref="AV295" si="2772">IF(OR(AND(3&lt;=E295,E295&lt;=6),COUNTIF(E295, "幼*"),COUNTIF(E295, "年少"),COUNTIF(E295, "年中"),COUNTIF(E295, "年長")),"3歳-学齢前","")</f>
        <v/>
      </c>
      <c r="AW295" s="1983" t="str">
        <f t="shared" ref="AW295" si="2773">IF(OR(AND(6&lt;=E295,E295&lt;=12),COUNTIF(E295, "小*")),"小学生","")</f>
        <v/>
      </c>
      <c r="AX295" s="1983" t="str">
        <f t="shared" ref="AX295" si="2774">IF(OR(AND(12&lt;=E295,E295&lt;=15),COUNTIF(E295, "中*")),"中学生","")</f>
        <v/>
      </c>
      <c r="AY295" s="1983" t="str">
        <f t="shared" ref="AY295" si="2775">IF(OR(AND(15&lt;=E295,E295&lt;=18),COUNTIF(E295, "高*")),"高校生(～18歳)","")</f>
        <v/>
      </c>
      <c r="AZ295" s="1983" t="str">
        <f t="shared" ref="AZ295" si="2776">IF(OR(19&lt;=E295,COUNTIF(E295, "大*"),COUNTIF(E295, "*院*"),COUNTIF(E295, "*専*")),"一般(19歳～)","")</f>
        <v/>
      </c>
      <c r="BA295" s="1983" t="s">
        <v>475</v>
      </c>
      <c r="BB295" s="652" t="str">
        <f t="shared" ref="BB295" si="2777">IF(OR(AND(D295="",I295="",M295="",R295="",W295="",AB295="",AG295=""),AND(D295&lt;&gt;"",OR(I295&lt;&gt;"",M295&lt;&gt;"",R295&lt;&gt;"",W295&lt;&gt;"",AB295&lt;&gt;"",AG295&lt;&gt;""))),"○","×")</f>
        <v>○</v>
      </c>
      <c r="BC295" s="652" t="str">
        <f t="shared" ref="BC295" si="2778">IF(AND(BD295="○",BE295="○",BF295="○",BG295="○",BH295="○",BI295="○"),"○","×")</f>
        <v>○</v>
      </c>
      <c r="BD295" s="653" t="str">
        <f t="shared" ref="BD295" si="2779">IF(AND($I$7=" ",OR(I295&lt;&gt;"",K295&lt;&gt;"",L295&lt;&gt;"")),"×","○")</f>
        <v>○</v>
      </c>
      <c r="BE295" s="653" t="str">
        <f t="shared" ref="BE295" si="2780">IF(AND($M$7=" ",OR(M295&lt;&gt;"",O295&lt;&gt;"",P295&lt;&gt;"",Q295&lt;&gt;"")),"×","○")</f>
        <v>○</v>
      </c>
      <c r="BF295" s="653" t="str">
        <f t="shared" ref="BF295" si="2781">IF(AND($R$7=" ",OR(R295&lt;&gt;"",T295&lt;&gt;"",U295&lt;&gt;"",V295&lt;&gt;"")),"×","○")</f>
        <v>○</v>
      </c>
      <c r="BG295" s="653" t="str">
        <f t="shared" ref="BG295" si="2782">IF(AND($W$7=" ",OR(W295&lt;&gt;"",Y295&lt;&gt;"",Z295&lt;&gt;"",AA295&lt;&gt;"")),"×","○")</f>
        <v>○</v>
      </c>
      <c r="BH295" s="653" t="str">
        <f t="shared" ref="BH295" si="2783">IF(AND($AB$7=" ",OR(AB295&lt;&gt;"",AD295&lt;&gt;"",AE295&lt;&gt;"",AF295&lt;&gt;"")),"×","○")</f>
        <v>○</v>
      </c>
      <c r="BI295" s="653" t="str">
        <f t="shared" ref="BI295" si="2784">IF(AND($AG$7=" ",OR(AG295&lt;&gt;"",AI295&lt;&gt;"",AJ295&lt;&gt;"")),"×","○")</f>
        <v>○</v>
      </c>
      <c r="BJ295" s="2225" t="e">
        <f t="shared" ref="BJ295" si="2785">SUMPRODUCT(1/COUNTIF(I295:AH295,"宿泊"))</f>
        <v>#DIV/0!</v>
      </c>
      <c r="BK295" s="2226" t="e">
        <f t="shared" ref="BK295" si="2786">SUMPRODUCT(1/COUNTIF(I295:AH295,"日帰り"))</f>
        <v>#DIV/0!</v>
      </c>
      <c r="BL295" s="1381">
        <f t="shared" ref="BL295" si="2787">COUNT(BJ295)-COUNT(BK295)</f>
        <v>0</v>
      </c>
      <c r="BM295" s="684"/>
    </row>
    <row r="296" spans="1:65" ht="14.1" customHeight="1" x14ac:dyDescent="0.15">
      <c r="A296" s="652"/>
      <c r="B296" s="2174"/>
      <c r="C296" s="2144"/>
      <c r="D296" s="2007"/>
      <c r="E296" s="2005"/>
      <c r="F296" s="2042"/>
      <c r="G296" s="2119"/>
      <c r="H296" s="2107"/>
      <c r="I296" s="2112"/>
      <c r="J296" s="2113"/>
      <c r="K296" s="2105"/>
      <c r="L296" s="2127"/>
      <c r="M296" s="2112"/>
      <c r="N296" s="2113"/>
      <c r="O296" s="2105"/>
      <c r="P296" s="2105"/>
      <c r="Q296" s="2107"/>
      <c r="R296" s="2112"/>
      <c r="S296" s="2113"/>
      <c r="T296" s="2105"/>
      <c r="U296" s="2105"/>
      <c r="V296" s="2107"/>
      <c r="W296" s="2112"/>
      <c r="X296" s="2113"/>
      <c r="Y296" s="2105"/>
      <c r="Z296" s="2105"/>
      <c r="AA296" s="2107"/>
      <c r="AB296" s="2112"/>
      <c r="AC296" s="2113"/>
      <c r="AD296" s="2105"/>
      <c r="AE296" s="2105"/>
      <c r="AF296" s="2107"/>
      <c r="AG296" s="2112"/>
      <c r="AH296" s="2113"/>
      <c r="AI296" s="2105"/>
      <c r="AJ296" s="2105"/>
      <c r="AK296" s="2011"/>
      <c r="AL296" s="2012"/>
      <c r="AM296" s="2012"/>
      <c r="AN296" s="2013"/>
      <c r="AO296" s="2011"/>
      <c r="AP296" s="2012"/>
      <c r="AQ296" s="2012"/>
      <c r="AR296" s="2013"/>
      <c r="AS296" s="651"/>
      <c r="AT296" s="652"/>
      <c r="AU296" s="1983"/>
      <c r="AV296" s="1983"/>
      <c r="AW296" s="1983"/>
      <c r="AX296" s="1983"/>
      <c r="AY296" s="1983"/>
      <c r="AZ296" s="1983"/>
      <c r="BA296" s="1983"/>
      <c r="BB296" s="654"/>
      <c r="BC296" s="654"/>
      <c r="BD296" s="652"/>
      <c r="BE296" s="652"/>
      <c r="BF296" s="652"/>
      <c r="BG296" s="652"/>
      <c r="BH296" s="652"/>
      <c r="BI296" s="652"/>
      <c r="BJ296" s="2225"/>
      <c r="BK296" s="2226"/>
      <c r="BL296" s="1381"/>
      <c r="BM296" s="684"/>
    </row>
    <row r="297" spans="1:65" ht="14.1" customHeight="1" x14ac:dyDescent="0.15">
      <c r="A297" s="652" t="str">
        <f t="shared" ref="A297" si="2788">IF(AND(D297="",D299&lt;&gt;""),"×","○")</f>
        <v>○</v>
      </c>
      <c r="B297" s="2174" t="str">
        <f t="shared" ref="B297" si="2789">IF(AND(AT297="○",BB297="○",BC297="○",A297="○"),"○","×")</f>
        <v>○</v>
      </c>
      <c r="C297" s="2143">
        <v>142</v>
      </c>
      <c r="D297" s="2006"/>
      <c r="E297" s="2004"/>
      <c r="F297" s="2041"/>
      <c r="G297" s="2118"/>
      <c r="H297" s="2106"/>
      <c r="I297" s="2141"/>
      <c r="J297" s="2142"/>
      <c r="K297" s="2104"/>
      <c r="L297" s="2140"/>
      <c r="M297" s="2110"/>
      <c r="N297" s="2111"/>
      <c r="O297" s="2104"/>
      <c r="P297" s="2104"/>
      <c r="Q297" s="2106"/>
      <c r="R297" s="2110"/>
      <c r="S297" s="2111"/>
      <c r="T297" s="2104"/>
      <c r="U297" s="2104"/>
      <c r="V297" s="2106"/>
      <c r="W297" s="2110"/>
      <c r="X297" s="2111"/>
      <c r="Y297" s="2104"/>
      <c r="Z297" s="2104"/>
      <c r="AA297" s="2106"/>
      <c r="AB297" s="2110"/>
      <c r="AC297" s="2111"/>
      <c r="AD297" s="2104"/>
      <c r="AE297" s="2104"/>
      <c r="AF297" s="2106"/>
      <c r="AG297" s="2110"/>
      <c r="AH297" s="2111"/>
      <c r="AI297" s="2104"/>
      <c r="AJ297" s="2104"/>
      <c r="AK297" s="2038"/>
      <c r="AL297" s="2039"/>
      <c r="AM297" s="2039"/>
      <c r="AN297" s="2040"/>
      <c r="AO297" s="2008"/>
      <c r="AP297" s="2009"/>
      <c r="AQ297" s="2009"/>
      <c r="AR297" s="2010"/>
      <c r="AS297" s="651"/>
      <c r="AT297" s="652" t="str">
        <f t="shared" ref="AT297" si="2790">IF(OR(AND(D297&lt;&gt;"",OR(AND(E297&lt;&gt;"",F297&lt;&gt;"",OR(G297&lt;&gt;"",H297&lt;&gt;"")),AND(E297="",F297="バス・カメラマン等"))),AND(D297="",E297="",F297="",OR(G297="",H297=""))),"○","×")</f>
        <v>○</v>
      </c>
      <c r="AU297" s="1983" t="str">
        <f t="shared" ref="AU297" si="2791">IF(AND(E297&lt;&gt;"",E297&lt;=2),"2歳児以下","")</f>
        <v/>
      </c>
      <c r="AV297" s="1983" t="str">
        <f t="shared" ref="AV297" si="2792">IF(OR(AND(3&lt;=E297,E297&lt;=6),COUNTIF(E297, "幼*"),COUNTIF(E297, "年少"),COUNTIF(E297, "年中"),COUNTIF(E297, "年長")),"3歳-学齢前","")</f>
        <v/>
      </c>
      <c r="AW297" s="1983" t="str">
        <f t="shared" ref="AW297" si="2793">IF(OR(AND(6&lt;=E297,E297&lt;=12),COUNTIF(E297, "小*")),"小学生","")</f>
        <v/>
      </c>
      <c r="AX297" s="1983" t="str">
        <f t="shared" ref="AX297" si="2794">IF(OR(AND(12&lt;=E297,E297&lt;=15),COUNTIF(E297, "中*")),"中学生","")</f>
        <v/>
      </c>
      <c r="AY297" s="1983" t="str">
        <f t="shared" ref="AY297" si="2795">IF(OR(AND(15&lt;=E297,E297&lt;=18),COUNTIF(E297, "高*")),"高校生(～18歳)","")</f>
        <v/>
      </c>
      <c r="AZ297" s="1983" t="str">
        <f t="shared" ref="AZ297" si="2796">IF(OR(19&lt;=E297,COUNTIF(E297, "大*"),COUNTIF(E297, "*院*"),COUNTIF(E297, "*専*")),"一般(19歳～)","")</f>
        <v/>
      </c>
      <c r="BA297" s="1983" t="s">
        <v>475</v>
      </c>
      <c r="BB297" s="652" t="str">
        <f t="shared" ref="BB297" si="2797">IF(OR(AND(D297="",I297="",M297="",R297="",W297="",AB297="",AG297=""),AND(D297&lt;&gt;"",OR(I297&lt;&gt;"",M297&lt;&gt;"",R297&lt;&gt;"",W297&lt;&gt;"",AB297&lt;&gt;"",AG297&lt;&gt;""))),"○","×")</f>
        <v>○</v>
      </c>
      <c r="BC297" s="652" t="str">
        <f t="shared" ref="BC297" si="2798">IF(AND(BD297="○",BE297="○",BF297="○",BG297="○",BH297="○",BI297="○"),"○","×")</f>
        <v>○</v>
      </c>
      <c r="BD297" s="653" t="str">
        <f t="shared" ref="BD297" si="2799">IF(AND($I$7=" ",OR(I297&lt;&gt;"",K297&lt;&gt;"",L297&lt;&gt;"")),"×","○")</f>
        <v>○</v>
      </c>
      <c r="BE297" s="653" t="str">
        <f t="shared" ref="BE297" si="2800">IF(AND($M$7=" ",OR(M297&lt;&gt;"",O297&lt;&gt;"",P297&lt;&gt;"",Q297&lt;&gt;"")),"×","○")</f>
        <v>○</v>
      </c>
      <c r="BF297" s="653" t="str">
        <f t="shared" ref="BF297" si="2801">IF(AND($R$7=" ",OR(R297&lt;&gt;"",T297&lt;&gt;"",U297&lt;&gt;"",V297&lt;&gt;"")),"×","○")</f>
        <v>○</v>
      </c>
      <c r="BG297" s="653" t="str">
        <f t="shared" ref="BG297" si="2802">IF(AND($W$7=" ",OR(W297&lt;&gt;"",Y297&lt;&gt;"",Z297&lt;&gt;"",AA297&lt;&gt;"")),"×","○")</f>
        <v>○</v>
      </c>
      <c r="BH297" s="653" t="str">
        <f t="shared" ref="BH297" si="2803">IF(AND($AB$7=" ",OR(AB297&lt;&gt;"",AD297&lt;&gt;"",AE297&lt;&gt;"",AF297&lt;&gt;"")),"×","○")</f>
        <v>○</v>
      </c>
      <c r="BI297" s="653" t="str">
        <f t="shared" ref="BI297" si="2804">IF(AND($AG$7=" ",OR(AG297&lt;&gt;"",AI297&lt;&gt;"",AJ297&lt;&gt;"")),"×","○")</f>
        <v>○</v>
      </c>
      <c r="BJ297" s="2225" t="e">
        <f t="shared" ref="BJ297" si="2805">SUMPRODUCT(1/COUNTIF(I297:AH297,"宿泊"))</f>
        <v>#DIV/0!</v>
      </c>
      <c r="BK297" s="2226" t="e">
        <f t="shared" ref="BK297" si="2806">SUMPRODUCT(1/COUNTIF(I297:AH297,"日帰り"))</f>
        <v>#DIV/0!</v>
      </c>
      <c r="BL297" s="1381">
        <f t="shared" ref="BL297" si="2807">COUNT(BJ297)-COUNT(BK297)</f>
        <v>0</v>
      </c>
      <c r="BM297" s="684"/>
    </row>
    <row r="298" spans="1:65" ht="14.1" customHeight="1" x14ac:dyDescent="0.15">
      <c r="A298" s="652"/>
      <c r="B298" s="2174"/>
      <c r="C298" s="2144"/>
      <c r="D298" s="2007"/>
      <c r="E298" s="2005"/>
      <c r="F298" s="2042"/>
      <c r="G298" s="2119"/>
      <c r="H298" s="2107"/>
      <c r="I298" s="2112"/>
      <c r="J298" s="2113"/>
      <c r="K298" s="2105"/>
      <c r="L298" s="2127"/>
      <c r="M298" s="2112"/>
      <c r="N298" s="2113"/>
      <c r="O298" s="2105"/>
      <c r="P298" s="2105"/>
      <c r="Q298" s="2107"/>
      <c r="R298" s="2112"/>
      <c r="S298" s="2113"/>
      <c r="T298" s="2105"/>
      <c r="U298" s="2105"/>
      <c r="V298" s="2107"/>
      <c r="W298" s="2112"/>
      <c r="X298" s="2113"/>
      <c r="Y298" s="2105"/>
      <c r="Z298" s="2105"/>
      <c r="AA298" s="2107"/>
      <c r="AB298" s="2112"/>
      <c r="AC298" s="2113"/>
      <c r="AD298" s="2105"/>
      <c r="AE298" s="2105"/>
      <c r="AF298" s="2107"/>
      <c r="AG298" s="2112"/>
      <c r="AH298" s="2113"/>
      <c r="AI298" s="2105"/>
      <c r="AJ298" s="2105"/>
      <c r="AK298" s="2011"/>
      <c r="AL298" s="2012"/>
      <c r="AM298" s="2012"/>
      <c r="AN298" s="2013"/>
      <c r="AO298" s="2011"/>
      <c r="AP298" s="2012"/>
      <c r="AQ298" s="2012"/>
      <c r="AR298" s="2013"/>
      <c r="AS298" s="651"/>
      <c r="AT298" s="652"/>
      <c r="AU298" s="1983"/>
      <c r="AV298" s="1983"/>
      <c r="AW298" s="1983"/>
      <c r="AX298" s="1983"/>
      <c r="AY298" s="1983"/>
      <c r="AZ298" s="1983"/>
      <c r="BA298" s="1983"/>
      <c r="BB298" s="654"/>
      <c r="BC298" s="654"/>
      <c r="BD298" s="652"/>
      <c r="BE298" s="652"/>
      <c r="BF298" s="652"/>
      <c r="BG298" s="652"/>
      <c r="BH298" s="652"/>
      <c r="BI298" s="652"/>
      <c r="BJ298" s="2225"/>
      <c r="BK298" s="2226"/>
      <c r="BL298" s="1381"/>
      <c r="BM298" s="684"/>
    </row>
    <row r="299" spans="1:65" ht="14.1" customHeight="1" x14ac:dyDescent="0.15">
      <c r="A299" s="652" t="str">
        <f t="shared" ref="A299" si="2808">IF(AND(D299="",D301&lt;&gt;""),"×","○")</f>
        <v>○</v>
      </c>
      <c r="B299" s="2174" t="str">
        <f t="shared" ref="B299" si="2809">IF(AND(AT299="○",BB299="○",BC299="○",A299="○"),"○","×")</f>
        <v>○</v>
      </c>
      <c r="C299" s="2143">
        <v>143</v>
      </c>
      <c r="D299" s="2006"/>
      <c r="E299" s="2004"/>
      <c r="F299" s="2041"/>
      <c r="G299" s="2118"/>
      <c r="H299" s="2106"/>
      <c r="I299" s="2141"/>
      <c r="J299" s="2142"/>
      <c r="K299" s="2104"/>
      <c r="L299" s="2140"/>
      <c r="M299" s="2110"/>
      <c r="N299" s="2111"/>
      <c r="O299" s="2104"/>
      <c r="P299" s="2104"/>
      <c r="Q299" s="2106"/>
      <c r="R299" s="2110"/>
      <c r="S299" s="2111"/>
      <c r="T299" s="2104"/>
      <c r="U299" s="2104"/>
      <c r="V299" s="2106"/>
      <c r="W299" s="2110"/>
      <c r="X299" s="2111"/>
      <c r="Y299" s="2104"/>
      <c r="Z299" s="2104"/>
      <c r="AA299" s="2106"/>
      <c r="AB299" s="2110"/>
      <c r="AC299" s="2111"/>
      <c r="AD299" s="2104"/>
      <c r="AE299" s="2104"/>
      <c r="AF299" s="2106"/>
      <c r="AG299" s="2110"/>
      <c r="AH299" s="2111"/>
      <c r="AI299" s="2104"/>
      <c r="AJ299" s="2104"/>
      <c r="AK299" s="2038"/>
      <c r="AL299" s="2039"/>
      <c r="AM299" s="2039"/>
      <c r="AN299" s="2040"/>
      <c r="AO299" s="2008"/>
      <c r="AP299" s="2009"/>
      <c r="AQ299" s="2009"/>
      <c r="AR299" s="2010"/>
      <c r="AS299" s="651"/>
      <c r="AT299" s="652" t="str">
        <f t="shared" ref="AT299" si="2810">IF(OR(AND(D299&lt;&gt;"",OR(AND(E299&lt;&gt;"",F299&lt;&gt;"",OR(G299&lt;&gt;"",H299&lt;&gt;"")),AND(E299="",F299="バス・カメラマン等"))),AND(D299="",E299="",F299="",OR(G299="",H299=""))),"○","×")</f>
        <v>○</v>
      </c>
      <c r="AU299" s="1983" t="str">
        <f t="shared" ref="AU299" si="2811">IF(AND(E299&lt;&gt;"",E299&lt;=2),"2歳児以下","")</f>
        <v/>
      </c>
      <c r="AV299" s="1983" t="str">
        <f t="shared" ref="AV299" si="2812">IF(OR(AND(3&lt;=E299,E299&lt;=6),COUNTIF(E299, "幼*"),COUNTIF(E299, "年少"),COUNTIF(E299, "年中"),COUNTIF(E299, "年長")),"3歳-学齢前","")</f>
        <v/>
      </c>
      <c r="AW299" s="1983" t="str">
        <f t="shared" ref="AW299" si="2813">IF(OR(AND(6&lt;=E299,E299&lt;=12),COUNTIF(E299, "小*")),"小学生","")</f>
        <v/>
      </c>
      <c r="AX299" s="1983" t="str">
        <f t="shared" ref="AX299" si="2814">IF(OR(AND(12&lt;=E299,E299&lt;=15),COUNTIF(E299, "中*")),"中学生","")</f>
        <v/>
      </c>
      <c r="AY299" s="1983" t="str">
        <f t="shared" ref="AY299" si="2815">IF(OR(AND(15&lt;=E299,E299&lt;=18),COUNTIF(E299, "高*")),"高校生(～18歳)","")</f>
        <v/>
      </c>
      <c r="AZ299" s="1983" t="str">
        <f t="shared" ref="AZ299" si="2816">IF(OR(19&lt;=E299,COUNTIF(E299, "大*"),COUNTIF(E299, "*院*"),COUNTIF(E299, "*専*")),"一般(19歳～)","")</f>
        <v/>
      </c>
      <c r="BA299" s="1983" t="s">
        <v>475</v>
      </c>
      <c r="BB299" s="652" t="str">
        <f t="shared" ref="BB299" si="2817">IF(OR(AND(D299="",I299="",M299="",R299="",W299="",AB299="",AG299=""),AND(D299&lt;&gt;"",OR(I299&lt;&gt;"",M299&lt;&gt;"",R299&lt;&gt;"",W299&lt;&gt;"",AB299&lt;&gt;"",AG299&lt;&gt;""))),"○","×")</f>
        <v>○</v>
      </c>
      <c r="BC299" s="652" t="str">
        <f t="shared" ref="BC299" si="2818">IF(AND(BD299="○",BE299="○",BF299="○",BG299="○",BH299="○",BI299="○"),"○","×")</f>
        <v>○</v>
      </c>
      <c r="BD299" s="653" t="str">
        <f t="shared" ref="BD299" si="2819">IF(AND($I$7=" ",OR(I299&lt;&gt;"",K299&lt;&gt;"",L299&lt;&gt;"")),"×","○")</f>
        <v>○</v>
      </c>
      <c r="BE299" s="653" t="str">
        <f t="shared" ref="BE299" si="2820">IF(AND($M$7=" ",OR(M299&lt;&gt;"",O299&lt;&gt;"",P299&lt;&gt;"",Q299&lt;&gt;"")),"×","○")</f>
        <v>○</v>
      </c>
      <c r="BF299" s="653" t="str">
        <f t="shared" ref="BF299" si="2821">IF(AND($R$7=" ",OR(R299&lt;&gt;"",T299&lt;&gt;"",U299&lt;&gt;"",V299&lt;&gt;"")),"×","○")</f>
        <v>○</v>
      </c>
      <c r="BG299" s="653" t="str">
        <f t="shared" ref="BG299" si="2822">IF(AND($W$7=" ",OR(W299&lt;&gt;"",Y299&lt;&gt;"",Z299&lt;&gt;"",AA299&lt;&gt;"")),"×","○")</f>
        <v>○</v>
      </c>
      <c r="BH299" s="653" t="str">
        <f t="shared" ref="BH299" si="2823">IF(AND($AB$7=" ",OR(AB299&lt;&gt;"",AD299&lt;&gt;"",AE299&lt;&gt;"",AF299&lt;&gt;"")),"×","○")</f>
        <v>○</v>
      </c>
      <c r="BI299" s="653" t="str">
        <f t="shared" ref="BI299" si="2824">IF(AND($AG$7=" ",OR(AG299&lt;&gt;"",AI299&lt;&gt;"",AJ299&lt;&gt;"")),"×","○")</f>
        <v>○</v>
      </c>
      <c r="BJ299" s="2225" t="e">
        <f t="shared" ref="BJ299" si="2825">SUMPRODUCT(1/COUNTIF(I299:AH299,"宿泊"))</f>
        <v>#DIV/0!</v>
      </c>
      <c r="BK299" s="2226" t="e">
        <f t="shared" ref="BK299" si="2826">SUMPRODUCT(1/COUNTIF(I299:AH299,"日帰り"))</f>
        <v>#DIV/0!</v>
      </c>
      <c r="BL299" s="1381">
        <f t="shared" ref="BL299" si="2827">COUNT(BJ299)-COUNT(BK299)</f>
        <v>0</v>
      </c>
      <c r="BM299" s="684"/>
    </row>
    <row r="300" spans="1:65" ht="14.1" customHeight="1" x14ac:dyDescent="0.15">
      <c r="A300" s="652"/>
      <c r="B300" s="2174"/>
      <c r="C300" s="2144"/>
      <c r="D300" s="2007"/>
      <c r="E300" s="2005"/>
      <c r="F300" s="2042"/>
      <c r="G300" s="2119"/>
      <c r="H300" s="2107"/>
      <c r="I300" s="2112"/>
      <c r="J300" s="2113"/>
      <c r="K300" s="2105"/>
      <c r="L300" s="2127"/>
      <c r="M300" s="2112"/>
      <c r="N300" s="2113"/>
      <c r="O300" s="2105"/>
      <c r="P300" s="2105"/>
      <c r="Q300" s="2107"/>
      <c r="R300" s="2112"/>
      <c r="S300" s="2113"/>
      <c r="T300" s="2105"/>
      <c r="U300" s="2105"/>
      <c r="V300" s="2107"/>
      <c r="W300" s="2112"/>
      <c r="X300" s="2113"/>
      <c r="Y300" s="2105"/>
      <c r="Z300" s="2105"/>
      <c r="AA300" s="2107"/>
      <c r="AB300" s="2112"/>
      <c r="AC300" s="2113"/>
      <c r="AD300" s="2105"/>
      <c r="AE300" s="2105"/>
      <c r="AF300" s="2107"/>
      <c r="AG300" s="2112"/>
      <c r="AH300" s="2113"/>
      <c r="AI300" s="2105"/>
      <c r="AJ300" s="2105"/>
      <c r="AK300" s="2038"/>
      <c r="AL300" s="2039"/>
      <c r="AM300" s="2039"/>
      <c r="AN300" s="2040"/>
      <c r="AO300" s="2011"/>
      <c r="AP300" s="2012"/>
      <c r="AQ300" s="2012"/>
      <c r="AR300" s="2013"/>
      <c r="AS300" s="651"/>
      <c r="AT300" s="652"/>
      <c r="AU300" s="1983"/>
      <c r="AV300" s="1983"/>
      <c r="AW300" s="1983"/>
      <c r="AX300" s="1983"/>
      <c r="AY300" s="1983"/>
      <c r="AZ300" s="1983"/>
      <c r="BA300" s="1983"/>
      <c r="BB300" s="654"/>
      <c r="BC300" s="654"/>
      <c r="BD300" s="652"/>
      <c r="BE300" s="652"/>
      <c r="BF300" s="652"/>
      <c r="BG300" s="652"/>
      <c r="BH300" s="652"/>
      <c r="BI300" s="652"/>
      <c r="BJ300" s="2225"/>
      <c r="BK300" s="2226"/>
      <c r="BL300" s="1381"/>
      <c r="BM300" s="684"/>
    </row>
    <row r="301" spans="1:65" ht="14.1" customHeight="1" x14ac:dyDescent="0.15">
      <c r="A301" s="652" t="str">
        <f t="shared" ref="A301" si="2828">IF(AND(D301="",D303&lt;&gt;""),"×","○")</f>
        <v>○</v>
      </c>
      <c r="B301" s="2174" t="str">
        <f t="shared" ref="B301" si="2829">IF(AND(AT301="○",BB301="○",BC301="○",A301="○"),"○","×")</f>
        <v>○</v>
      </c>
      <c r="C301" s="2143">
        <v>144</v>
      </c>
      <c r="D301" s="2006"/>
      <c r="E301" s="2004"/>
      <c r="F301" s="2041"/>
      <c r="G301" s="2118"/>
      <c r="H301" s="2106"/>
      <c r="I301" s="2141"/>
      <c r="J301" s="2142"/>
      <c r="K301" s="2104"/>
      <c r="L301" s="2140"/>
      <c r="M301" s="2110"/>
      <c r="N301" s="2111"/>
      <c r="O301" s="2104"/>
      <c r="P301" s="2104"/>
      <c r="Q301" s="2106"/>
      <c r="R301" s="2110"/>
      <c r="S301" s="2111"/>
      <c r="T301" s="2104"/>
      <c r="U301" s="2104"/>
      <c r="V301" s="2106"/>
      <c r="W301" s="2110"/>
      <c r="X301" s="2111"/>
      <c r="Y301" s="2104"/>
      <c r="Z301" s="2104"/>
      <c r="AA301" s="2106"/>
      <c r="AB301" s="2110"/>
      <c r="AC301" s="2111"/>
      <c r="AD301" s="2104"/>
      <c r="AE301" s="2104"/>
      <c r="AF301" s="2106"/>
      <c r="AG301" s="2110"/>
      <c r="AH301" s="2111"/>
      <c r="AI301" s="2104"/>
      <c r="AJ301" s="2104"/>
      <c r="AK301" s="2008"/>
      <c r="AL301" s="2009"/>
      <c r="AM301" s="2009"/>
      <c r="AN301" s="2010"/>
      <c r="AO301" s="2008"/>
      <c r="AP301" s="2009"/>
      <c r="AQ301" s="2009"/>
      <c r="AR301" s="2010"/>
      <c r="AS301" s="651"/>
      <c r="AT301" s="652" t="str">
        <f t="shared" ref="AT301" si="2830">IF(OR(AND(D301&lt;&gt;"",OR(AND(E301&lt;&gt;"",F301&lt;&gt;"",OR(G301&lt;&gt;"",H301&lt;&gt;"")),AND(E301="",F301="バス・カメラマン等"))),AND(D301="",E301="",F301="",OR(G301="",H301=""))),"○","×")</f>
        <v>○</v>
      </c>
      <c r="AU301" s="1983" t="str">
        <f t="shared" ref="AU301" si="2831">IF(AND(E301&lt;&gt;"",E301&lt;=2),"2歳児以下","")</f>
        <v/>
      </c>
      <c r="AV301" s="1983" t="str">
        <f t="shared" ref="AV301" si="2832">IF(OR(AND(3&lt;=E301,E301&lt;=6),COUNTIF(E301, "幼*"),COUNTIF(E301, "年少"),COUNTIF(E301, "年中"),COUNTIF(E301, "年長")),"3歳-学齢前","")</f>
        <v/>
      </c>
      <c r="AW301" s="1983" t="str">
        <f t="shared" ref="AW301" si="2833">IF(OR(AND(6&lt;=E301,E301&lt;=12),COUNTIF(E301, "小*")),"小学生","")</f>
        <v/>
      </c>
      <c r="AX301" s="1983" t="str">
        <f t="shared" ref="AX301" si="2834">IF(OR(AND(12&lt;=E301,E301&lt;=15),COUNTIF(E301, "中*")),"中学生","")</f>
        <v/>
      </c>
      <c r="AY301" s="1983" t="str">
        <f t="shared" ref="AY301" si="2835">IF(OR(AND(15&lt;=E301,E301&lt;=18),COUNTIF(E301, "高*")),"高校生(～18歳)","")</f>
        <v/>
      </c>
      <c r="AZ301" s="1983" t="str">
        <f t="shared" ref="AZ301" si="2836">IF(OR(19&lt;=E301,COUNTIF(E301, "大*"),COUNTIF(E301, "*院*"),COUNTIF(E301, "*専*")),"一般(19歳～)","")</f>
        <v/>
      </c>
      <c r="BA301" s="1983" t="s">
        <v>475</v>
      </c>
      <c r="BB301" s="652" t="str">
        <f t="shared" ref="BB301" si="2837">IF(OR(AND(D301="",I301="",M301="",R301="",W301="",AB301="",AG301=""),AND(D301&lt;&gt;"",OR(I301&lt;&gt;"",M301&lt;&gt;"",R301&lt;&gt;"",W301&lt;&gt;"",AB301&lt;&gt;"",AG301&lt;&gt;""))),"○","×")</f>
        <v>○</v>
      </c>
      <c r="BC301" s="652" t="str">
        <f t="shared" ref="BC301" si="2838">IF(AND(BD301="○",BE301="○",BF301="○",BG301="○",BH301="○",BI301="○"),"○","×")</f>
        <v>○</v>
      </c>
      <c r="BD301" s="653" t="str">
        <f t="shared" ref="BD301" si="2839">IF(AND($I$7=" ",OR(I301&lt;&gt;"",K301&lt;&gt;"",L301&lt;&gt;"")),"×","○")</f>
        <v>○</v>
      </c>
      <c r="BE301" s="653" t="str">
        <f t="shared" ref="BE301" si="2840">IF(AND($M$7=" ",OR(M301&lt;&gt;"",O301&lt;&gt;"",P301&lt;&gt;"",Q301&lt;&gt;"")),"×","○")</f>
        <v>○</v>
      </c>
      <c r="BF301" s="653" t="str">
        <f t="shared" ref="BF301" si="2841">IF(AND($R$7=" ",OR(R301&lt;&gt;"",T301&lt;&gt;"",U301&lt;&gt;"",V301&lt;&gt;"")),"×","○")</f>
        <v>○</v>
      </c>
      <c r="BG301" s="653" t="str">
        <f t="shared" ref="BG301" si="2842">IF(AND($W$7=" ",OR(W301&lt;&gt;"",Y301&lt;&gt;"",Z301&lt;&gt;"",AA301&lt;&gt;"")),"×","○")</f>
        <v>○</v>
      </c>
      <c r="BH301" s="653" t="str">
        <f t="shared" ref="BH301" si="2843">IF(AND($AB$7=" ",OR(AB301&lt;&gt;"",AD301&lt;&gt;"",AE301&lt;&gt;"",AF301&lt;&gt;"")),"×","○")</f>
        <v>○</v>
      </c>
      <c r="BI301" s="653" t="str">
        <f t="shared" ref="BI301" si="2844">IF(AND($AG$7=" ",OR(AG301&lt;&gt;"",AI301&lt;&gt;"",AJ301&lt;&gt;"")),"×","○")</f>
        <v>○</v>
      </c>
      <c r="BJ301" s="2225" t="e">
        <f t="shared" ref="BJ301" si="2845">SUMPRODUCT(1/COUNTIF(I301:AH301,"宿泊"))</f>
        <v>#DIV/0!</v>
      </c>
      <c r="BK301" s="2226" t="e">
        <f t="shared" ref="BK301" si="2846">SUMPRODUCT(1/COUNTIF(I301:AH301,"日帰り"))</f>
        <v>#DIV/0!</v>
      </c>
      <c r="BL301" s="1381">
        <f t="shared" ref="BL301" si="2847">COUNT(BJ301)-COUNT(BK301)</f>
        <v>0</v>
      </c>
      <c r="BM301" s="684"/>
    </row>
    <row r="302" spans="1:65" ht="14.1" customHeight="1" x14ac:dyDescent="0.15">
      <c r="A302" s="652"/>
      <c r="B302" s="2174"/>
      <c r="C302" s="2144"/>
      <c r="D302" s="2007"/>
      <c r="E302" s="2005"/>
      <c r="F302" s="2042"/>
      <c r="G302" s="2119"/>
      <c r="H302" s="2107"/>
      <c r="I302" s="2112"/>
      <c r="J302" s="2113"/>
      <c r="K302" s="2105"/>
      <c r="L302" s="2127"/>
      <c r="M302" s="2112"/>
      <c r="N302" s="2113"/>
      <c r="O302" s="2105"/>
      <c r="P302" s="2105"/>
      <c r="Q302" s="2107"/>
      <c r="R302" s="2112"/>
      <c r="S302" s="2113"/>
      <c r="T302" s="2105"/>
      <c r="U302" s="2105"/>
      <c r="V302" s="2107"/>
      <c r="W302" s="2112"/>
      <c r="X302" s="2113"/>
      <c r="Y302" s="2105"/>
      <c r="Z302" s="2105"/>
      <c r="AA302" s="2107"/>
      <c r="AB302" s="2112"/>
      <c r="AC302" s="2113"/>
      <c r="AD302" s="2105"/>
      <c r="AE302" s="2105"/>
      <c r="AF302" s="2107"/>
      <c r="AG302" s="2112"/>
      <c r="AH302" s="2113"/>
      <c r="AI302" s="2105"/>
      <c r="AJ302" s="2105"/>
      <c r="AK302" s="2011"/>
      <c r="AL302" s="2012"/>
      <c r="AM302" s="2012"/>
      <c r="AN302" s="2013"/>
      <c r="AO302" s="2011"/>
      <c r="AP302" s="2012"/>
      <c r="AQ302" s="2012"/>
      <c r="AR302" s="2013"/>
      <c r="AS302" s="651"/>
      <c r="AT302" s="652"/>
      <c r="AU302" s="1983"/>
      <c r="AV302" s="1983"/>
      <c r="AW302" s="1983"/>
      <c r="AX302" s="1983"/>
      <c r="AY302" s="1983"/>
      <c r="AZ302" s="1983"/>
      <c r="BA302" s="1983"/>
      <c r="BB302" s="654"/>
      <c r="BC302" s="654"/>
      <c r="BD302" s="652"/>
      <c r="BE302" s="652"/>
      <c r="BF302" s="652"/>
      <c r="BG302" s="652"/>
      <c r="BH302" s="652"/>
      <c r="BI302" s="652"/>
      <c r="BJ302" s="2225"/>
      <c r="BK302" s="2226"/>
      <c r="BL302" s="1381"/>
      <c r="BM302" s="684"/>
    </row>
    <row r="303" spans="1:65" ht="14.1" customHeight="1" x14ac:dyDescent="0.15">
      <c r="A303" s="652" t="str">
        <f t="shared" ref="A303" si="2848">IF(AND(D303="",D305&lt;&gt;""),"×","○")</f>
        <v>○</v>
      </c>
      <c r="B303" s="2174" t="str">
        <f t="shared" ref="B303" si="2849">IF(AND(AT303="○",BB303="○",BC303="○",A303="○"),"○","×")</f>
        <v>○</v>
      </c>
      <c r="C303" s="2143">
        <v>145</v>
      </c>
      <c r="D303" s="2006"/>
      <c r="E303" s="2004"/>
      <c r="F303" s="2041"/>
      <c r="G303" s="2118"/>
      <c r="H303" s="2106"/>
      <c r="I303" s="2141"/>
      <c r="J303" s="2142"/>
      <c r="K303" s="2104"/>
      <c r="L303" s="2140"/>
      <c r="M303" s="2110"/>
      <c r="N303" s="2111"/>
      <c r="O303" s="2104"/>
      <c r="P303" s="2104"/>
      <c r="Q303" s="2106"/>
      <c r="R303" s="2110"/>
      <c r="S303" s="2111"/>
      <c r="T303" s="2104"/>
      <c r="U303" s="2104"/>
      <c r="V303" s="2106"/>
      <c r="W303" s="2110"/>
      <c r="X303" s="2111"/>
      <c r="Y303" s="2104"/>
      <c r="Z303" s="2104"/>
      <c r="AA303" s="2106"/>
      <c r="AB303" s="2110"/>
      <c r="AC303" s="2111"/>
      <c r="AD303" s="2104"/>
      <c r="AE303" s="2104"/>
      <c r="AF303" s="2106"/>
      <c r="AG303" s="2110"/>
      <c r="AH303" s="2111"/>
      <c r="AI303" s="2104"/>
      <c r="AJ303" s="2104"/>
      <c r="AK303" s="2038"/>
      <c r="AL303" s="2039"/>
      <c r="AM303" s="2039"/>
      <c r="AN303" s="2040"/>
      <c r="AO303" s="2008"/>
      <c r="AP303" s="2009"/>
      <c r="AQ303" s="2009"/>
      <c r="AR303" s="2010"/>
      <c r="AS303" s="651"/>
      <c r="AT303" s="652" t="str">
        <f t="shared" ref="AT303" si="2850">IF(OR(AND(D303&lt;&gt;"",OR(AND(E303&lt;&gt;"",F303&lt;&gt;"",OR(G303&lt;&gt;"",H303&lt;&gt;"")),AND(E303="",F303="バス・カメラマン等"))),AND(D303="",E303="",F303="",OR(G303="",H303=""))),"○","×")</f>
        <v>○</v>
      </c>
      <c r="AU303" s="1983" t="str">
        <f t="shared" ref="AU303" si="2851">IF(AND(E303&lt;&gt;"",E303&lt;=2),"2歳児以下","")</f>
        <v/>
      </c>
      <c r="AV303" s="1983" t="str">
        <f t="shared" ref="AV303" si="2852">IF(OR(AND(3&lt;=E303,E303&lt;=6),COUNTIF(E303, "幼*"),COUNTIF(E303, "年少"),COUNTIF(E303, "年中"),COUNTIF(E303, "年長")),"3歳-学齢前","")</f>
        <v/>
      </c>
      <c r="AW303" s="1983" t="str">
        <f t="shared" ref="AW303" si="2853">IF(OR(AND(6&lt;=E303,E303&lt;=12),COUNTIF(E303, "小*")),"小学生","")</f>
        <v/>
      </c>
      <c r="AX303" s="1983" t="str">
        <f t="shared" ref="AX303" si="2854">IF(OR(AND(12&lt;=E303,E303&lt;=15),COUNTIF(E303, "中*")),"中学生","")</f>
        <v/>
      </c>
      <c r="AY303" s="1983" t="str">
        <f t="shared" ref="AY303" si="2855">IF(OR(AND(15&lt;=E303,E303&lt;=18),COUNTIF(E303, "高*")),"高校生(～18歳)","")</f>
        <v/>
      </c>
      <c r="AZ303" s="1983" t="str">
        <f t="shared" ref="AZ303" si="2856">IF(OR(19&lt;=E303,COUNTIF(E303, "大*"),COUNTIF(E303, "*院*"),COUNTIF(E303, "*専*")),"一般(19歳～)","")</f>
        <v/>
      </c>
      <c r="BA303" s="1983" t="s">
        <v>475</v>
      </c>
      <c r="BB303" s="652" t="str">
        <f t="shared" ref="BB303" si="2857">IF(OR(AND(D303="",I303="",M303="",R303="",W303="",AB303="",AG303=""),AND(D303&lt;&gt;"",OR(I303&lt;&gt;"",M303&lt;&gt;"",R303&lt;&gt;"",W303&lt;&gt;"",AB303&lt;&gt;"",AG303&lt;&gt;""))),"○","×")</f>
        <v>○</v>
      </c>
      <c r="BC303" s="652" t="str">
        <f t="shared" ref="BC303" si="2858">IF(AND(BD303="○",BE303="○",BF303="○",BG303="○",BH303="○",BI303="○"),"○","×")</f>
        <v>○</v>
      </c>
      <c r="BD303" s="653" t="str">
        <f t="shared" ref="BD303" si="2859">IF(AND($I$7=" ",OR(I303&lt;&gt;"",K303&lt;&gt;"",L303&lt;&gt;"")),"×","○")</f>
        <v>○</v>
      </c>
      <c r="BE303" s="653" t="str">
        <f t="shared" ref="BE303" si="2860">IF(AND($M$7=" ",OR(M303&lt;&gt;"",O303&lt;&gt;"",P303&lt;&gt;"",Q303&lt;&gt;"")),"×","○")</f>
        <v>○</v>
      </c>
      <c r="BF303" s="653" t="str">
        <f t="shared" ref="BF303" si="2861">IF(AND($R$7=" ",OR(R303&lt;&gt;"",T303&lt;&gt;"",U303&lt;&gt;"",V303&lt;&gt;"")),"×","○")</f>
        <v>○</v>
      </c>
      <c r="BG303" s="653" t="str">
        <f t="shared" ref="BG303" si="2862">IF(AND($W$7=" ",OR(W303&lt;&gt;"",Y303&lt;&gt;"",Z303&lt;&gt;"",AA303&lt;&gt;"")),"×","○")</f>
        <v>○</v>
      </c>
      <c r="BH303" s="653" t="str">
        <f t="shared" ref="BH303" si="2863">IF(AND($AB$7=" ",OR(AB303&lt;&gt;"",AD303&lt;&gt;"",AE303&lt;&gt;"",AF303&lt;&gt;"")),"×","○")</f>
        <v>○</v>
      </c>
      <c r="BI303" s="653" t="str">
        <f t="shared" ref="BI303" si="2864">IF(AND($AG$7=" ",OR(AG303&lt;&gt;"",AI303&lt;&gt;"",AJ303&lt;&gt;"")),"×","○")</f>
        <v>○</v>
      </c>
      <c r="BJ303" s="2225" t="e">
        <f t="shared" ref="BJ303" si="2865">SUMPRODUCT(1/COUNTIF(I303:AH303,"宿泊"))</f>
        <v>#DIV/0!</v>
      </c>
      <c r="BK303" s="2226" t="e">
        <f t="shared" ref="BK303" si="2866">SUMPRODUCT(1/COUNTIF(I303:AH303,"日帰り"))</f>
        <v>#DIV/0!</v>
      </c>
      <c r="BL303" s="1381">
        <f t="shared" ref="BL303" si="2867">COUNT(BJ303)-COUNT(BK303)</f>
        <v>0</v>
      </c>
      <c r="BM303" s="684"/>
    </row>
    <row r="304" spans="1:65" ht="14.1" customHeight="1" x14ac:dyDescent="0.15">
      <c r="A304" s="652"/>
      <c r="B304" s="2174"/>
      <c r="C304" s="2144"/>
      <c r="D304" s="2007"/>
      <c r="E304" s="2005"/>
      <c r="F304" s="2042"/>
      <c r="G304" s="2119"/>
      <c r="H304" s="2107"/>
      <c r="I304" s="2112"/>
      <c r="J304" s="2113"/>
      <c r="K304" s="2105"/>
      <c r="L304" s="2127"/>
      <c r="M304" s="2112"/>
      <c r="N304" s="2113"/>
      <c r="O304" s="2105"/>
      <c r="P304" s="2105"/>
      <c r="Q304" s="2107"/>
      <c r="R304" s="2112"/>
      <c r="S304" s="2113"/>
      <c r="T304" s="2105"/>
      <c r="U304" s="2105"/>
      <c r="V304" s="2107"/>
      <c r="W304" s="2112"/>
      <c r="X304" s="2113"/>
      <c r="Y304" s="2105"/>
      <c r="Z304" s="2105"/>
      <c r="AA304" s="2107"/>
      <c r="AB304" s="2112"/>
      <c r="AC304" s="2113"/>
      <c r="AD304" s="2105"/>
      <c r="AE304" s="2105"/>
      <c r="AF304" s="2107"/>
      <c r="AG304" s="2112"/>
      <c r="AH304" s="2113"/>
      <c r="AI304" s="2105"/>
      <c r="AJ304" s="2105"/>
      <c r="AK304" s="2011"/>
      <c r="AL304" s="2012"/>
      <c r="AM304" s="2012"/>
      <c r="AN304" s="2013"/>
      <c r="AO304" s="2011"/>
      <c r="AP304" s="2012"/>
      <c r="AQ304" s="2012"/>
      <c r="AR304" s="2013"/>
      <c r="AS304" s="651"/>
      <c r="AT304" s="652"/>
      <c r="AU304" s="1983"/>
      <c r="AV304" s="1983"/>
      <c r="AW304" s="1983"/>
      <c r="AX304" s="1983"/>
      <c r="AY304" s="1983"/>
      <c r="AZ304" s="1983"/>
      <c r="BA304" s="1983"/>
      <c r="BB304" s="654"/>
      <c r="BC304" s="654"/>
      <c r="BD304" s="652"/>
      <c r="BE304" s="652"/>
      <c r="BF304" s="652"/>
      <c r="BG304" s="652"/>
      <c r="BH304" s="652"/>
      <c r="BI304" s="652"/>
      <c r="BJ304" s="2225"/>
      <c r="BK304" s="2226"/>
      <c r="BL304" s="1381"/>
      <c r="BM304" s="684"/>
    </row>
    <row r="305" spans="1:65" ht="14.1" customHeight="1" x14ac:dyDescent="0.15">
      <c r="A305" s="652" t="str">
        <f t="shared" ref="A305" si="2868">IF(AND(D305="",D307&lt;&gt;""),"×","○")</f>
        <v>○</v>
      </c>
      <c r="B305" s="2174" t="str">
        <f t="shared" ref="B305" si="2869">IF(AND(AT305="○",BB305="○",BC305="○",A305="○"),"○","×")</f>
        <v>○</v>
      </c>
      <c r="C305" s="2143">
        <v>146</v>
      </c>
      <c r="D305" s="2006"/>
      <c r="E305" s="2004"/>
      <c r="F305" s="2041"/>
      <c r="G305" s="2118"/>
      <c r="H305" s="2106"/>
      <c r="I305" s="2141"/>
      <c r="J305" s="2142"/>
      <c r="K305" s="2104"/>
      <c r="L305" s="2140"/>
      <c r="M305" s="2110"/>
      <c r="N305" s="2111"/>
      <c r="O305" s="2104"/>
      <c r="P305" s="2104"/>
      <c r="Q305" s="2106"/>
      <c r="R305" s="2110"/>
      <c r="S305" s="2111"/>
      <c r="T305" s="2104"/>
      <c r="U305" s="2104"/>
      <c r="V305" s="2106"/>
      <c r="W305" s="2110"/>
      <c r="X305" s="2111"/>
      <c r="Y305" s="2104"/>
      <c r="Z305" s="2104"/>
      <c r="AA305" s="2106"/>
      <c r="AB305" s="2110"/>
      <c r="AC305" s="2111"/>
      <c r="AD305" s="2104"/>
      <c r="AE305" s="2104"/>
      <c r="AF305" s="2106"/>
      <c r="AG305" s="2110"/>
      <c r="AH305" s="2111"/>
      <c r="AI305" s="2104"/>
      <c r="AJ305" s="2104"/>
      <c r="AK305" s="2038"/>
      <c r="AL305" s="2039"/>
      <c r="AM305" s="2039"/>
      <c r="AN305" s="2040"/>
      <c r="AO305" s="2008"/>
      <c r="AP305" s="2009"/>
      <c r="AQ305" s="2009"/>
      <c r="AR305" s="2010"/>
      <c r="AS305" s="651"/>
      <c r="AT305" s="652" t="str">
        <f t="shared" ref="AT305" si="2870">IF(OR(AND(D305&lt;&gt;"",OR(AND(E305&lt;&gt;"",F305&lt;&gt;"",OR(G305&lt;&gt;"",H305&lt;&gt;"")),AND(E305="",F305="バス・カメラマン等"))),AND(D305="",E305="",F305="",OR(G305="",H305=""))),"○","×")</f>
        <v>○</v>
      </c>
      <c r="AU305" s="1983" t="str">
        <f t="shared" ref="AU305" si="2871">IF(AND(E305&lt;&gt;"",E305&lt;=2),"2歳児以下","")</f>
        <v/>
      </c>
      <c r="AV305" s="1983" t="str">
        <f t="shared" ref="AV305" si="2872">IF(OR(AND(3&lt;=E305,E305&lt;=6),COUNTIF(E305, "幼*"),COUNTIF(E305, "年少"),COUNTIF(E305, "年中"),COUNTIF(E305, "年長")),"3歳-学齢前","")</f>
        <v/>
      </c>
      <c r="AW305" s="1983" t="str">
        <f t="shared" ref="AW305" si="2873">IF(OR(AND(6&lt;=E305,E305&lt;=12),COUNTIF(E305, "小*")),"小学生","")</f>
        <v/>
      </c>
      <c r="AX305" s="1983" t="str">
        <f t="shared" ref="AX305" si="2874">IF(OR(AND(12&lt;=E305,E305&lt;=15),COUNTIF(E305, "中*")),"中学生","")</f>
        <v/>
      </c>
      <c r="AY305" s="1983" t="str">
        <f t="shared" ref="AY305" si="2875">IF(OR(AND(15&lt;=E305,E305&lt;=18),COUNTIF(E305, "高*")),"高校生(～18歳)","")</f>
        <v/>
      </c>
      <c r="AZ305" s="1983" t="str">
        <f t="shared" ref="AZ305" si="2876">IF(OR(19&lt;=E305,COUNTIF(E305, "大*"),COUNTIF(E305, "*院*"),COUNTIF(E305, "*専*")),"一般(19歳～)","")</f>
        <v/>
      </c>
      <c r="BA305" s="1983" t="s">
        <v>475</v>
      </c>
      <c r="BB305" s="652" t="str">
        <f t="shared" ref="BB305" si="2877">IF(OR(AND(D305="",I305="",M305="",R305="",W305="",AB305="",AG305=""),AND(D305&lt;&gt;"",OR(I305&lt;&gt;"",M305&lt;&gt;"",R305&lt;&gt;"",W305&lt;&gt;"",AB305&lt;&gt;"",AG305&lt;&gt;""))),"○","×")</f>
        <v>○</v>
      </c>
      <c r="BC305" s="652" t="str">
        <f t="shared" ref="BC305" si="2878">IF(AND(BD305="○",BE305="○",BF305="○",BG305="○",BH305="○",BI305="○"),"○","×")</f>
        <v>○</v>
      </c>
      <c r="BD305" s="653" t="str">
        <f t="shared" ref="BD305" si="2879">IF(AND($I$7=" ",OR(I305&lt;&gt;"",K305&lt;&gt;"",L305&lt;&gt;"")),"×","○")</f>
        <v>○</v>
      </c>
      <c r="BE305" s="653" t="str">
        <f t="shared" ref="BE305" si="2880">IF(AND($M$7=" ",OR(M305&lt;&gt;"",O305&lt;&gt;"",P305&lt;&gt;"",Q305&lt;&gt;"")),"×","○")</f>
        <v>○</v>
      </c>
      <c r="BF305" s="653" t="str">
        <f t="shared" ref="BF305" si="2881">IF(AND($R$7=" ",OR(R305&lt;&gt;"",T305&lt;&gt;"",U305&lt;&gt;"",V305&lt;&gt;"")),"×","○")</f>
        <v>○</v>
      </c>
      <c r="BG305" s="653" t="str">
        <f t="shared" ref="BG305" si="2882">IF(AND($W$7=" ",OR(W305&lt;&gt;"",Y305&lt;&gt;"",Z305&lt;&gt;"",AA305&lt;&gt;"")),"×","○")</f>
        <v>○</v>
      </c>
      <c r="BH305" s="653" t="str">
        <f t="shared" ref="BH305" si="2883">IF(AND($AB$7=" ",OR(AB305&lt;&gt;"",AD305&lt;&gt;"",AE305&lt;&gt;"",AF305&lt;&gt;"")),"×","○")</f>
        <v>○</v>
      </c>
      <c r="BI305" s="653" t="str">
        <f t="shared" ref="BI305" si="2884">IF(AND($AG$7=" ",OR(AG305&lt;&gt;"",AI305&lt;&gt;"",AJ305&lt;&gt;"")),"×","○")</f>
        <v>○</v>
      </c>
      <c r="BJ305" s="2225" t="e">
        <f t="shared" ref="BJ305" si="2885">SUMPRODUCT(1/COUNTIF(I305:AH305,"宿泊"))</f>
        <v>#DIV/0!</v>
      </c>
      <c r="BK305" s="2226" t="e">
        <f t="shared" ref="BK305" si="2886">SUMPRODUCT(1/COUNTIF(I305:AH305,"日帰り"))</f>
        <v>#DIV/0!</v>
      </c>
      <c r="BL305" s="1381">
        <f t="shared" ref="BL305" si="2887">COUNT(BJ305)-COUNT(BK305)</f>
        <v>0</v>
      </c>
      <c r="BM305" s="684"/>
    </row>
    <row r="306" spans="1:65" ht="14.1" customHeight="1" x14ac:dyDescent="0.15">
      <c r="A306" s="652"/>
      <c r="B306" s="2174"/>
      <c r="C306" s="2144"/>
      <c r="D306" s="2007"/>
      <c r="E306" s="2005"/>
      <c r="F306" s="2042"/>
      <c r="G306" s="2119"/>
      <c r="H306" s="2107"/>
      <c r="I306" s="2112"/>
      <c r="J306" s="2113"/>
      <c r="K306" s="2105"/>
      <c r="L306" s="2127"/>
      <c r="M306" s="2112"/>
      <c r="N306" s="2113"/>
      <c r="O306" s="2105"/>
      <c r="P306" s="2105"/>
      <c r="Q306" s="2107"/>
      <c r="R306" s="2112"/>
      <c r="S306" s="2113"/>
      <c r="T306" s="2105"/>
      <c r="U306" s="2105"/>
      <c r="V306" s="2107"/>
      <c r="W306" s="2112"/>
      <c r="X306" s="2113"/>
      <c r="Y306" s="2105"/>
      <c r="Z306" s="2105"/>
      <c r="AA306" s="2107"/>
      <c r="AB306" s="2112"/>
      <c r="AC306" s="2113"/>
      <c r="AD306" s="2105"/>
      <c r="AE306" s="2105"/>
      <c r="AF306" s="2107"/>
      <c r="AG306" s="2112"/>
      <c r="AH306" s="2113"/>
      <c r="AI306" s="2105"/>
      <c r="AJ306" s="2105"/>
      <c r="AK306" s="2011"/>
      <c r="AL306" s="2012"/>
      <c r="AM306" s="2012"/>
      <c r="AN306" s="2013"/>
      <c r="AO306" s="2011"/>
      <c r="AP306" s="2012"/>
      <c r="AQ306" s="2012"/>
      <c r="AR306" s="2013"/>
      <c r="AS306" s="651"/>
      <c r="AT306" s="652"/>
      <c r="AU306" s="1983"/>
      <c r="AV306" s="1983"/>
      <c r="AW306" s="1983"/>
      <c r="AX306" s="1983"/>
      <c r="AY306" s="1983"/>
      <c r="AZ306" s="1983"/>
      <c r="BA306" s="1983"/>
      <c r="BB306" s="654"/>
      <c r="BC306" s="654"/>
      <c r="BD306" s="652"/>
      <c r="BE306" s="652"/>
      <c r="BF306" s="652"/>
      <c r="BG306" s="652"/>
      <c r="BH306" s="652"/>
      <c r="BI306" s="652"/>
      <c r="BJ306" s="2225"/>
      <c r="BK306" s="2226"/>
      <c r="BL306" s="1381"/>
      <c r="BM306" s="684"/>
    </row>
    <row r="307" spans="1:65" ht="14.1" customHeight="1" x14ac:dyDescent="0.15">
      <c r="A307" s="652" t="str">
        <f t="shared" ref="A307" si="2888">IF(AND(D307="",D309&lt;&gt;""),"×","○")</f>
        <v>○</v>
      </c>
      <c r="B307" s="2174" t="str">
        <f t="shared" ref="B307" si="2889">IF(AND(AT307="○",BB307="○",BC307="○",A307="○"),"○","×")</f>
        <v>○</v>
      </c>
      <c r="C307" s="2143">
        <v>147</v>
      </c>
      <c r="D307" s="2006"/>
      <c r="E307" s="2004"/>
      <c r="F307" s="2041"/>
      <c r="G307" s="2118"/>
      <c r="H307" s="2106"/>
      <c r="I307" s="2141"/>
      <c r="J307" s="2142"/>
      <c r="K307" s="2104"/>
      <c r="L307" s="2140"/>
      <c r="M307" s="2110"/>
      <c r="N307" s="2111"/>
      <c r="O307" s="2104"/>
      <c r="P307" s="2104"/>
      <c r="Q307" s="2106"/>
      <c r="R307" s="2110"/>
      <c r="S307" s="2111"/>
      <c r="T307" s="2104"/>
      <c r="U307" s="2104"/>
      <c r="V307" s="2106"/>
      <c r="W307" s="2110"/>
      <c r="X307" s="2111"/>
      <c r="Y307" s="2104"/>
      <c r="Z307" s="2104"/>
      <c r="AA307" s="2106"/>
      <c r="AB307" s="2110"/>
      <c r="AC307" s="2111"/>
      <c r="AD307" s="2104"/>
      <c r="AE307" s="2104"/>
      <c r="AF307" s="2106"/>
      <c r="AG307" s="2110"/>
      <c r="AH307" s="2111"/>
      <c r="AI307" s="2104"/>
      <c r="AJ307" s="2104"/>
      <c r="AK307" s="2038"/>
      <c r="AL307" s="2039"/>
      <c r="AM307" s="2039"/>
      <c r="AN307" s="2040"/>
      <c r="AO307" s="2008"/>
      <c r="AP307" s="2009"/>
      <c r="AQ307" s="2009"/>
      <c r="AR307" s="2010"/>
      <c r="AS307" s="651"/>
      <c r="AT307" s="652" t="str">
        <f t="shared" ref="AT307" si="2890">IF(OR(AND(D307&lt;&gt;"",OR(AND(E307&lt;&gt;"",F307&lt;&gt;"",OR(G307&lt;&gt;"",H307&lt;&gt;"")),AND(E307="",F307="バス・カメラマン等"))),AND(D307="",E307="",F307="",OR(G307="",H307=""))),"○","×")</f>
        <v>○</v>
      </c>
      <c r="AU307" s="1983" t="str">
        <f t="shared" ref="AU307" si="2891">IF(AND(E307&lt;&gt;"",E307&lt;=2),"2歳児以下","")</f>
        <v/>
      </c>
      <c r="AV307" s="1983" t="str">
        <f t="shared" ref="AV307" si="2892">IF(OR(AND(3&lt;=E307,E307&lt;=6),COUNTIF(E307, "幼*"),COUNTIF(E307, "年少"),COUNTIF(E307, "年中"),COUNTIF(E307, "年長")),"3歳-学齢前","")</f>
        <v/>
      </c>
      <c r="AW307" s="1983" t="str">
        <f t="shared" ref="AW307" si="2893">IF(OR(AND(6&lt;=E307,E307&lt;=12),COUNTIF(E307, "小*")),"小学生","")</f>
        <v/>
      </c>
      <c r="AX307" s="1983" t="str">
        <f t="shared" ref="AX307" si="2894">IF(OR(AND(12&lt;=E307,E307&lt;=15),COUNTIF(E307, "中*")),"中学生","")</f>
        <v/>
      </c>
      <c r="AY307" s="1983" t="str">
        <f t="shared" ref="AY307" si="2895">IF(OR(AND(15&lt;=E307,E307&lt;=18),COUNTIF(E307, "高*")),"高校生(～18歳)","")</f>
        <v/>
      </c>
      <c r="AZ307" s="1983" t="str">
        <f t="shared" ref="AZ307" si="2896">IF(OR(19&lt;=E307,COUNTIF(E307, "大*"),COUNTIF(E307, "*院*"),COUNTIF(E307, "*専*")),"一般(19歳～)","")</f>
        <v/>
      </c>
      <c r="BA307" s="1983" t="s">
        <v>475</v>
      </c>
      <c r="BB307" s="652" t="str">
        <f t="shared" ref="BB307" si="2897">IF(OR(AND(D307="",I307="",M307="",R307="",W307="",AB307="",AG307=""),AND(D307&lt;&gt;"",OR(I307&lt;&gt;"",M307&lt;&gt;"",R307&lt;&gt;"",W307&lt;&gt;"",AB307&lt;&gt;"",AG307&lt;&gt;""))),"○","×")</f>
        <v>○</v>
      </c>
      <c r="BC307" s="652" t="str">
        <f t="shared" ref="BC307" si="2898">IF(AND(BD307="○",BE307="○",BF307="○",BG307="○",BH307="○",BI307="○"),"○","×")</f>
        <v>○</v>
      </c>
      <c r="BD307" s="653" t="str">
        <f t="shared" ref="BD307" si="2899">IF(AND($I$7=" ",OR(I307&lt;&gt;"",K307&lt;&gt;"",L307&lt;&gt;"")),"×","○")</f>
        <v>○</v>
      </c>
      <c r="BE307" s="653" t="str">
        <f t="shared" ref="BE307" si="2900">IF(AND($M$7=" ",OR(M307&lt;&gt;"",O307&lt;&gt;"",P307&lt;&gt;"",Q307&lt;&gt;"")),"×","○")</f>
        <v>○</v>
      </c>
      <c r="BF307" s="653" t="str">
        <f t="shared" ref="BF307" si="2901">IF(AND($R$7=" ",OR(R307&lt;&gt;"",T307&lt;&gt;"",U307&lt;&gt;"",V307&lt;&gt;"")),"×","○")</f>
        <v>○</v>
      </c>
      <c r="BG307" s="653" t="str">
        <f t="shared" ref="BG307" si="2902">IF(AND($W$7=" ",OR(W307&lt;&gt;"",Y307&lt;&gt;"",Z307&lt;&gt;"",AA307&lt;&gt;"")),"×","○")</f>
        <v>○</v>
      </c>
      <c r="BH307" s="653" t="str">
        <f t="shared" ref="BH307" si="2903">IF(AND($AB$7=" ",OR(AB307&lt;&gt;"",AD307&lt;&gt;"",AE307&lt;&gt;"",AF307&lt;&gt;"")),"×","○")</f>
        <v>○</v>
      </c>
      <c r="BI307" s="653" t="str">
        <f t="shared" ref="BI307" si="2904">IF(AND($AG$7=" ",OR(AG307&lt;&gt;"",AI307&lt;&gt;"",AJ307&lt;&gt;"")),"×","○")</f>
        <v>○</v>
      </c>
      <c r="BJ307" s="2225" t="e">
        <f t="shared" ref="BJ307" si="2905">SUMPRODUCT(1/COUNTIF(I307:AH307,"宿泊"))</f>
        <v>#DIV/0!</v>
      </c>
      <c r="BK307" s="2226" t="e">
        <f t="shared" ref="BK307" si="2906">SUMPRODUCT(1/COUNTIF(I307:AH307,"日帰り"))</f>
        <v>#DIV/0!</v>
      </c>
      <c r="BL307" s="1381">
        <f t="shared" ref="BL307" si="2907">COUNT(BJ307)-COUNT(BK307)</f>
        <v>0</v>
      </c>
      <c r="BM307" s="684"/>
    </row>
    <row r="308" spans="1:65" ht="14.1" customHeight="1" x14ac:dyDescent="0.15">
      <c r="A308" s="652"/>
      <c r="B308" s="2174"/>
      <c r="C308" s="2144"/>
      <c r="D308" s="2007"/>
      <c r="E308" s="2005"/>
      <c r="F308" s="2042"/>
      <c r="G308" s="2119"/>
      <c r="H308" s="2107"/>
      <c r="I308" s="2112"/>
      <c r="J308" s="2113"/>
      <c r="K308" s="2105"/>
      <c r="L308" s="2127"/>
      <c r="M308" s="2112"/>
      <c r="N308" s="2113"/>
      <c r="O308" s="2105"/>
      <c r="P308" s="2105"/>
      <c r="Q308" s="2107"/>
      <c r="R308" s="2112"/>
      <c r="S308" s="2113"/>
      <c r="T308" s="2105"/>
      <c r="U308" s="2105"/>
      <c r="V308" s="2107"/>
      <c r="W308" s="2112"/>
      <c r="X308" s="2113"/>
      <c r="Y308" s="2105"/>
      <c r="Z308" s="2105"/>
      <c r="AA308" s="2107"/>
      <c r="AB308" s="2112"/>
      <c r="AC308" s="2113"/>
      <c r="AD308" s="2105"/>
      <c r="AE308" s="2105"/>
      <c r="AF308" s="2107"/>
      <c r="AG308" s="2112"/>
      <c r="AH308" s="2113"/>
      <c r="AI308" s="2105"/>
      <c r="AJ308" s="2105"/>
      <c r="AK308" s="2011"/>
      <c r="AL308" s="2012"/>
      <c r="AM308" s="2012"/>
      <c r="AN308" s="2013"/>
      <c r="AO308" s="2011"/>
      <c r="AP308" s="2012"/>
      <c r="AQ308" s="2012"/>
      <c r="AR308" s="2013"/>
      <c r="AS308" s="651"/>
      <c r="AT308" s="652"/>
      <c r="AU308" s="1983"/>
      <c r="AV308" s="1983"/>
      <c r="AW308" s="1983"/>
      <c r="AX308" s="1983"/>
      <c r="AY308" s="1983"/>
      <c r="AZ308" s="1983"/>
      <c r="BA308" s="1983"/>
      <c r="BB308" s="654"/>
      <c r="BC308" s="654"/>
      <c r="BD308" s="652"/>
      <c r="BE308" s="652"/>
      <c r="BF308" s="652"/>
      <c r="BG308" s="652"/>
      <c r="BH308" s="652"/>
      <c r="BI308" s="652"/>
      <c r="BJ308" s="2225"/>
      <c r="BK308" s="2226"/>
      <c r="BL308" s="1381"/>
      <c r="BM308" s="684"/>
    </row>
    <row r="309" spans="1:65" ht="14.1" customHeight="1" x14ac:dyDescent="0.15">
      <c r="A309" s="652" t="str">
        <f t="shared" ref="A309" si="2908">IF(AND(D309="",D311&lt;&gt;""),"×","○")</f>
        <v>○</v>
      </c>
      <c r="B309" s="2174" t="str">
        <f t="shared" ref="B309" si="2909">IF(AND(AT309="○",BB309="○",BC309="○",A309="○"),"○","×")</f>
        <v>○</v>
      </c>
      <c r="C309" s="2143">
        <v>148</v>
      </c>
      <c r="D309" s="2006"/>
      <c r="E309" s="2004"/>
      <c r="F309" s="2041"/>
      <c r="G309" s="2118"/>
      <c r="H309" s="2106"/>
      <c r="I309" s="2141"/>
      <c r="J309" s="2142"/>
      <c r="K309" s="2104"/>
      <c r="L309" s="2140"/>
      <c r="M309" s="2110"/>
      <c r="N309" s="2111"/>
      <c r="O309" s="2104"/>
      <c r="P309" s="2104"/>
      <c r="Q309" s="2106"/>
      <c r="R309" s="2110"/>
      <c r="S309" s="2111"/>
      <c r="T309" s="2104"/>
      <c r="U309" s="2104"/>
      <c r="V309" s="2106"/>
      <c r="W309" s="2110"/>
      <c r="X309" s="2111"/>
      <c r="Y309" s="2104"/>
      <c r="Z309" s="2104"/>
      <c r="AA309" s="2106"/>
      <c r="AB309" s="2110"/>
      <c r="AC309" s="2111"/>
      <c r="AD309" s="2104"/>
      <c r="AE309" s="2104"/>
      <c r="AF309" s="2106"/>
      <c r="AG309" s="2110"/>
      <c r="AH309" s="2111"/>
      <c r="AI309" s="2104"/>
      <c r="AJ309" s="2104"/>
      <c r="AK309" s="2038"/>
      <c r="AL309" s="2039"/>
      <c r="AM309" s="2039"/>
      <c r="AN309" s="2040"/>
      <c r="AO309" s="2008"/>
      <c r="AP309" s="2009"/>
      <c r="AQ309" s="2009"/>
      <c r="AR309" s="2010"/>
      <c r="AS309" s="651"/>
      <c r="AT309" s="652" t="str">
        <f t="shared" ref="AT309" si="2910">IF(OR(AND(D309&lt;&gt;"",OR(AND(E309&lt;&gt;"",F309&lt;&gt;"",OR(G309&lt;&gt;"",H309&lt;&gt;"")),AND(E309="",F309="バス・カメラマン等"))),AND(D309="",E309="",F309="",OR(G309="",H309=""))),"○","×")</f>
        <v>○</v>
      </c>
      <c r="AU309" s="1983" t="str">
        <f t="shared" ref="AU309" si="2911">IF(AND(E309&lt;&gt;"",E309&lt;=2),"2歳児以下","")</f>
        <v/>
      </c>
      <c r="AV309" s="1983" t="str">
        <f t="shared" ref="AV309" si="2912">IF(OR(AND(3&lt;=E309,E309&lt;=6),COUNTIF(E309, "幼*"),COUNTIF(E309, "年少"),COUNTIF(E309, "年中"),COUNTIF(E309, "年長")),"3歳-学齢前","")</f>
        <v/>
      </c>
      <c r="AW309" s="1983" t="str">
        <f t="shared" ref="AW309" si="2913">IF(OR(AND(6&lt;=E309,E309&lt;=12),COUNTIF(E309, "小*")),"小学生","")</f>
        <v/>
      </c>
      <c r="AX309" s="1983" t="str">
        <f t="shared" ref="AX309" si="2914">IF(OR(AND(12&lt;=E309,E309&lt;=15),COUNTIF(E309, "中*")),"中学生","")</f>
        <v/>
      </c>
      <c r="AY309" s="1983" t="str">
        <f t="shared" ref="AY309" si="2915">IF(OR(AND(15&lt;=E309,E309&lt;=18),COUNTIF(E309, "高*")),"高校生(～18歳)","")</f>
        <v/>
      </c>
      <c r="AZ309" s="1983" t="str">
        <f t="shared" ref="AZ309" si="2916">IF(OR(19&lt;=E309,COUNTIF(E309, "大*"),COUNTIF(E309, "*院*"),COUNTIF(E309, "*専*")),"一般(19歳～)","")</f>
        <v/>
      </c>
      <c r="BA309" s="1983" t="s">
        <v>475</v>
      </c>
      <c r="BB309" s="652" t="str">
        <f t="shared" ref="BB309" si="2917">IF(OR(AND(D309="",I309="",M309="",R309="",W309="",AB309="",AG309=""),AND(D309&lt;&gt;"",OR(I309&lt;&gt;"",M309&lt;&gt;"",R309&lt;&gt;"",W309&lt;&gt;"",AB309&lt;&gt;"",AG309&lt;&gt;""))),"○","×")</f>
        <v>○</v>
      </c>
      <c r="BC309" s="652" t="str">
        <f t="shared" ref="BC309" si="2918">IF(AND(BD309="○",BE309="○",BF309="○",BG309="○",BH309="○",BI309="○"),"○","×")</f>
        <v>○</v>
      </c>
      <c r="BD309" s="653" t="str">
        <f t="shared" ref="BD309" si="2919">IF(AND($I$7=" ",OR(I309&lt;&gt;"",K309&lt;&gt;"",L309&lt;&gt;"")),"×","○")</f>
        <v>○</v>
      </c>
      <c r="BE309" s="653" t="str">
        <f t="shared" ref="BE309" si="2920">IF(AND($M$7=" ",OR(M309&lt;&gt;"",O309&lt;&gt;"",P309&lt;&gt;"",Q309&lt;&gt;"")),"×","○")</f>
        <v>○</v>
      </c>
      <c r="BF309" s="653" t="str">
        <f t="shared" ref="BF309" si="2921">IF(AND($R$7=" ",OR(R309&lt;&gt;"",T309&lt;&gt;"",U309&lt;&gt;"",V309&lt;&gt;"")),"×","○")</f>
        <v>○</v>
      </c>
      <c r="BG309" s="653" t="str">
        <f t="shared" ref="BG309" si="2922">IF(AND($W$7=" ",OR(W309&lt;&gt;"",Y309&lt;&gt;"",Z309&lt;&gt;"",AA309&lt;&gt;"")),"×","○")</f>
        <v>○</v>
      </c>
      <c r="BH309" s="653" t="str">
        <f t="shared" ref="BH309" si="2923">IF(AND($AB$7=" ",OR(AB309&lt;&gt;"",AD309&lt;&gt;"",AE309&lt;&gt;"",AF309&lt;&gt;"")),"×","○")</f>
        <v>○</v>
      </c>
      <c r="BI309" s="653" t="str">
        <f t="shared" ref="BI309" si="2924">IF(AND($AG$7=" ",OR(AG309&lt;&gt;"",AI309&lt;&gt;"",AJ309&lt;&gt;"")),"×","○")</f>
        <v>○</v>
      </c>
      <c r="BJ309" s="2225" t="e">
        <f t="shared" ref="BJ309" si="2925">SUMPRODUCT(1/COUNTIF(I309:AH309,"宿泊"))</f>
        <v>#DIV/0!</v>
      </c>
      <c r="BK309" s="2226" t="e">
        <f t="shared" ref="BK309" si="2926">SUMPRODUCT(1/COUNTIF(I309:AH309,"日帰り"))</f>
        <v>#DIV/0!</v>
      </c>
      <c r="BL309" s="1381">
        <f t="shared" ref="BL309" si="2927">COUNT(BJ309)-COUNT(BK309)</f>
        <v>0</v>
      </c>
      <c r="BM309" s="684"/>
    </row>
    <row r="310" spans="1:65" ht="14.1" customHeight="1" x14ac:dyDescent="0.15">
      <c r="A310" s="652"/>
      <c r="B310" s="2174"/>
      <c r="C310" s="2144"/>
      <c r="D310" s="2007"/>
      <c r="E310" s="2005"/>
      <c r="F310" s="2042"/>
      <c r="G310" s="2119"/>
      <c r="H310" s="2107"/>
      <c r="I310" s="2112"/>
      <c r="J310" s="2113"/>
      <c r="K310" s="2105"/>
      <c r="L310" s="2127"/>
      <c r="M310" s="2112"/>
      <c r="N310" s="2113"/>
      <c r="O310" s="2105"/>
      <c r="P310" s="2105"/>
      <c r="Q310" s="2107"/>
      <c r="R310" s="2112"/>
      <c r="S310" s="2113"/>
      <c r="T310" s="2105"/>
      <c r="U310" s="2105"/>
      <c r="V310" s="2107"/>
      <c r="W310" s="2112"/>
      <c r="X310" s="2113"/>
      <c r="Y310" s="2105"/>
      <c r="Z310" s="2105"/>
      <c r="AA310" s="2107"/>
      <c r="AB310" s="2112"/>
      <c r="AC310" s="2113"/>
      <c r="AD310" s="2105"/>
      <c r="AE310" s="2105"/>
      <c r="AF310" s="2107"/>
      <c r="AG310" s="2112"/>
      <c r="AH310" s="2113"/>
      <c r="AI310" s="2105"/>
      <c r="AJ310" s="2105"/>
      <c r="AK310" s="2011"/>
      <c r="AL310" s="2012"/>
      <c r="AM310" s="2012"/>
      <c r="AN310" s="2013"/>
      <c r="AO310" s="2011"/>
      <c r="AP310" s="2012"/>
      <c r="AQ310" s="2012"/>
      <c r="AR310" s="2013"/>
      <c r="AS310" s="651"/>
      <c r="AT310" s="652"/>
      <c r="AU310" s="1983"/>
      <c r="AV310" s="1983"/>
      <c r="AW310" s="1983"/>
      <c r="AX310" s="1983"/>
      <c r="AY310" s="1983"/>
      <c r="AZ310" s="1983"/>
      <c r="BA310" s="1983"/>
      <c r="BB310" s="654"/>
      <c r="BC310" s="654"/>
      <c r="BD310" s="652"/>
      <c r="BE310" s="652"/>
      <c r="BF310" s="652"/>
      <c r="BG310" s="652"/>
      <c r="BH310" s="652"/>
      <c r="BI310" s="652"/>
      <c r="BJ310" s="2225"/>
      <c r="BK310" s="2226"/>
      <c r="BL310" s="1381"/>
      <c r="BM310" s="684"/>
    </row>
    <row r="311" spans="1:65" ht="14.1" customHeight="1" x14ac:dyDescent="0.15">
      <c r="A311" s="652" t="str">
        <f t="shared" ref="A311" si="2928">IF(AND(D311="",D313&lt;&gt;""),"×","○")</f>
        <v>○</v>
      </c>
      <c r="B311" s="2174" t="str">
        <f t="shared" ref="B311" si="2929">IF(AND(AT311="○",BB311="○",BC311="○",A311="○"),"○","×")</f>
        <v>○</v>
      </c>
      <c r="C311" s="2143">
        <v>149</v>
      </c>
      <c r="D311" s="2006"/>
      <c r="E311" s="2004"/>
      <c r="F311" s="2041"/>
      <c r="G311" s="2118"/>
      <c r="H311" s="2106"/>
      <c r="I311" s="2141"/>
      <c r="J311" s="2142"/>
      <c r="K311" s="2104"/>
      <c r="L311" s="2140"/>
      <c r="M311" s="2110"/>
      <c r="N311" s="2111"/>
      <c r="O311" s="2104"/>
      <c r="P311" s="2104"/>
      <c r="Q311" s="2106"/>
      <c r="R311" s="2110"/>
      <c r="S311" s="2111"/>
      <c r="T311" s="2104"/>
      <c r="U311" s="2104"/>
      <c r="V311" s="2106"/>
      <c r="W311" s="2110"/>
      <c r="X311" s="2111"/>
      <c r="Y311" s="2104"/>
      <c r="Z311" s="2104"/>
      <c r="AA311" s="2106"/>
      <c r="AB311" s="2110"/>
      <c r="AC311" s="2111"/>
      <c r="AD311" s="2104"/>
      <c r="AE311" s="2104"/>
      <c r="AF311" s="2106"/>
      <c r="AG311" s="2110"/>
      <c r="AH311" s="2111"/>
      <c r="AI311" s="2104"/>
      <c r="AJ311" s="2104"/>
      <c r="AK311" s="2038"/>
      <c r="AL311" s="2039"/>
      <c r="AM311" s="2039"/>
      <c r="AN311" s="2040"/>
      <c r="AO311" s="2008"/>
      <c r="AP311" s="2009"/>
      <c r="AQ311" s="2009"/>
      <c r="AR311" s="2010"/>
      <c r="AS311" s="651"/>
      <c r="AT311" s="652" t="str">
        <f t="shared" ref="AT311" si="2930">IF(OR(AND(D311&lt;&gt;"",OR(AND(E311&lt;&gt;"",F311&lt;&gt;"",OR(G311&lt;&gt;"",H311&lt;&gt;"")),AND(E311="",F311="バス・カメラマン等"))),AND(D311="",E311="",F311="",OR(G311="",H311=""))),"○","×")</f>
        <v>○</v>
      </c>
      <c r="AU311" s="1983" t="str">
        <f t="shared" ref="AU311" si="2931">IF(AND(E311&lt;&gt;"",E311&lt;=2),"2歳児以下","")</f>
        <v/>
      </c>
      <c r="AV311" s="1983" t="str">
        <f t="shared" ref="AV311" si="2932">IF(OR(AND(3&lt;=E311,E311&lt;=6),COUNTIF(E311, "幼*"),COUNTIF(E311, "年少"),COUNTIF(E311, "年中"),COUNTIF(E311, "年長")),"3歳-学齢前","")</f>
        <v/>
      </c>
      <c r="AW311" s="1983" t="str">
        <f t="shared" ref="AW311" si="2933">IF(OR(AND(6&lt;=E311,E311&lt;=12),COUNTIF(E311, "小*")),"小学生","")</f>
        <v/>
      </c>
      <c r="AX311" s="1983" t="str">
        <f t="shared" ref="AX311" si="2934">IF(OR(AND(12&lt;=E311,E311&lt;=15),COUNTIF(E311, "中*")),"中学生","")</f>
        <v/>
      </c>
      <c r="AY311" s="1983" t="str">
        <f t="shared" ref="AY311" si="2935">IF(OR(AND(15&lt;=E311,E311&lt;=18),COUNTIF(E311, "高*")),"高校生(～18歳)","")</f>
        <v/>
      </c>
      <c r="AZ311" s="1983" t="str">
        <f t="shared" ref="AZ311" si="2936">IF(OR(19&lt;=E311,COUNTIF(E311, "大*"),COUNTIF(E311, "*院*"),COUNTIF(E311, "*専*")),"一般(19歳～)","")</f>
        <v/>
      </c>
      <c r="BA311" s="1983" t="s">
        <v>475</v>
      </c>
      <c r="BB311" s="652" t="str">
        <f t="shared" ref="BB311" si="2937">IF(OR(AND(D311="",I311="",M311="",R311="",W311="",AB311="",AG311=""),AND(D311&lt;&gt;"",OR(I311&lt;&gt;"",M311&lt;&gt;"",R311&lt;&gt;"",W311&lt;&gt;"",AB311&lt;&gt;"",AG311&lt;&gt;""))),"○","×")</f>
        <v>○</v>
      </c>
      <c r="BC311" s="652" t="str">
        <f t="shared" ref="BC311" si="2938">IF(AND(BD311="○",BE311="○",BF311="○",BG311="○",BH311="○",BI311="○"),"○","×")</f>
        <v>○</v>
      </c>
      <c r="BD311" s="653" t="str">
        <f t="shared" ref="BD311" si="2939">IF(AND($I$7=" ",OR(I311&lt;&gt;"",K311&lt;&gt;"",L311&lt;&gt;"")),"×","○")</f>
        <v>○</v>
      </c>
      <c r="BE311" s="653" t="str">
        <f t="shared" ref="BE311" si="2940">IF(AND($M$7=" ",OR(M311&lt;&gt;"",O311&lt;&gt;"",P311&lt;&gt;"",Q311&lt;&gt;"")),"×","○")</f>
        <v>○</v>
      </c>
      <c r="BF311" s="653" t="str">
        <f t="shared" ref="BF311" si="2941">IF(AND($R$7=" ",OR(R311&lt;&gt;"",T311&lt;&gt;"",U311&lt;&gt;"",V311&lt;&gt;"")),"×","○")</f>
        <v>○</v>
      </c>
      <c r="BG311" s="653" t="str">
        <f t="shared" ref="BG311" si="2942">IF(AND($W$7=" ",OR(W311&lt;&gt;"",Y311&lt;&gt;"",Z311&lt;&gt;"",AA311&lt;&gt;"")),"×","○")</f>
        <v>○</v>
      </c>
      <c r="BH311" s="653" t="str">
        <f t="shared" ref="BH311" si="2943">IF(AND($AB$7=" ",OR(AB311&lt;&gt;"",AD311&lt;&gt;"",AE311&lt;&gt;"",AF311&lt;&gt;"")),"×","○")</f>
        <v>○</v>
      </c>
      <c r="BI311" s="653" t="str">
        <f t="shared" ref="BI311" si="2944">IF(AND($AG$7=" ",OR(AG311&lt;&gt;"",AI311&lt;&gt;"",AJ311&lt;&gt;"")),"×","○")</f>
        <v>○</v>
      </c>
      <c r="BJ311" s="2225" t="e">
        <f t="shared" ref="BJ311" si="2945">SUMPRODUCT(1/COUNTIF(I311:AH311,"宿泊"))</f>
        <v>#DIV/0!</v>
      </c>
      <c r="BK311" s="2226" t="e">
        <f t="shared" ref="BK311" si="2946">SUMPRODUCT(1/COUNTIF(I311:AH311,"日帰り"))</f>
        <v>#DIV/0!</v>
      </c>
      <c r="BL311" s="1381">
        <f t="shared" ref="BL311" si="2947">COUNT(BJ311)-COUNT(BK311)</f>
        <v>0</v>
      </c>
      <c r="BM311" s="684"/>
    </row>
    <row r="312" spans="1:65" ht="14.1" customHeight="1" x14ac:dyDescent="0.15">
      <c r="A312" s="652"/>
      <c r="B312" s="2174"/>
      <c r="C312" s="2144"/>
      <c r="D312" s="2007"/>
      <c r="E312" s="2005"/>
      <c r="F312" s="2042"/>
      <c r="G312" s="2119"/>
      <c r="H312" s="2107"/>
      <c r="I312" s="2112"/>
      <c r="J312" s="2113"/>
      <c r="K312" s="2105"/>
      <c r="L312" s="2127"/>
      <c r="M312" s="2112"/>
      <c r="N312" s="2113"/>
      <c r="O312" s="2105"/>
      <c r="P312" s="2105"/>
      <c r="Q312" s="2107"/>
      <c r="R312" s="2112"/>
      <c r="S312" s="2113"/>
      <c r="T312" s="2105"/>
      <c r="U312" s="2105"/>
      <c r="V312" s="2107"/>
      <c r="W312" s="2112"/>
      <c r="X312" s="2113"/>
      <c r="Y312" s="2105"/>
      <c r="Z312" s="2105"/>
      <c r="AA312" s="2107"/>
      <c r="AB312" s="2112"/>
      <c r="AC312" s="2113"/>
      <c r="AD312" s="2105"/>
      <c r="AE312" s="2105"/>
      <c r="AF312" s="2107"/>
      <c r="AG312" s="2112"/>
      <c r="AH312" s="2113"/>
      <c r="AI312" s="2105"/>
      <c r="AJ312" s="2105"/>
      <c r="AK312" s="2011"/>
      <c r="AL312" s="2012"/>
      <c r="AM312" s="2012"/>
      <c r="AN312" s="2013"/>
      <c r="AO312" s="2011"/>
      <c r="AP312" s="2012"/>
      <c r="AQ312" s="2012"/>
      <c r="AR312" s="2013"/>
      <c r="AS312" s="651"/>
      <c r="AT312" s="652"/>
      <c r="AU312" s="1983"/>
      <c r="AV312" s="1983"/>
      <c r="AW312" s="1983"/>
      <c r="AX312" s="1983"/>
      <c r="AY312" s="1983"/>
      <c r="AZ312" s="1983"/>
      <c r="BA312" s="1983"/>
      <c r="BB312" s="654"/>
      <c r="BC312" s="654"/>
      <c r="BD312" s="652"/>
      <c r="BE312" s="652"/>
      <c r="BF312" s="652"/>
      <c r="BG312" s="652"/>
      <c r="BH312" s="652"/>
      <c r="BI312" s="652"/>
      <c r="BJ312" s="2225"/>
      <c r="BK312" s="2226"/>
      <c r="BL312" s="1381"/>
      <c r="BM312" s="684"/>
    </row>
    <row r="313" spans="1:65" ht="14.1" customHeight="1" x14ac:dyDescent="0.15">
      <c r="A313" s="652" t="str">
        <f t="shared" ref="A313" si="2948">IF(AND(D313="",D315&lt;&gt;""),"×","○")</f>
        <v>○</v>
      </c>
      <c r="B313" s="2174" t="str">
        <f t="shared" ref="B313" si="2949">IF(AND(AT313="○",BB313="○",BC313="○",A313="○"),"○","×")</f>
        <v>○</v>
      </c>
      <c r="C313" s="2143">
        <v>150</v>
      </c>
      <c r="D313" s="2006"/>
      <c r="E313" s="2004"/>
      <c r="F313" s="2041"/>
      <c r="G313" s="2118"/>
      <c r="H313" s="2106"/>
      <c r="I313" s="2141"/>
      <c r="J313" s="2142"/>
      <c r="K313" s="2104"/>
      <c r="L313" s="2140"/>
      <c r="M313" s="2110"/>
      <c r="N313" s="2111"/>
      <c r="O313" s="2104"/>
      <c r="P313" s="2104"/>
      <c r="Q313" s="2106"/>
      <c r="R313" s="2110"/>
      <c r="S313" s="2111"/>
      <c r="T313" s="2104"/>
      <c r="U313" s="2104"/>
      <c r="V313" s="2106"/>
      <c r="W313" s="2110"/>
      <c r="X313" s="2111"/>
      <c r="Y313" s="2104"/>
      <c r="Z313" s="2104"/>
      <c r="AA313" s="2106"/>
      <c r="AB313" s="2110"/>
      <c r="AC313" s="2111"/>
      <c r="AD313" s="2104"/>
      <c r="AE313" s="2104"/>
      <c r="AF313" s="2106"/>
      <c r="AG313" s="2110"/>
      <c r="AH313" s="2111"/>
      <c r="AI313" s="2104"/>
      <c r="AJ313" s="2104"/>
      <c r="AK313" s="2038"/>
      <c r="AL313" s="2039"/>
      <c r="AM313" s="2039"/>
      <c r="AN313" s="2040"/>
      <c r="AO313" s="2008"/>
      <c r="AP313" s="2009"/>
      <c r="AQ313" s="2009"/>
      <c r="AR313" s="2010"/>
      <c r="AS313" s="651"/>
      <c r="AT313" s="652" t="str">
        <f t="shared" ref="AT313" si="2950">IF(OR(AND(D313&lt;&gt;"",OR(AND(E313&lt;&gt;"",F313&lt;&gt;"",OR(G313&lt;&gt;"",H313&lt;&gt;"")),AND(E313="",F313="バス・カメラマン等"))),AND(D313="",E313="",F313="",OR(G313="",H313=""))),"○","×")</f>
        <v>○</v>
      </c>
      <c r="AU313" s="1983" t="str">
        <f t="shared" ref="AU313" si="2951">IF(AND(E313&lt;&gt;"",E313&lt;=2),"2歳児以下","")</f>
        <v/>
      </c>
      <c r="AV313" s="1983" t="str">
        <f t="shared" ref="AV313" si="2952">IF(OR(AND(3&lt;=E313,E313&lt;=6),COUNTIF(E313, "幼*"),COUNTIF(E313, "年少"),COUNTIF(E313, "年中"),COUNTIF(E313, "年長")),"3歳-学齢前","")</f>
        <v/>
      </c>
      <c r="AW313" s="1983" t="str">
        <f t="shared" ref="AW313" si="2953">IF(OR(AND(6&lt;=E313,E313&lt;=12),COUNTIF(E313, "小*")),"小学生","")</f>
        <v/>
      </c>
      <c r="AX313" s="1983" t="str">
        <f t="shared" ref="AX313" si="2954">IF(OR(AND(12&lt;=E313,E313&lt;=15),COUNTIF(E313, "中*")),"中学生","")</f>
        <v/>
      </c>
      <c r="AY313" s="1983" t="str">
        <f t="shared" ref="AY313" si="2955">IF(OR(AND(15&lt;=E313,E313&lt;=18),COUNTIF(E313, "高*")),"高校生(～18歳)","")</f>
        <v/>
      </c>
      <c r="AZ313" s="1983" t="str">
        <f t="shared" ref="AZ313" si="2956">IF(OR(19&lt;=E313,COUNTIF(E313, "大*"),COUNTIF(E313, "*院*"),COUNTIF(E313, "*専*")),"一般(19歳～)","")</f>
        <v/>
      </c>
      <c r="BA313" s="1983" t="s">
        <v>475</v>
      </c>
      <c r="BB313" s="652" t="str">
        <f t="shared" ref="BB313" si="2957">IF(OR(AND(D313="",I313="",M313="",R313="",W313="",AB313="",AG313=""),AND(D313&lt;&gt;"",OR(I313&lt;&gt;"",M313&lt;&gt;"",R313&lt;&gt;"",W313&lt;&gt;"",AB313&lt;&gt;"",AG313&lt;&gt;""))),"○","×")</f>
        <v>○</v>
      </c>
      <c r="BC313" s="652" t="str">
        <f t="shared" ref="BC313" si="2958">IF(AND(BD313="○",BE313="○",BF313="○",BG313="○",BH313="○",BI313="○"),"○","×")</f>
        <v>○</v>
      </c>
      <c r="BD313" s="653" t="str">
        <f t="shared" ref="BD313" si="2959">IF(AND($I$7=" ",OR(I313&lt;&gt;"",K313&lt;&gt;"",L313&lt;&gt;"")),"×","○")</f>
        <v>○</v>
      </c>
      <c r="BE313" s="653" t="str">
        <f t="shared" ref="BE313" si="2960">IF(AND($M$7=" ",OR(M313&lt;&gt;"",O313&lt;&gt;"",P313&lt;&gt;"",Q313&lt;&gt;"")),"×","○")</f>
        <v>○</v>
      </c>
      <c r="BF313" s="653" t="str">
        <f t="shared" ref="BF313" si="2961">IF(AND($R$7=" ",OR(R313&lt;&gt;"",T313&lt;&gt;"",U313&lt;&gt;"",V313&lt;&gt;"")),"×","○")</f>
        <v>○</v>
      </c>
      <c r="BG313" s="653" t="str">
        <f t="shared" ref="BG313" si="2962">IF(AND($W$7=" ",OR(W313&lt;&gt;"",Y313&lt;&gt;"",Z313&lt;&gt;"",AA313&lt;&gt;"")),"×","○")</f>
        <v>○</v>
      </c>
      <c r="BH313" s="653" t="str">
        <f t="shared" ref="BH313" si="2963">IF(AND($AB$7=" ",OR(AB313&lt;&gt;"",AD313&lt;&gt;"",AE313&lt;&gt;"",AF313&lt;&gt;"")),"×","○")</f>
        <v>○</v>
      </c>
      <c r="BI313" s="653" t="str">
        <f t="shared" ref="BI313" si="2964">IF(AND($AG$7=" ",OR(AG313&lt;&gt;"",AI313&lt;&gt;"",AJ313&lt;&gt;"")),"×","○")</f>
        <v>○</v>
      </c>
      <c r="BJ313" s="2225" t="e">
        <f t="shared" ref="BJ313" si="2965">SUMPRODUCT(1/COUNTIF(I313:AH313,"宿泊"))</f>
        <v>#DIV/0!</v>
      </c>
      <c r="BK313" s="2226" t="e">
        <f t="shared" ref="BK313" si="2966">SUMPRODUCT(1/COUNTIF(I313:AH313,"日帰り"))</f>
        <v>#DIV/0!</v>
      </c>
      <c r="BL313" s="1381">
        <f t="shared" ref="BL313" si="2967">COUNT(BJ313)-COUNT(BK313)</f>
        <v>0</v>
      </c>
      <c r="BM313" s="684"/>
    </row>
    <row r="314" spans="1:65" ht="14.1" customHeight="1" x14ac:dyDescent="0.15">
      <c r="A314" s="652"/>
      <c r="B314" s="2174"/>
      <c r="C314" s="2144"/>
      <c r="D314" s="2007"/>
      <c r="E314" s="2005"/>
      <c r="F314" s="2042"/>
      <c r="G314" s="2119"/>
      <c r="H314" s="2107"/>
      <c r="I314" s="2112"/>
      <c r="J314" s="2113"/>
      <c r="K314" s="2105"/>
      <c r="L314" s="2127"/>
      <c r="M314" s="2112"/>
      <c r="N314" s="2113"/>
      <c r="O314" s="2105"/>
      <c r="P314" s="2105"/>
      <c r="Q314" s="2107"/>
      <c r="R314" s="2112"/>
      <c r="S314" s="2113"/>
      <c r="T314" s="2105"/>
      <c r="U314" s="2105"/>
      <c r="V314" s="2107"/>
      <c r="W314" s="2112"/>
      <c r="X314" s="2113"/>
      <c r="Y314" s="2105"/>
      <c r="Z314" s="2105"/>
      <c r="AA314" s="2107"/>
      <c r="AB314" s="2112"/>
      <c r="AC314" s="2113"/>
      <c r="AD314" s="2105"/>
      <c r="AE314" s="2105"/>
      <c r="AF314" s="2107"/>
      <c r="AG314" s="2112"/>
      <c r="AH314" s="2113"/>
      <c r="AI314" s="2105"/>
      <c r="AJ314" s="2105"/>
      <c r="AK314" s="2011"/>
      <c r="AL314" s="2012"/>
      <c r="AM314" s="2012"/>
      <c r="AN314" s="2013"/>
      <c r="AO314" s="2011"/>
      <c r="AP314" s="2012"/>
      <c r="AQ314" s="2012"/>
      <c r="AR314" s="2013"/>
      <c r="AS314" s="651"/>
      <c r="AT314" s="652"/>
      <c r="AU314" s="1983"/>
      <c r="AV314" s="1983"/>
      <c r="AW314" s="1983"/>
      <c r="AX314" s="1983"/>
      <c r="AY314" s="1983"/>
      <c r="AZ314" s="1983"/>
      <c r="BA314" s="1983"/>
      <c r="BB314" s="654"/>
      <c r="BC314" s="654"/>
      <c r="BD314" s="652"/>
      <c r="BE314" s="652"/>
      <c r="BF314" s="652"/>
      <c r="BG314" s="652"/>
      <c r="BH314" s="652"/>
      <c r="BI314" s="652"/>
      <c r="BJ314" s="2225"/>
      <c r="BK314" s="2226"/>
      <c r="BL314" s="1381"/>
      <c r="BM314" s="684"/>
    </row>
    <row r="315" spans="1:65" ht="14.1" customHeight="1" x14ac:dyDescent="0.15">
      <c r="A315" s="652" t="str">
        <f t="shared" ref="A315" si="2968">IF(AND(D315="",D317&lt;&gt;""),"×","○")</f>
        <v>○</v>
      </c>
      <c r="B315" s="2174" t="str">
        <f t="shared" ref="B315" si="2969">IF(AND(AT315="○",BB315="○",BC315="○",A315="○"),"○","×")</f>
        <v>○</v>
      </c>
      <c r="C315" s="2120">
        <v>151</v>
      </c>
      <c r="D315" s="2006"/>
      <c r="E315" s="2004"/>
      <c r="F315" s="2041"/>
      <c r="G315" s="2123"/>
      <c r="H315" s="2109"/>
      <c r="I315" s="2141"/>
      <c r="J315" s="2142"/>
      <c r="K315" s="2104"/>
      <c r="L315" s="2140"/>
      <c r="M315" s="2110"/>
      <c r="N315" s="2111"/>
      <c r="O315" s="2108"/>
      <c r="P315" s="2108"/>
      <c r="Q315" s="2109"/>
      <c r="R315" s="2110"/>
      <c r="S315" s="2111"/>
      <c r="T315" s="2108"/>
      <c r="U315" s="2108"/>
      <c r="V315" s="2109"/>
      <c r="W315" s="2110"/>
      <c r="X315" s="2111"/>
      <c r="Y315" s="2108"/>
      <c r="Z315" s="2108"/>
      <c r="AA315" s="2109"/>
      <c r="AB315" s="2110"/>
      <c r="AC315" s="2111"/>
      <c r="AD315" s="2108"/>
      <c r="AE315" s="2108"/>
      <c r="AF315" s="2109"/>
      <c r="AG315" s="2110"/>
      <c r="AH315" s="2111"/>
      <c r="AI315" s="2108"/>
      <c r="AJ315" s="2108"/>
      <c r="AK315" s="2038"/>
      <c r="AL315" s="2039"/>
      <c r="AM315" s="2039"/>
      <c r="AN315" s="2040"/>
      <c r="AO315" s="2008"/>
      <c r="AP315" s="2009"/>
      <c r="AQ315" s="2009"/>
      <c r="AR315" s="2010"/>
      <c r="AS315" s="651"/>
      <c r="AT315" s="652" t="str">
        <f t="shared" ref="AT315" si="2970">IF(OR(AND(D315&lt;&gt;"",OR(AND(E315&lt;&gt;"",F315&lt;&gt;"",OR(G315&lt;&gt;"",H315&lt;&gt;"")),AND(E315="",F315="バス・カメラマン等"))),AND(D315="",E315="",F315="",OR(G315="",H315=""))),"○","×")</f>
        <v>○</v>
      </c>
      <c r="AU315" s="1983" t="str">
        <f t="shared" ref="AU315" si="2971">IF(AND(E315&lt;&gt;"",E315&lt;=2),"2歳児以下","")</f>
        <v/>
      </c>
      <c r="AV315" s="1983" t="str">
        <f t="shared" ref="AV315" si="2972">IF(OR(AND(3&lt;=E315,E315&lt;=6),COUNTIF(E315, "幼*"),COUNTIF(E315, "年少"),COUNTIF(E315, "年中"),COUNTIF(E315, "年長")),"3歳-学齢前","")</f>
        <v/>
      </c>
      <c r="AW315" s="1983" t="str">
        <f t="shared" ref="AW315" si="2973">IF(OR(AND(6&lt;=E315,E315&lt;=12),COUNTIF(E315, "小*")),"小学生","")</f>
        <v/>
      </c>
      <c r="AX315" s="1983" t="str">
        <f t="shared" ref="AX315" si="2974">IF(OR(AND(12&lt;=E315,E315&lt;=15),COUNTIF(E315, "中*")),"中学生","")</f>
        <v/>
      </c>
      <c r="AY315" s="1983" t="str">
        <f t="shared" ref="AY315" si="2975">IF(OR(AND(15&lt;=E315,E315&lt;=18),COUNTIF(E315, "高*")),"高校生(～18歳)","")</f>
        <v/>
      </c>
      <c r="AZ315" s="1983" t="str">
        <f t="shared" ref="AZ315" si="2976">IF(OR(19&lt;=E315,COUNTIF(E315, "大*"),COUNTIF(E315, "*院*"),COUNTIF(E315, "*専*")),"一般(19歳～)","")</f>
        <v/>
      </c>
      <c r="BA315" s="1983" t="s">
        <v>475</v>
      </c>
      <c r="BB315" s="652" t="str">
        <f t="shared" ref="BB315" si="2977">IF(OR(AND(D315="",I315="",M315="",R315="",W315="",AB315="",AG315=""),AND(D315&lt;&gt;"",OR(I315&lt;&gt;"",M315&lt;&gt;"",R315&lt;&gt;"",W315&lt;&gt;"",AB315&lt;&gt;"",AG315&lt;&gt;""))),"○","×")</f>
        <v>○</v>
      </c>
      <c r="BC315" s="652" t="str">
        <f t="shared" ref="BC315" si="2978">IF(AND(BD315="○",BE315="○",BF315="○",BG315="○",BH315="○",BI315="○"),"○","×")</f>
        <v>○</v>
      </c>
      <c r="BD315" s="653" t="str">
        <f t="shared" ref="BD315" si="2979">IF(AND($I$7=" ",OR(I315&lt;&gt;"",K315&lt;&gt;"",L315&lt;&gt;"")),"×","○")</f>
        <v>○</v>
      </c>
      <c r="BE315" s="653" t="str">
        <f t="shared" ref="BE315" si="2980">IF(AND($M$7=" ",OR(M315&lt;&gt;"",O315&lt;&gt;"",P315&lt;&gt;"",Q315&lt;&gt;"")),"×","○")</f>
        <v>○</v>
      </c>
      <c r="BF315" s="653" t="str">
        <f t="shared" ref="BF315" si="2981">IF(AND($R$7=" ",OR(R315&lt;&gt;"",T315&lt;&gt;"",U315&lt;&gt;"",V315&lt;&gt;"")),"×","○")</f>
        <v>○</v>
      </c>
      <c r="BG315" s="653" t="str">
        <f t="shared" ref="BG315" si="2982">IF(AND($W$7=" ",OR(W315&lt;&gt;"",Y315&lt;&gt;"",Z315&lt;&gt;"",AA315&lt;&gt;"")),"×","○")</f>
        <v>○</v>
      </c>
      <c r="BH315" s="653" t="str">
        <f t="shared" ref="BH315" si="2983">IF(AND($AB$7=" ",OR(AB315&lt;&gt;"",AD315&lt;&gt;"",AE315&lt;&gt;"",AF315&lt;&gt;"")),"×","○")</f>
        <v>○</v>
      </c>
      <c r="BI315" s="653" t="str">
        <f t="shared" ref="BI315" si="2984">IF(AND($AG$7=" ",OR(AG315&lt;&gt;"",AI315&lt;&gt;"",AJ315&lt;&gt;"")),"×","○")</f>
        <v>○</v>
      </c>
      <c r="BJ315" s="2225" t="e">
        <f t="shared" ref="BJ315" si="2985">SUMPRODUCT(1/COUNTIF(I315:AH315,"宿泊"))</f>
        <v>#DIV/0!</v>
      </c>
      <c r="BK315" s="2226" t="e">
        <f t="shared" ref="BK315" si="2986">SUMPRODUCT(1/COUNTIF(I315:AH315,"日帰り"))</f>
        <v>#DIV/0!</v>
      </c>
      <c r="BL315" s="1381">
        <f t="shared" ref="BL315" si="2987">COUNT(BJ315)-COUNT(BK315)</f>
        <v>0</v>
      </c>
      <c r="BM315" s="684"/>
    </row>
    <row r="316" spans="1:65" ht="14.1" customHeight="1" x14ac:dyDescent="0.15">
      <c r="A316" s="652"/>
      <c r="B316" s="2174"/>
      <c r="C316" s="2117"/>
      <c r="D316" s="2007"/>
      <c r="E316" s="2005"/>
      <c r="F316" s="2042"/>
      <c r="G316" s="2119"/>
      <c r="H316" s="2107"/>
      <c r="I316" s="2112"/>
      <c r="J316" s="2113"/>
      <c r="K316" s="2105"/>
      <c r="L316" s="2127"/>
      <c r="M316" s="2112"/>
      <c r="N316" s="2113"/>
      <c r="O316" s="2105"/>
      <c r="P316" s="2105"/>
      <c r="Q316" s="2107"/>
      <c r="R316" s="2112"/>
      <c r="S316" s="2113"/>
      <c r="T316" s="2105"/>
      <c r="U316" s="2105"/>
      <c r="V316" s="2107"/>
      <c r="W316" s="2112"/>
      <c r="X316" s="2113"/>
      <c r="Y316" s="2105"/>
      <c r="Z316" s="2105"/>
      <c r="AA316" s="2107"/>
      <c r="AB316" s="2112"/>
      <c r="AC316" s="2113"/>
      <c r="AD316" s="2105"/>
      <c r="AE316" s="2105"/>
      <c r="AF316" s="2107"/>
      <c r="AG316" s="2112"/>
      <c r="AH316" s="2113"/>
      <c r="AI316" s="2105"/>
      <c r="AJ316" s="2105"/>
      <c r="AK316" s="2011"/>
      <c r="AL316" s="2012"/>
      <c r="AM316" s="2012"/>
      <c r="AN316" s="2013"/>
      <c r="AO316" s="2011"/>
      <c r="AP316" s="2012"/>
      <c r="AQ316" s="2012"/>
      <c r="AR316" s="2013"/>
      <c r="AS316" s="651"/>
      <c r="AT316" s="652"/>
      <c r="AU316" s="1983"/>
      <c r="AV316" s="1983"/>
      <c r="AW316" s="1983"/>
      <c r="AX316" s="1983"/>
      <c r="AY316" s="1983"/>
      <c r="AZ316" s="1983"/>
      <c r="BA316" s="1983"/>
      <c r="BB316" s="654"/>
      <c r="BC316" s="654"/>
      <c r="BD316" s="652"/>
      <c r="BE316" s="652"/>
      <c r="BF316" s="652"/>
      <c r="BG316" s="652"/>
      <c r="BH316" s="652"/>
      <c r="BI316" s="652"/>
      <c r="BJ316" s="2225"/>
      <c r="BK316" s="2226"/>
      <c r="BL316" s="1381"/>
      <c r="BM316" s="684"/>
    </row>
    <row r="317" spans="1:65" ht="14.1" customHeight="1" x14ac:dyDescent="0.15">
      <c r="A317" s="652" t="str">
        <f t="shared" ref="A317" si="2988">IF(AND(D317="",D319&lt;&gt;""),"×","○")</f>
        <v>○</v>
      </c>
      <c r="B317" s="2174" t="str">
        <f t="shared" ref="B317" si="2989">IF(AND(AT317="○",BB317="○",BC317="○",A317="○"),"○","×")</f>
        <v>○</v>
      </c>
      <c r="C317" s="2116">
        <v>152</v>
      </c>
      <c r="D317" s="2006"/>
      <c r="E317" s="2004"/>
      <c r="F317" s="2041"/>
      <c r="G317" s="2118"/>
      <c r="H317" s="2106"/>
      <c r="I317" s="2141"/>
      <c r="J317" s="2142"/>
      <c r="K317" s="2104"/>
      <c r="L317" s="2140"/>
      <c r="M317" s="2110"/>
      <c r="N317" s="2111"/>
      <c r="O317" s="2104"/>
      <c r="P317" s="2104"/>
      <c r="Q317" s="2106"/>
      <c r="R317" s="2110"/>
      <c r="S317" s="2111"/>
      <c r="T317" s="2104"/>
      <c r="U317" s="2104"/>
      <c r="V317" s="2106"/>
      <c r="W317" s="2110"/>
      <c r="X317" s="2111"/>
      <c r="Y317" s="2104"/>
      <c r="Z317" s="2104"/>
      <c r="AA317" s="2106"/>
      <c r="AB317" s="2110"/>
      <c r="AC317" s="2111"/>
      <c r="AD317" s="2104"/>
      <c r="AE317" s="2104"/>
      <c r="AF317" s="2106"/>
      <c r="AG317" s="2110"/>
      <c r="AH317" s="2111"/>
      <c r="AI317" s="2104"/>
      <c r="AJ317" s="2104"/>
      <c r="AK317" s="2038"/>
      <c r="AL317" s="2039"/>
      <c r="AM317" s="2039"/>
      <c r="AN317" s="2040"/>
      <c r="AO317" s="2008"/>
      <c r="AP317" s="2009"/>
      <c r="AQ317" s="2009"/>
      <c r="AR317" s="2010"/>
      <c r="AS317" s="651"/>
      <c r="AT317" s="652" t="str">
        <f t="shared" ref="AT317" si="2990">IF(OR(AND(D317&lt;&gt;"",OR(AND(E317&lt;&gt;"",F317&lt;&gt;"",OR(G317&lt;&gt;"",H317&lt;&gt;"")),AND(E317="",F317="バス・カメラマン等"))),AND(D317="",E317="",F317="",OR(G317="",H317=""))),"○","×")</f>
        <v>○</v>
      </c>
      <c r="AU317" s="1983" t="str">
        <f t="shared" ref="AU317" si="2991">IF(AND(E317&lt;&gt;"",E317&lt;=2),"2歳児以下","")</f>
        <v/>
      </c>
      <c r="AV317" s="1983" t="str">
        <f t="shared" ref="AV317" si="2992">IF(OR(AND(3&lt;=E317,E317&lt;=6),COUNTIF(E317, "幼*"),COUNTIF(E317, "年少"),COUNTIF(E317, "年中"),COUNTIF(E317, "年長")),"3歳-学齢前","")</f>
        <v/>
      </c>
      <c r="AW317" s="1983" t="str">
        <f t="shared" ref="AW317" si="2993">IF(OR(AND(6&lt;=E317,E317&lt;=12),COUNTIF(E317, "小*")),"小学生","")</f>
        <v/>
      </c>
      <c r="AX317" s="1983" t="str">
        <f t="shared" ref="AX317" si="2994">IF(OR(AND(12&lt;=E317,E317&lt;=15),COUNTIF(E317, "中*")),"中学生","")</f>
        <v/>
      </c>
      <c r="AY317" s="1983" t="str">
        <f t="shared" ref="AY317" si="2995">IF(OR(AND(15&lt;=E317,E317&lt;=18),COUNTIF(E317, "高*")),"高校生(～18歳)","")</f>
        <v/>
      </c>
      <c r="AZ317" s="1983" t="str">
        <f t="shared" ref="AZ317" si="2996">IF(OR(19&lt;=E317,COUNTIF(E317, "大*"),COUNTIF(E317, "*院*"),COUNTIF(E317, "*専*")),"一般(19歳～)","")</f>
        <v/>
      </c>
      <c r="BA317" s="1983" t="s">
        <v>475</v>
      </c>
      <c r="BB317" s="652" t="str">
        <f t="shared" ref="BB317" si="2997">IF(OR(AND(D317="",I317="",M317="",R317="",W317="",AB317="",AG317=""),AND(D317&lt;&gt;"",OR(I317&lt;&gt;"",M317&lt;&gt;"",R317&lt;&gt;"",W317&lt;&gt;"",AB317&lt;&gt;"",AG317&lt;&gt;""))),"○","×")</f>
        <v>○</v>
      </c>
      <c r="BC317" s="652" t="str">
        <f t="shared" ref="BC317" si="2998">IF(AND(BD317="○",BE317="○",BF317="○",BG317="○",BH317="○",BI317="○"),"○","×")</f>
        <v>○</v>
      </c>
      <c r="BD317" s="653" t="str">
        <f t="shared" ref="BD317" si="2999">IF(AND($I$7=" ",OR(I317&lt;&gt;"",K317&lt;&gt;"",L317&lt;&gt;"")),"×","○")</f>
        <v>○</v>
      </c>
      <c r="BE317" s="653" t="str">
        <f t="shared" ref="BE317" si="3000">IF(AND($M$7=" ",OR(M317&lt;&gt;"",O317&lt;&gt;"",P317&lt;&gt;"",Q317&lt;&gt;"")),"×","○")</f>
        <v>○</v>
      </c>
      <c r="BF317" s="653" t="str">
        <f t="shared" ref="BF317" si="3001">IF(AND($R$7=" ",OR(R317&lt;&gt;"",T317&lt;&gt;"",U317&lt;&gt;"",V317&lt;&gt;"")),"×","○")</f>
        <v>○</v>
      </c>
      <c r="BG317" s="653" t="str">
        <f t="shared" ref="BG317" si="3002">IF(AND($W$7=" ",OR(W317&lt;&gt;"",Y317&lt;&gt;"",Z317&lt;&gt;"",AA317&lt;&gt;"")),"×","○")</f>
        <v>○</v>
      </c>
      <c r="BH317" s="653" t="str">
        <f t="shared" ref="BH317" si="3003">IF(AND($AB$7=" ",OR(AB317&lt;&gt;"",AD317&lt;&gt;"",AE317&lt;&gt;"",AF317&lt;&gt;"")),"×","○")</f>
        <v>○</v>
      </c>
      <c r="BI317" s="653" t="str">
        <f t="shared" ref="BI317" si="3004">IF(AND($AG$7=" ",OR(AG317&lt;&gt;"",AI317&lt;&gt;"",AJ317&lt;&gt;"")),"×","○")</f>
        <v>○</v>
      </c>
      <c r="BJ317" s="2225" t="e">
        <f t="shared" ref="BJ317" si="3005">SUMPRODUCT(1/COUNTIF(I317:AH317,"宿泊"))</f>
        <v>#DIV/0!</v>
      </c>
      <c r="BK317" s="2226" t="e">
        <f t="shared" ref="BK317" si="3006">SUMPRODUCT(1/COUNTIF(I317:AH317,"日帰り"))</f>
        <v>#DIV/0!</v>
      </c>
      <c r="BL317" s="1381">
        <f t="shared" ref="BL317" si="3007">COUNT(BJ317)-COUNT(BK317)</f>
        <v>0</v>
      </c>
      <c r="BM317" s="684"/>
    </row>
    <row r="318" spans="1:65" ht="14.1" customHeight="1" x14ac:dyDescent="0.15">
      <c r="A318" s="652"/>
      <c r="B318" s="2174"/>
      <c r="C318" s="2117"/>
      <c r="D318" s="2007"/>
      <c r="E318" s="2005"/>
      <c r="F318" s="2042"/>
      <c r="G318" s="2119"/>
      <c r="H318" s="2107"/>
      <c r="I318" s="2112"/>
      <c r="J318" s="2113"/>
      <c r="K318" s="2105"/>
      <c r="L318" s="2127"/>
      <c r="M318" s="2112"/>
      <c r="N318" s="2113"/>
      <c r="O318" s="2105"/>
      <c r="P318" s="2105"/>
      <c r="Q318" s="2107"/>
      <c r="R318" s="2112"/>
      <c r="S318" s="2113"/>
      <c r="T318" s="2105"/>
      <c r="U318" s="2105"/>
      <c r="V318" s="2107"/>
      <c r="W318" s="2112"/>
      <c r="X318" s="2113"/>
      <c r="Y318" s="2105"/>
      <c r="Z318" s="2105"/>
      <c r="AA318" s="2107"/>
      <c r="AB318" s="2112"/>
      <c r="AC318" s="2113"/>
      <c r="AD318" s="2105"/>
      <c r="AE318" s="2105"/>
      <c r="AF318" s="2107"/>
      <c r="AG318" s="2112"/>
      <c r="AH318" s="2113"/>
      <c r="AI318" s="2105"/>
      <c r="AJ318" s="2105"/>
      <c r="AK318" s="2011"/>
      <c r="AL318" s="2012"/>
      <c r="AM318" s="2012"/>
      <c r="AN318" s="2013"/>
      <c r="AO318" s="2011"/>
      <c r="AP318" s="2012"/>
      <c r="AQ318" s="2012"/>
      <c r="AR318" s="2013"/>
      <c r="AS318" s="651"/>
      <c r="AT318" s="652"/>
      <c r="AU318" s="1983"/>
      <c r="AV318" s="1983"/>
      <c r="AW318" s="1983"/>
      <c r="AX318" s="1983"/>
      <c r="AY318" s="1983"/>
      <c r="AZ318" s="1983"/>
      <c r="BA318" s="1983"/>
      <c r="BB318" s="654"/>
      <c r="BC318" s="654"/>
      <c r="BD318" s="652"/>
      <c r="BE318" s="652"/>
      <c r="BF318" s="652"/>
      <c r="BG318" s="652"/>
      <c r="BH318" s="652"/>
      <c r="BI318" s="652"/>
      <c r="BJ318" s="2225"/>
      <c r="BK318" s="2226"/>
      <c r="BL318" s="1381"/>
      <c r="BM318" s="684"/>
    </row>
    <row r="319" spans="1:65" ht="14.1" customHeight="1" x14ac:dyDescent="0.15">
      <c r="A319" s="652" t="str">
        <f t="shared" ref="A319" si="3008">IF(AND(D319="",D321&lt;&gt;""),"×","○")</f>
        <v>○</v>
      </c>
      <c r="B319" s="2174" t="str">
        <f t="shared" ref="B319" si="3009">IF(AND(AT319="○",BB319="○",BC319="○",A319="○"),"○","×")</f>
        <v>○</v>
      </c>
      <c r="C319" s="2116">
        <v>153</v>
      </c>
      <c r="D319" s="2006"/>
      <c r="E319" s="2004"/>
      <c r="F319" s="2041"/>
      <c r="G319" s="2118"/>
      <c r="H319" s="2106"/>
      <c r="I319" s="2141"/>
      <c r="J319" s="2142"/>
      <c r="K319" s="2104"/>
      <c r="L319" s="2140"/>
      <c r="M319" s="2110"/>
      <c r="N319" s="2111"/>
      <c r="O319" s="2104"/>
      <c r="P319" s="2104"/>
      <c r="Q319" s="2106"/>
      <c r="R319" s="2110"/>
      <c r="S319" s="2111"/>
      <c r="T319" s="2104"/>
      <c r="U319" s="2104"/>
      <c r="V319" s="2106"/>
      <c r="W319" s="2110"/>
      <c r="X319" s="2111"/>
      <c r="Y319" s="2104"/>
      <c r="Z319" s="2104"/>
      <c r="AA319" s="2106"/>
      <c r="AB319" s="2110"/>
      <c r="AC319" s="2111"/>
      <c r="AD319" s="2104"/>
      <c r="AE319" s="2104"/>
      <c r="AF319" s="2106"/>
      <c r="AG319" s="2110"/>
      <c r="AH319" s="2111"/>
      <c r="AI319" s="2104"/>
      <c r="AJ319" s="2104"/>
      <c r="AK319" s="2038"/>
      <c r="AL319" s="2039"/>
      <c r="AM319" s="2039"/>
      <c r="AN319" s="2040"/>
      <c r="AO319" s="2008"/>
      <c r="AP319" s="2009"/>
      <c r="AQ319" s="2009"/>
      <c r="AR319" s="2010"/>
      <c r="AS319" s="651"/>
      <c r="AT319" s="652" t="str">
        <f t="shared" ref="AT319" si="3010">IF(OR(AND(D319&lt;&gt;"",OR(AND(E319&lt;&gt;"",F319&lt;&gt;"",OR(G319&lt;&gt;"",H319&lt;&gt;"")),AND(E319="",F319="バス・カメラマン等"))),AND(D319="",E319="",F319="",OR(G319="",H319=""))),"○","×")</f>
        <v>○</v>
      </c>
      <c r="AU319" s="1983" t="str">
        <f t="shared" ref="AU319" si="3011">IF(AND(E319&lt;&gt;"",E319&lt;=2),"2歳児以下","")</f>
        <v/>
      </c>
      <c r="AV319" s="1983" t="str">
        <f t="shared" ref="AV319" si="3012">IF(OR(AND(3&lt;=E319,E319&lt;=6),COUNTIF(E319, "幼*"),COUNTIF(E319, "年少"),COUNTIF(E319, "年中"),COUNTIF(E319, "年長")),"3歳-学齢前","")</f>
        <v/>
      </c>
      <c r="AW319" s="1983" t="str">
        <f t="shared" ref="AW319" si="3013">IF(OR(AND(6&lt;=E319,E319&lt;=12),COUNTIF(E319, "小*")),"小学生","")</f>
        <v/>
      </c>
      <c r="AX319" s="1983" t="str">
        <f t="shared" ref="AX319" si="3014">IF(OR(AND(12&lt;=E319,E319&lt;=15),COUNTIF(E319, "中*")),"中学生","")</f>
        <v/>
      </c>
      <c r="AY319" s="1983" t="str">
        <f t="shared" ref="AY319" si="3015">IF(OR(AND(15&lt;=E319,E319&lt;=18),COUNTIF(E319, "高*")),"高校生(～18歳)","")</f>
        <v/>
      </c>
      <c r="AZ319" s="1983" t="str">
        <f t="shared" ref="AZ319" si="3016">IF(OR(19&lt;=E319,COUNTIF(E319, "大*"),COUNTIF(E319, "*院*"),COUNTIF(E319, "*専*")),"一般(19歳～)","")</f>
        <v/>
      </c>
      <c r="BA319" s="1983" t="s">
        <v>475</v>
      </c>
      <c r="BB319" s="652" t="str">
        <f t="shared" ref="BB319" si="3017">IF(OR(AND(D319="",I319="",M319="",R319="",W319="",AB319="",AG319=""),AND(D319&lt;&gt;"",OR(I319&lt;&gt;"",M319&lt;&gt;"",R319&lt;&gt;"",W319&lt;&gt;"",AB319&lt;&gt;"",AG319&lt;&gt;""))),"○","×")</f>
        <v>○</v>
      </c>
      <c r="BC319" s="652" t="str">
        <f t="shared" ref="BC319" si="3018">IF(AND(BD319="○",BE319="○",BF319="○",BG319="○",BH319="○",BI319="○"),"○","×")</f>
        <v>○</v>
      </c>
      <c r="BD319" s="653" t="str">
        <f t="shared" ref="BD319" si="3019">IF(AND($I$7=" ",OR(I319&lt;&gt;"",K319&lt;&gt;"",L319&lt;&gt;"")),"×","○")</f>
        <v>○</v>
      </c>
      <c r="BE319" s="653" t="str">
        <f t="shared" ref="BE319" si="3020">IF(AND($M$7=" ",OR(M319&lt;&gt;"",O319&lt;&gt;"",P319&lt;&gt;"",Q319&lt;&gt;"")),"×","○")</f>
        <v>○</v>
      </c>
      <c r="BF319" s="653" t="str">
        <f t="shared" ref="BF319" si="3021">IF(AND($R$7=" ",OR(R319&lt;&gt;"",T319&lt;&gt;"",U319&lt;&gt;"",V319&lt;&gt;"")),"×","○")</f>
        <v>○</v>
      </c>
      <c r="BG319" s="653" t="str">
        <f t="shared" ref="BG319" si="3022">IF(AND($W$7=" ",OR(W319&lt;&gt;"",Y319&lt;&gt;"",Z319&lt;&gt;"",AA319&lt;&gt;"")),"×","○")</f>
        <v>○</v>
      </c>
      <c r="BH319" s="653" t="str">
        <f t="shared" ref="BH319" si="3023">IF(AND($AB$7=" ",OR(AB319&lt;&gt;"",AD319&lt;&gt;"",AE319&lt;&gt;"",AF319&lt;&gt;"")),"×","○")</f>
        <v>○</v>
      </c>
      <c r="BI319" s="653" t="str">
        <f t="shared" ref="BI319" si="3024">IF(AND($AG$7=" ",OR(AG319&lt;&gt;"",AI319&lt;&gt;"",AJ319&lt;&gt;"")),"×","○")</f>
        <v>○</v>
      </c>
      <c r="BJ319" s="2225" t="e">
        <f t="shared" ref="BJ319" si="3025">SUMPRODUCT(1/COUNTIF(I319:AH319,"宿泊"))</f>
        <v>#DIV/0!</v>
      </c>
      <c r="BK319" s="2226" t="e">
        <f t="shared" ref="BK319" si="3026">SUMPRODUCT(1/COUNTIF(I319:AH319,"日帰り"))</f>
        <v>#DIV/0!</v>
      </c>
      <c r="BL319" s="1381">
        <f t="shared" ref="BL319" si="3027">COUNT(BJ319)-COUNT(BK319)</f>
        <v>0</v>
      </c>
      <c r="BM319" s="684"/>
    </row>
    <row r="320" spans="1:65" ht="14.1" customHeight="1" x14ac:dyDescent="0.15">
      <c r="A320" s="652"/>
      <c r="B320" s="2174"/>
      <c r="C320" s="2117"/>
      <c r="D320" s="2007"/>
      <c r="E320" s="2005"/>
      <c r="F320" s="2042"/>
      <c r="G320" s="2119"/>
      <c r="H320" s="2107"/>
      <c r="I320" s="2112"/>
      <c r="J320" s="2113"/>
      <c r="K320" s="2105"/>
      <c r="L320" s="2127"/>
      <c r="M320" s="2112"/>
      <c r="N320" s="2113"/>
      <c r="O320" s="2105"/>
      <c r="P320" s="2105"/>
      <c r="Q320" s="2107"/>
      <c r="R320" s="2112"/>
      <c r="S320" s="2113"/>
      <c r="T320" s="2105"/>
      <c r="U320" s="2105"/>
      <c r="V320" s="2107"/>
      <c r="W320" s="2112"/>
      <c r="X320" s="2113"/>
      <c r="Y320" s="2105"/>
      <c r="Z320" s="2105"/>
      <c r="AA320" s="2107"/>
      <c r="AB320" s="2112"/>
      <c r="AC320" s="2113"/>
      <c r="AD320" s="2105"/>
      <c r="AE320" s="2105"/>
      <c r="AF320" s="2107"/>
      <c r="AG320" s="2112"/>
      <c r="AH320" s="2113"/>
      <c r="AI320" s="2105"/>
      <c r="AJ320" s="2105"/>
      <c r="AK320" s="2011"/>
      <c r="AL320" s="2012"/>
      <c r="AM320" s="2012"/>
      <c r="AN320" s="2013"/>
      <c r="AO320" s="2011"/>
      <c r="AP320" s="2012"/>
      <c r="AQ320" s="2012"/>
      <c r="AR320" s="2013"/>
      <c r="AS320" s="651"/>
      <c r="AT320" s="652"/>
      <c r="AU320" s="1983"/>
      <c r="AV320" s="1983"/>
      <c r="AW320" s="1983"/>
      <c r="AX320" s="1983"/>
      <c r="AY320" s="1983"/>
      <c r="AZ320" s="1983"/>
      <c r="BA320" s="1983"/>
      <c r="BB320" s="654"/>
      <c r="BC320" s="654"/>
      <c r="BD320" s="652"/>
      <c r="BE320" s="652"/>
      <c r="BF320" s="652"/>
      <c r="BG320" s="652"/>
      <c r="BH320" s="652"/>
      <c r="BI320" s="652"/>
      <c r="BJ320" s="2225"/>
      <c r="BK320" s="2226"/>
      <c r="BL320" s="1381"/>
      <c r="BM320" s="684"/>
    </row>
    <row r="321" spans="1:65" ht="14.1" customHeight="1" x14ac:dyDescent="0.15">
      <c r="A321" s="652" t="str">
        <f t="shared" ref="A321" si="3028">IF(AND(D321="",D323&lt;&gt;""),"×","○")</f>
        <v>○</v>
      </c>
      <c r="B321" s="2174" t="str">
        <f t="shared" ref="B321" si="3029">IF(AND(AT321="○",BB321="○",BC321="○",A321="○"),"○","×")</f>
        <v>○</v>
      </c>
      <c r="C321" s="2116">
        <v>154</v>
      </c>
      <c r="D321" s="2006"/>
      <c r="E321" s="2004"/>
      <c r="F321" s="2041"/>
      <c r="G321" s="2118"/>
      <c r="H321" s="2106"/>
      <c r="I321" s="2141"/>
      <c r="J321" s="2142"/>
      <c r="K321" s="2104"/>
      <c r="L321" s="2140"/>
      <c r="M321" s="2110"/>
      <c r="N321" s="2111"/>
      <c r="O321" s="2104"/>
      <c r="P321" s="2104"/>
      <c r="Q321" s="2106"/>
      <c r="R321" s="2110"/>
      <c r="S321" s="2111"/>
      <c r="T321" s="2104"/>
      <c r="U321" s="2104"/>
      <c r="V321" s="2106"/>
      <c r="W321" s="2110"/>
      <c r="X321" s="2111"/>
      <c r="Y321" s="2104"/>
      <c r="Z321" s="2104"/>
      <c r="AA321" s="2106"/>
      <c r="AB321" s="2110"/>
      <c r="AC321" s="2111"/>
      <c r="AD321" s="2104"/>
      <c r="AE321" s="2104"/>
      <c r="AF321" s="2106"/>
      <c r="AG321" s="2110"/>
      <c r="AH321" s="2111"/>
      <c r="AI321" s="2104"/>
      <c r="AJ321" s="2104"/>
      <c r="AK321" s="2038"/>
      <c r="AL321" s="2039"/>
      <c r="AM321" s="2039"/>
      <c r="AN321" s="2040"/>
      <c r="AO321" s="2008"/>
      <c r="AP321" s="2009"/>
      <c r="AQ321" s="2009"/>
      <c r="AR321" s="2010"/>
      <c r="AS321" s="651"/>
      <c r="AT321" s="652" t="str">
        <f t="shared" ref="AT321" si="3030">IF(OR(AND(D321&lt;&gt;"",OR(AND(E321&lt;&gt;"",F321&lt;&gt;"",OR(G321&lt;&gt;"",H321&lt;&gt;"")),AND(E321="",F321="バス・カメラマン等"))),AND(D321="",E321="",F321="",OR(G321="",H321=""))),"○","×")</f>
        <v>○</v>
      </c>
      <c r="AU321" s="1983" t="str">
        <f t="shared" ref="AU321" si="3031">IF(AND(E321&lt;&gt;"",E321&lt;=2),"2歳児以下","")</f>
        <v/>
      </c>
      <c r="AV321" s="1983" t="str">
        <f t="shared" ref="AV321" si="3032">IF(OR(AND(3&lt;=E321,E321&lt;=6),COUNTIF(E321, "幼*"),COUNTIF(E321, "年少"),COUNTIF(E321, "年中"),COUNTIF(E321, "年長")),"3歳-学齢前","")</f>
        <v/>
      </c>
      <c r="AW321" s="1983" t="str">
        <f t="shared" ref="AW321" si="3033">IF(OR(AND(6&lt;=E321,E321&lt;=12),COUNTIF(E321, "小*")),"小学生","")</f>
        <v/>
      </c>
      <c r="AX321" s="1983" t="str">
        <f t="shared" ref="AX321" si="3034">IF(OR(AND(12&lt;=E321,E321&lt;=15),COUNTIF(E321, "中*")),"中学生","")</f>
        <v/>
      </c>
      <c r="AY321" s="1983" t="str">
        <f t="shared" ref="AY321" si="3035">IF(OR(AND(15&lt;=E321,E321&lt;=18),COUNTIF(E321, "高*")),"高校生(～18歳)","")</f>
        <v/>
      </c>
      <c r="AZ321" s="1983" t="str">
        <f t="shared" ref="AZ321" si="3036">IF(OR(19&lt;=E321,COUNTIF(E321, "大*"),COUNTIF(E321, "*院*"),COUNTIF(E321, "*専*")),"一般(19歳～)","")</f>
        <v/>
      </c>
      <c r="BA321" s="1983" t="s">
        <v>475</v>
      </c>
      <c r="BB321" s="652" t="str">
        <f t="shared" ref="BB321" si="3037">IF(OR(AND(D321="",I321="",M321="",R321="",W321="",AB321="",AG321=""),AND(D321&lt;&gt;"",OR(I321&lt;&gt;"",M321&lt;&gt;"",R321&lt;&gt;"",W321&lt;&gt;"",AB321&lt;&gt;"",AG321&lt;&gt;""))),"○","×")</f>
        <v>○</v>
      </c>
      <c r="BC321" s="652" t="str">
        <f t="shared" ref="BC321" si="3038">IF(AND(BD321="○",BE321="○",BF321="○",BG321="○",BH321="○",BI321="○"),"○","×")</f>
        <v>○</v>
      </c>
      <c r="BD321" s="653" t="str">
        <f t="shared" ref="BD321" si="3039">IF(AND($I$7=" ",OR(I321&lt;&gt;"",K321&lt;&gt;"",L321&lt;&gt;"")),"×","○")</f>
        <v>○</v>
      </c>
      <c r="BE321" s="653" t="str">
        <f t="shared" ref="BE321" si="3040">IF(AND($M$7=" ",OR(M321&lt;&gt;"",O321&lt;&gt;"",P321&lt;&gt;"",Q321&lt;&gt;"")),"×","○")</f>
        <v>○</v>
      </c>
      <c r="BF321" s="653" t="str">
        <f t="shared" ref="BF321" si="3041">IF(AND($R$7=" ",OR(R321&lt;&gt;"",T321&lt;&gt;"",U321&lt;&gt;"",V321&lt;&gt;"")),"×","○")</f>
        <v>○</v>
      </c>
      <c r="BG321" s="653" t="str">
        <f t="shared" ref="BG321" si="3042">IF(AND($W$7=" ",OR(W321&lt;&gt;"",Y321&lt;&gt;"",Z321&lt;&gt;"",AA321&lt;&gt;"")),"×","○")</f>
        <v>○</v>
      </c>
      <c r="BH321" s="653" t="str">
        <f t="shared" ref="BH321" si="3043">IF(AND($AB$7=" ",OR(AB321&lt;&gt;"",AD321&lt;&gt;"",AE321&lt;&gt;"",AF321&lt;&gt;"")),"×","○")</f>
        <v>○</v>
      </c>
      <c r="BI321" s="653" t="str">
        <f t="shared" ref="BI321" si="3044">IF(AND($AG$7=" ",OR(AG321&lt;&gt;"",AI321&lt;&gt;"",AJ321&lt;&gt;"")),"×","○")</f>
        <v>○</v>
      </c>
      <c r="BJ321" s="2225" t="e">
        <f t="shared" ref="BJ321" si="3045">SUMPRODUCT(1/COUNTIF(I321:AH321,"宿泊"))</f>
        <v>#DIV/0!</v>
      </c>
      <c r="BK321" s="2226" t="e">
        <f t="shared" ref="BK321" si="3046">SUMPRODUCT(1/COUNTIF(I321:AH321,"日帰り"))</f>
        <v>#DIV/0!</v>
      </c>
      <c r="BL321" s="1381">
        <f t="shared" ref="BL321" si="3047">COUNT(BJ321)-COUNT(BK321)</f>
        <v>0</v>
      </c>
      <c r="BM321" s="684"/>
    </row>
    <row r="322" spans="1:65" ht="14.1" customHeight="1" x14ac:dyDescent="0.15">
      <c r="A322" s="652"/>
      <c r="B322" s="2174"/>
      <c r="C322" s="2117"/>
      <c r="D322" s="2007"/>
      <c r="E322" s="2005"/>
      <c r="F322" s="2042"/>
      <c r="G322" s="2119"/>
      <c r="H322" s="2107"/>
      <c r="I322" s="2112"/>
      <c r="J322" s="2113"/>
      <c r="K322" s="2105"/>
      <c r="L322" s="2127"/>
      <c r="M322" s="2112"/>
      <c r="N322" s="2113"/>
      <c r="O322" s="2105"/>
      <c r="P322" s="2105"/>
      <c r="Q322" s="2107"/>
      <c r="R322" s="2112"/>
      <c r="S322" s="2113"/>
      <c r="T322" s="2105"/>
      <c r="U322" s="2105"/>
      <c r="V322" s="2107"/>
      <c r="W322" s="2112"/>
      <c r="X322" s="2113"/>
      <c r="Y322" s="2105"/>
      <c r="Z322" s="2105"/>
      <c r="AA322" s="2107"/>
      <c r="AB322" s="2112"/>
      <c r="AC322" s="2113"/>
      <c r="AD322" s="2105"/>
      <c r="AE322" s="2105"/>
      <c r="AF322" s="2107"/>
      <c r="AG322" s="2112"/>
      <c r="AH322" s="2113"/>
      <c r="AI322" s="2105"/>
      <c r="AJ322" s="2105"/>
      <c r="AK322" s="2011"/>
      <c r="AL322" s="2012"/>
      <c r="AM322" s="2012"/>
      <c r="AN322" s="2013"/>
      <c r="AO322" s="2011"/>
      <c r="AP322" s="2012"/>
      <c r="AQ322" s="2012"/>
      <c r="AR322" s="2013"/>
      <c r="AS322" s="651"/>
      <c r="AT322" s="652"/>
      <c r="AU322" s="1983"/>
      <c r="AV322" s="1983"/>
      <c r="AW322" s="1983"/>
      <c r="AX322" s="1983"/>
      <c r="AY322" s="1983"/>
      <c r="AZ322" s="1983"/>
      <c r="BA322" s="1983"/>
      <c r="BB322" s="654"/>
      <c r="BC322" s="654"/>
      <c r="BD322" s="652"/>
      <c r="BE322" s="652"/>
      <c r="BF322" s="652"/>
      <c r="BG322" s="652"/>
      <c r="BH322" s="652"/>
      <c r="BI322" s="652"/>
      <c r="BJ322" s="2225"/>
      <c r="BK322" s="2226"/>
      <c r="BL322" s="1381"/>
      <c r="BM322" s="684"/>
    </row>
    <row r="323" spans="1:65" ht="14.1" customHeight="1" x14ac:dyDescent="0.15">
      <c r="A323" s="652" t="str">
        <f t="shared" ref="A323" si="3048">IF(AND(D323="",D325&lt;&gt;""),"×","○")</f>
        <v>○</v>
      </c>
      <c r="B323" s="2174" t="str">
        <f t="shared" ref="B323" si="3049">IF(AND(AT323="○",BB323="○",BC323="○",A323="○"),"○","×")</f>
        <v>○</v>
      </c>
      <c r="C323" s="2116">
        <v>155</v>
      </c>
      <c r="D323" s="2006"/>
      <c r="E323" s="2004"/>
      <c r="F323" s="2041"/>
      <c r="G323" s="2118"/>
      <c r="H323" s="2106"/>
      <c r="I323" s="2141"/>
      <c r="J323" s="2142"/>
      <c r="K323" s="2104"/>
      <c r="L323" s="2140"/>
      <c r="M323" s="2110"/>
      <c r="N323" s="2111"/>
      <c r="O323" s="2104"/>
      <c r="P323" s="2104"/>
      <c r="Q323" s="2106"/>
      <c r="R323" s="2110"/>
      <c r="S323" s="2111"/>
      <c r="T323" s="2104"/>
      <c r="U323" s="2104"/>
      <c r="V323" s="2106"/>
      <c r="W323" s="2110"/>
      <c r="X323" s="2111"/>
      <c r="Y323" s="2104"/>
      <c r="Z323" s="2104"/>
      <c r="AA323" s="2106"/>
      <c r="AB323" s="2110"/>
      <c r="AC323" s="2111"/>
      <c r="AD323" s="2104"/>
      <c r="AE323" s="2104"/>
      <c r="AF323" s="2106"/>
      <c r="AG323" s="2110"/>
      <c r="AH323" s="2111"/>
      <c r="AI323" s="2104"/>
      <c r="AJ323" s="2104"/>
      <c r="AK323" s="2038"/>
      <c r="AL323" s="2039"/>
      <c r="AM323" s="2039"/>
      <c r="AN323" s="2040"/>
      <c r="AO323" s="2008"/>
      <c r="AP323" s="2009"/>
      <c r="AQ323" s="2009"/>
      <c r="AR323" s="2010"/>
      <c r="AS323" s="651"/>
      <c r="AT323" s="652" t="str">
        <f t="shared" ref="AT323" si="3050">IF(OR(AND(D323&lt;&gt;"",OR(AND(E323&lt;&gt;"",F323&lt;&gt;"",OR(G323&lt;&gt;"",H323&lt;&gt;"")),AND(E323="",F323="バス・カメラマン等"))),AND(D323="",E323="",F323="",OR(G323="",H323=""))),"○","×")</f>
        <v>○</v>
      </c>
      <c r="AU323" s="1983" t="str">
        <f t="shared" ref="AU323" si="3051">IF(AND(E323&lt;&gt;"",E323&lt;=2),"2歳児以下","")</f>
        <v/>
      </c>
      <c r="AV323" s="1983" t="str">
        <f t="shared" ref="AV323" si="3052">IF(OR(AND(3&lt;=E323,E323&lt;=6),COUNTIF(E323, "幼*"),COUNTIF(E323, "年少"),COUNTIF(E323, "年中"),COUNTIF(E323, "年長")),"3歳-学齢前","")</f>
        <v/>
      </c>
      <c r="AW323" s="1983" t="str">
        <f t="shared" ref="AW323" si="3053">IF(OR(AND(6&lt;=E323,E323&lt;=12),COUNTIF(E323, "小*")),"小学生","")</f>
        <v/>
      </c>
      <c r="AX323" s="1983" t="str">
        <f t="shared" ref="AX323" si="3054">IF(OR(AND(12&lt;=E323,E323&lt;=15),COUNTIF(E323, "中*")),"中学生","")</f>
        <v/>
      </c>
      <c r="AY323" s="1983" t="str">
        <f t="shared" ref="AY323" si="3055">IF(OR(AND(15&lt;=E323,E323&lt;=18),COUNTIF(E323, "高*")),"高校生(～18歳)","")</f>
        <v/>
      </c>
      <c r="AZ323" s="1983" t="str">
        <f t="shared" ref="AZ323" si="3056">IF(OR(19&lt;=E323,COUNTIF(E323, "大*"),COUNTIF(E323, "*院*"),COUNTIF(E323, "*専*")),"一般(19歳～)","")</f>
        <v/>
      </c>
      <c r="BA323" s="1983" t="s">
        <v>475</v>
      </c>
      <c r="BB323" s="652" t="str">
        <f t="shared" ref="BB323" si="3057">IF(OR(AND(D323="",I323="",M323="",R323="",W323="",AB323="",AG323=""),AND(D323&lt;&gt;"",OR(I323&lt;&gt;"",M323&lt;&gt;"",R323&lt;&gt;"",W323&lt;&gt;"",AB323&lt;&gt;"",AG323&lt;&gt;""))),"○","×")</f>
        <v>○</v>
      </c>
      <c r="BC323" s="652" t="str">
        <f t="shared" ref="BC323" si="3058">IF(AND(BD323="○",BE323="○",BF323="○",BG323="○",BH323="○",BI323="○"),"○","×")</f>
        <v>○</v>
      </c>
      <c r="BD323" s="653" t="str">
        <f t="shared" ref="BD323" si="3059">IF(AND($I$7=" ",OR(I323&lt;&gt;"",K323&lt;&gt;"",L323&lt;&gt;"")),"×","○")</f>
        <v>○</v>
      </c>
      <c r="BE323" s="653" t="str">
        <f t="shared" ref="BE323" si="3060">IF(AND($M$7=" ",OR(M323&lt;&gt;"",O323&lt;&gt;"",P323&lt;&gt;"",Q323&lt;&gt;"")),"×","○")</f>
        <v>○</v>
      </c>
      <c r="BF323" s="653" t="str">
        <f t="shared" ref="BF323" si="3061">IF(AND($R$7=" ",OR(R323&lt;&gt;"",T323&lt;&gt;"",U323&lt;&gt;"",V323&lt;&gt;"")),"×","○")</f>
        <v>○</v>
      </c>
      <c r="BG323" s="653" t="str">
        <f t="shared" ref="BG323" si="3062">IF(AND($W$7=" ",OR(W323&lt;&gt;"",Y323&lt;&gt;"",Z323&lt;&gt;"",AA323&lt;&gt;"")),"×","○")</f>
        <v>○</v>
      </c>
      <c r="BH323" s="653" t="str">
        <f t="shared" ref="BH323" si="3063">IF(AND($AB$7=" ",OR(AB323&lt;&gt;"",AD323&lt;&gt;"",AE323&lt;&gt;"",AF323&lt;&gt;"")),"×","○")</f>
        <v>○</v>
      </c>
      <c r="BI323" s="653" t="str">
        <f t="shared" ref="BI323" si="3064">IF(AND($AG$7=" ",OR(AG323&lt;&gt;"",AI323&lt;&gt;"",AJ323&lt;&gt;"")),"×","○")</f>
        <v>○</v>
      </c>
      <c r="BJ323" s="2225" t="e">
        <f t="shared" ref="BJ323" si="3065">SUMPRODUCT(1/COUNTIF(I323:AH323,"宿泊"))</f>
        <v>#DIV/0!</v>
      </c>
      <c r="BK323" s="2226" t="e">
        <f t="shared" ref="BK323" si="3066">SUMPRODUCT(1/COUNTIF(I323:AH323,"日帰り"))</f>
        <v>#DIV/0!</v>
      </c>
      <c r="BL323" s="1381">
        <f t="shared" ref="BL323" si="3067">COUNT(BJ323)-COUNT(BK323)</f>
        <v>0</v>
      </c>
      <c r="BM323" s="684"/>
    </row>
    <row r="324" spans="1:65" ht="14.1" customHeight="1" x14ac:dyDescent="0.15">
      <c r="A324" s="652"/>
      <c r="B324" s="2174"/>
      <c r="C324" s="2117"/>
      <c r="D324" s="2007"/>
      <c r="E324" s="2005"/>
      <c r="F324" s="2042"/>
      <c r="G324" s="2119"/>
      <c r="H324" s="2107"/>
      <c r="I324" s="2112"/>
      <c r="J324" s="2113"/>
      <c r="K324" s="2105"/>
      <c r="L324" s="2127"/>
      <c r="M324" s="2112"/>
      <c r="N324" s="2113"/>
      <c r="O324" s="2105"/>
      <c r="P324" s="2105"/>
      <c r="Q324" s="2107"/>
      <c r="R324" s="2112"/>
      <c r="S324" s="2113"/>
      <c r="T324" s="2105"/>
      <c r="U324" s="2105"/>
      <c r="V324" s="2107"/>
      <c r="W324" s="2112"/>
      <c r="X324" s="2113"/>
      <c r="Y324" s="2105"/>
      <c r="Z324" s="2105"/>
      <c r="AA324" s="2107"/>
      <c r="AB324" s="2112"/>
      <c r="AC324" s="2113"/>
      <c r="AD324" s="2105"/>
      <c r="AE324" s="2105"/>
      <c r="AF324" s="2107"/>
      <c r="AG324" s="2112"/>
      <c r="AH324" s="2113"/>
      <c r="AI324" s="2105"/>
      <c r="AJ324" s="2105"/>
      <c r="AK324" s="2011"/>
      <c r="AL324" s="2012"/>
      <c r="AM324" s="2012"/>
      <c r="AN324" s="2013"/>
      <c r="AO324" s="2011"/>
      <c r="AP324" s="2012"/>
      <c r="AQ324" s="2012"/>
      <c r="AR324" s="2013"/>
      <c r="AS324" s="651"/>
      <c r="AT324" s="652"/>
      <c r="AU324" s="1983"/>
      <c r="AV324" s="1983"/>
      <c r="AW324" s="1983"/>
      <c r="AX324" s="1983"/>
      <c r="AY324" s="1983"/>
      <c r="AZ324" s="1983"/>
      <c r="BA324" s="1983"/>
      <c r="BB324" s="654"/>
      <c r="BC324" s="654"/>
      <c r="BD324" s="652"/>
      <c r="BE324" s="652"/>
      <c r="BF324" s="652"/>
      <c r="BG324" s="652"/>
      <c r="BH324" s="652"/>
      <c r="BI324" s="652"/>
      <c r="BJ324" s="2225"/>
      <c r="BK324" s="2226"/>
      <c r="BL324" s="1381"/>
      <c r="BM324" s="684"/>
    </row>
    <row r="325" spans="1:65" ht="14.1" customHeight="1" x14ac:dyDescent="0.15">
      <c r="A325" s="652" t="str">
        <f t="shared" ref="A325" si="3068">IF(AND(D325="",D327&lt;&gt;""),"×","○")</f>
        <v>○</v>
      </c>
      <c r="B325" s="2174" t="str">
        <f t="shared" ref="B325" si="3069">IF(AND(AT325="○",BB325="○",BC325="○",A325="○"),"○","×")</f>
        <v>○</v>
      </c>
      <c r="C325" s="2116">
        <v>156</v>
      </c>
      <c r="D325" s="2006"/>
      <c r="E325" s="2004"/>
      <c r="F325" s="2041"/>
      <c r="G325" s="2118"/>
      <c r="H325" s="2106"/>
      <c r="I325" s="2141"/>
      <c r="J325" s="2142"/>
      <c r="K325" s="2104"/>
      <c r="L325" s="2140"/>
      <c r="M325" s="2110"/>
      <c r="N325" s="2111"/>
      <c r="O325" s="2104"/>
      <c r="P325" s="2104"/>
      <c r="Q325" s="2106"/>
      <c r="R325" s="2110"/>
      <c r="S325" s="2111"/>
      <c r="T325" s="2104"/>
      <c r="U325" s="2104"/>
      <c r="V325" s="2106"/>
      <c r="W325" s="2110"/>
      <c r="X325" s="2111"/>
      <c r="Y325" s="2104"/>
      <c r="Z325" s="2104"/>
      <c r="AA325" s="2106"/>
      <c r="AB325" s="2110"/>
      <c r="AC325" s="2111"/>
      <c r="AD325" s="2104"/>
      <c r="AE325" s="2104"/>
      <c r="AF325" s="2106"/>
      <c r="AG325" s="2110"/>
      <c r="AH325" s="2111"/>
      <c r="AI325" s="2104"/>
      <c r="AJ325" s="2104"/>
      <c r="AK325" s="2038"/>
      <c r="AL325" s="2039"/>
      <c r="AM325" s="2039"/>
      <c r="AN325" s="2040"/>
      <c r="AO325" s="2008"/>
      <c r="AP325" s="2009"/>
      <c r="AQ325" s="2009"/>
      <c r="AR325" s="2010"/>
      <c r="AS325" s="651"/>
      <c r="AT325" s="652" t="str">
        <f t="shared" ref="AT325" si="3070">IF(OR(AND(D325&lt;&gt;"",OR(AND(E325&lt;&gt;"",F325&lt;&gt;"",OR(G325&lt;&gt;"",H325&lt;&gt;"")),AND(E325="",F325="バス・カメラマン等"))),AND(D325="",E325="",F325="",OR(G325="",H325=""))),"○","×")</f>
        <v>○</v>
      </c>
      <c r="AU325" s="1983" t="str">
        <f t="shared" ref="AU325" si="3071">IF(AND(E325&lt;&gt;"",E325&lt;=2),"2歳児以下","")</f>
        <v/>
      </c>
      <c r="AV325" s="1983" t="str">
        <f t="shared" ref="AV325" si="3072">IF(OR(AND(3&lt;=E325,E325&lt;=6),COUNTIF(E325, "幼*"),COUNTIF(E325, "年少"),COUNTIF(E325, "年中"),COUNTIF(E325, "年長")),"3歳-学齢前","")</f>
        <v/>
      </c>
      <c r="AW325" s="1983" t="str">
        <f t="shared" ref="AW325" si="3073">IF(OR(AND(6&lt;=E325,E325&lt;=12),COUNTIF(E325, "小*")),"小学生","")</f>
        <v/>
      </c>
      <c r="AX325" s="1983" t="str">
        <f t="shared" ref="AX325" si="3074">IF(OR(AND(12&lt;=E325,E325&lt;=15),COUNTIF(E325, "中*")),"中学生","")</f>
        <v/>
      </c>
      <c r="AY325" s="1983" t="str">
        <f t="shared" ref="AY325" si="3075">IF(OR(AND(15&lt;=E325,E325&lt;=18),COUNTIF(E325, "高*")),"高校生(～18歳)","")</f>
        <v/>
      </c>
      <c r="AZ325" s="1983" t="str">
        <f t="shared" ref="AZ325" si="3076">IF(OR(19&lt;=E325,COUNTIF(E325, "大*"),COUNTIF(E325, "*院*"),COUNTIF(E325, "*専*")),"一般(19歳～)","")</f>
        <v/>
      </c>
      <c r="BA325" s="1983" t="s">
        <v>475</v>
      </c>
      <c r="BB325" s="652" t="str">
        <f t="shared" ref="BB325" si="3077">IF(OR(AND(D325="",I325="",M325="",R325="",W325="",AB325="",AG325=""),AND(D325&lt;&gt;"",OR(I325&lt;&gt;"",M325&lt;&gt;"",R325&lt;&gt;"",W325&lt;&gt;"",AB325&lt;&gt;"",AG325&lt;&gt;""))),"○","×")</f>
        <v>○</v>
      </c>
      <c r="BC325" s="652" t="str">
        <f t="shared" ref="BC325" si="3078">IF(AND(BD325="○",BE325="○",BF325="○",BG325="○",BH325="○",BI325="○"),"○","×")</f>
        <v>○</v>
      </c>
      <c r="BD325" s="653" t="str">
        <f t="shared" ref="BD325" si="3079">IF(AND($I$7=" ",OR(I325&lt;&gt;"",K325&lt;&gt;"",L325&lt;&gt;"")),"×","○")</f>
        <v>○</v>
      </c>
      <c r="BE325" s="653" t="str">
        <f t="shared" ref="BE325" si="3080">IF(AND($M$7=" ",OR(M325&lt;&gt;"",O325&lt;&gt;"",P325&lt;&gt;"",Q325&lt;&gt;"")),"×","○")</f>
        <v>○</v>
      </c>
      <c r="BF325" s="653" t="str">
        <f t="shared" ref="BF325" si="3081">IF(AND($R$7=" ",OR(R325&lt;&gt;"",T325&lt;&gt;"",U325&lt;&gt;"",V325&lt;&gt;"")),"×","○")</f>
        <v>○</v>
      </c>
      <c r="BG325" s="653" t="str">
        <f t="shared" ref="BG325" si="3082">IF(AND($W$7=" ",OR(W325&lt;&gt;"",Y325&lt;&gt;"",Z325&lt;&gt;"",AA325&lt;&gt;"")),"×","○")</f>
        <v>○</v>
      </c>
      <c r="BH325" s="653" t="str">
        <f t="shared" ref="BH325" si="3083">IF(AND($AB$7=" ",OR(AB325&lt;&gt;"",AD325&lt;&gt;"",AE325&lt;&gt;"",AF325&lt;&gt;"")),"×","○")</f>
        <v>○</v>
      </c>
      <c r="BI325" s="653" t="str">
        <f t="shared" ref="BI325" si="3084">IF(AND($AG$7=" ",OR(AG325&lt;&gt;"",AI325&lt;&gt;"",AJ325&lt;&gt;"")),"×","○")</f>
        <v>○</v>
      </c>
      <c r="BJ325" s="2225" t="e">
        <f t="shared" ref="BJ325" si="3085">SUMPRODUCT(1/COUNTIF(I325:AH325,"宿泊"))</f>
        <v>#DIV/0!</v>
      </c>
      <c r="BK325" s="2226" t="e">
        <f t="shared" ref="BK325" si="3086">SUMPRODUCT(1/COUNTIF(I325:AH325,"日帰り"))</f>
        <v>#DIV/0!</v>
      </c>
      <c r="BL325" s="1381">
        <f t="shared" ref="BL325" si="3087">COUNT(BJ325)-COUNT(BK325)</f>
        <v>0</v>
      </c>
      <c r="BM325" s="684"/>
    </row>
    <row r="326" spans="1:65" ht="14.1" customHeight="1" x14ac:dyDescent="0.15">
      <c r="A326" s="652"/>
      <c r="B326" s="2174"/>
      <c r="C326" s="2117"/>
      <c r="D326" s="2007"/>
      <c r="E326" s="2005"/>
      <c r="F326" s="2042"/>
      <c r="G326" s="2119"/>
      <c r="H326" s="2107"/>
      <c r="I326" s="2112"/>
      <c r="J326" s="2113"/>
      <c r="K326" s="2105"/>
      <c r="L326" s="2127"/>
      <c r="M326" s="2112"/>
      <c r="N326" s="2113"/>
      <c r="O326" s="2105"/>
      <c r="P326" s="2105"/>
      <c r="Q326" s="2107"/>
      <c r="R326" s="2112"/>
      <c r="S326" s="2113"/>
      <c r="T326" s="2105"/>
      <c r="U326" s="2105"/>
      <c r="V326" s="2107"/>
      <c r="W326" s="2112"/>
      <c r="X326" s="2113"/>
      <c r="Y326" s="2105"/>
      <c r="Z326" s="2105"/>
      <c r="AA326" s="2107"/>
      <c r="AB326" s="2112"/>
      <c r="AC326" s="2113"/>
      <c r="AD326" s="2105"/>
      <c r="AE326" s="2105"/>
      <c r="AF326" s="2107"/>
      <c r="AG326" s="2112"/>
      <c r="AH326" s="2113"/>
      <c r="AI326" s="2105"/>
      <c r="AJ326" s="2105"/>
      <c r="AK326" s="2011"/>
      <c r="AL326" s="2012"/>
      <c r="AM326" s="2012"/>
      <c r="AN326" s="2013"/>
      <c r="AO326" s="2011"/>
      <c r="AP326" s="2012"/>
      <c r="AQ326" s="2012"/>
      <c r="AR326" s="2013"/>
      <c r="AS326" s="651"/>
      <c r="AT326" s="652"/>
      <c r="AU326" s="1983"/>
      <c r="AV326" s="1983"/>
      <c r="AW326" s="1983"/>
      <c r="AX326" s="1983"/>
      <c r="AY326" s="1983"/>
      <c r="AZ326" s="1983"/>
      <c r="BA326" s="1983"/>
      <c r="BB326" s="654"/>
      <c r="BC326" s="654"/>
      <c r="BD326" s="652"/>
      <c r="BE326" s="652"/>
      <c r="BF326" s="652"/>
      <c r="BG326" s="652"/>
      <c r="BH326" s="652"/>
      <c r="BI326" s="652"/>
      <c r="BJ326" s="2225"/>
      <c r="BK326" s="2226"/>
      <c r="BL326" s="1381"/>
      <c r="BM326" s="684"/>
    </row>
    <row r="327" spans="1:65" ht="14.1" customHeight="1" x14ac:dyDescent="0.15">
      <c r="A327" s="652" t="str">
        <f t="shared" ref="A327" si="3088">IF(AND(D327="",D329&lt;&gt;""),"×","○")</f>
        <v>○</v>
      </c>
      <c r="B327" s="2174" t="str">
        <f t="shared" ref="B327" si="3089">IF(AND(AT327="○",BB327="○",BC327="○",A327="○"),"○","×")</f>
        <v>○</v>
      </c>
      <c r="C327" s="2116">
        <v>157</v>
      </c>
      <c r="D327" s="2006"/>
      <c r="E327" s="2004"/>
      <c r="F327" s="2041"/>
      <c r="G327" s="2118"/>
      <c r="H327" s="2106"/>
      <c r="I327" s="2141"/>
      <c r="J327" s="2142"/>
      <c r="K327" s="2104"/>
      <c r="L327" s="2140"/>
      <c r="M327" s="2110"/>
      <c r="N327" s="2111"/>
      <c r="O327" s="2104"/>
      <c r="P327" s="2104"/>
      <c r="Q327" s="2106"/>
      <c r="R327" s="2110"/>
      <c r="S327" s="2111"/>
      <c r="T327" s="2104"/>
      <c r="U327" s="2104"/>
      <c r="V327" s="2106"/>
      <c r="W327" s="2110"/>
      <c r="X327" s="2111"/>
      <c r="Y327" s="2104"/>
      <c r="Z327" s="2104"/>
      <c r="AA327" s="2106"/>
      <c r="AB327" s="2110"/>
      <c r="AC327" s="2111"/>
      <c r="AD327" s="2104"/>
      <c r="AE327" s="2104"/>
      <c r="AF327" s="2106"/>
      <c r="AG327" s="2110"/>
      <c r="AH327" s="2111"/>
      <c r="AI327" s="2104"/>
      <c r="AJ327" s="2104"/>
      <c r="AK327" s="2038"/>
      <c r="AL327" s="2039"/>
      <c r="AM327" s="2039"/>
      <c r="AN327" s="2040"/>
      <c r="AO327" s="2008"/>
      <c r="AP327" s="2009"/>
      <c r="AQ327" s="2009"/>
      <c r="AR327" s="2010"/>
      <c r="AS327" s="651"/>
      <c r="AT327" s="652" t="str">
        <f t="shared" ref="AT327" si="3090">IF(OR(AND(D327&lt;&gt;"",OR(AND(E327&lt;&gt;"",F327&lt;&gt;"",OR(G327&lt;&gt;"",H327&lt;&gt;"")),AND(E327="",F327="バス・カメラマン等"))),AND(D327="",E327="",F327="",OR(G327="",H327=""))),"○","×")</f>
        <v>○</v>
      </c>
      <c r="AU327" s="1983" t="str">
        <f t="shared" ref="AU327" si="3091">IF(AND(E327&lt;&gt;"",E327&lt;=2),"2歳児以下","")</f>
        <v/>
      </c>
      <c r="AV327" s="1983" t="str">
        <f t="shared" ref="AV327" si="3092">IF(OR(AND(3&lt;=E327,E327&lt;=6),COUNTIF(E327, "幼*"),COUNTIF(E327, "年少"),COUNTIF(E327, "年中"),COUNTIF(E327, "年長")),"3歳-学齢前","")</f>
        <v/>
      </c>
      <c r="AW327" s="1983" t="str">
        <f t="shared" ref="AW327" si="3093">IF(OR(AND(6&lt;=E327,E327&lt;=12),COUNTIF(E327, "小*")),"小学生","")</f>
        <v/>
      </c>
      <c r="AX327" s="1983" t="str">
        <f t="shared" ref="AX327" si="3094">IF(OR(AND(12&lt;=E327,E327&lt;=15),COUNTIF(E327, "中*")),"中学生","")</f>
        <v/>
      </c>
      <c r="AY327" s="1983" t="str">
        <f t="shared" ref="AY327" si="3095">IF(OR(AND(15&lt;=E327,E327&lt;=18),COUNTIF(E327, "高*")),"高校生(～18歳)","")</f>
        <v/>
      </c>
      <c r="AZ327" s="1983" t="str">
        <f t="shared" ref="AZ327" si="3096">IF(OR(19&lt;=E327,COUNTIF(E327, "大*"),COUNTIF(E327, "*院*"),COUNTIF(E327, "*専*")),"一般(19歳～)","")</f>
        <v/>
      </c>
      <c r="BA327" s="1983" t="s">
        <v>475</v>
      </c>
      <c r="BB327" s="652" t="str">
        <f t="shared" ref="BB327" si="3097">IF(OR(AND(D327="",I327="",M327="",R327="",W327="",AB327="",AG327=""),AND(D327&lt;&gt;"",OR(I327&lt;&gt;"",M327&lt;&gt;"",R327&lt;&gt;"",W327&lt;&gt;"",AB327&lt;&gt;"",AG327&lt;&gt;""))),"○","×")</f>
        <v>○</v>
      </c>
      <c r="BC327" s="652" t="str">
        <f t="shared" ref="BC327" si="3098">IF(AND(BD327="○",BE327="○",BF327="○",BG327="○",BH327="○",BI327="○"),"○","×")</f>
        <v>○</v>
      </c>
      <c r="BD327" s="653" t="str">
        <f t="shared" ref="BD327" si="3099">IF(AND($I$7=" ",OR(I327&lt;&gt;"",K327&lt;&gt;"",L327&lt;&gt;"")),"×","○")</f>
        <v>○</v>
      </c>
      <c r="BE327" s="653" t="str">
        <f t="shared" ref="BE327" si="3100">IF(AND($M$7=" ",OR(M327&lt;&gt;"",O327&lt;&gt;"",P327&lt;&gt;"",Q327&lt;&gt;"")),"×","○")</f>
        <v>○</v>
      </c>
      <c r="BF327" s="653" t="str">
        <f t="shared" ref="BF327" si="3101">IF(AND($R$7=" ",OR(R327&lt;&gt;"",T327&lt;&gt;"",U327&lt;&gt;"",V327&lt;&gt;"")),"×","○")</f>
        <v>○</v>
      </c>
      <c r="BG327" s="653" t="str">
        <f t="shared" ref="BG327" si="3102">IF(AND($W$7=" ",OR(W327&lt;&gt;"",Y327&lt;&gt;"",Z327&lt;&gt;"",AA327&lt;&gt;"")),"×","○")</f>
        <v>○</v>
      </c>
      <c r="BH327" s="653" t="str">
        <f t="shared" ref="BH327" si="3103">IF(AND($AB$7=" ",OR(AB327&lt;&gt;"",AD327&lt;&gt;"",AE327&lt;&gt;"",AF327&lt;&gt;"")),"×","○")</f>
        <v>○</v>
      </c>
      <c r="BI327" s="653" t="str">
        <f t="shared" ref="BI327" si="3104">IF(AND($AG$7=" ",OR(AG327&lt;&gt;"",AI327&lt;&gt;"",AJ327&lt;&gt;"")),"×","○")</f>
        <v>○</v>
      </c>
      <c r="BJ327" s="2225" t="e">
        <f t="shared" ref="BJ327" si="3105">SUMPRODUCT(1/COUNTIF(I327:AH327,"宿泊"))</f>
        <v>#DIV/0!</v>
      </c>
      <c r="BK327" s="2226" t="e">
        <f t="shared" ref="BK327" si="3106">SUMPRODUCT(1/COUNTIF(I327:AH327,"日帰り"))</f>
        <v>#DIV/0!</v>
      </c>
      <c r="BL327" s="1381">
        <f t="shared" ref="BL327" si="3107">COUNT(BJ327)-COUNT(BK327)</f>
        <v>0</v>
      </c>
      <c r="BM327" s="684"/>
    </row>
    <row r="328" spans="1:65" ht="14.1" customHeight="1" x14ac:dyDescent="0.15">
      <c r="A328" s="652"/>
      <c r="B328" s="2174"/>
      <c r="C328" s="2117"/>
      <c r="D328" s="2007"/>
      <c r="E328" s="2005"/>
      <c r="F328" s="2042"/>
      <c r="G328" s="2119"/>
      <c r="H328" s="2107"/>
      <c r="I328" s="2112"/>
      <c r="J328" s="2113"/>
      <c r="K328" s="2105"/>
      <c r="L328" s="2127"/>
      <c r="M328" s="2112"/>
      <c r="N328" s="2113"/>
      <c r="O328" s="2105"/>
      <c r="P328" s="2105"/>
      <c r="Q328" s="2107"/>
      <c r="R328" s="2112"/>
      <c r="S328" s="2113"/>
      <c r="T328" s="2105"/>
      <c r="U328" s="2105"/>
      <c r="V328" s="2107"/>
      <c r="W328" s="2112"/>
      <c r="X328" s="2113"/>
      <c r="Y328" s="2105"/>
      <c r="Z328" s="2105"/>
      <c r="AA328" s="2107"/>
      <c r="AB328" s="2112"/>
      <c r="AC328" s="2113"/>
      <c r="AD328" s="2105"/>
      <c r="AE328" s="2105"/>
      <c r="AF328" s="2107"/>
      <c r="AG328" s="2112"/>
      <c r="AH328" s="2113"/>
      <c r="AI328" s="2105"/>
      <c r="AJ328" s="2105"/>
      <c r="AK328" s="2011"/>
      <c r="AL328" s="2012"/>
      <c r="AM328" s="2012"/>
      <c r="AN328" s="2013"/>
      <c r="AO328" s="2011"/>
      <c r="AP328" s="2012"/>
      <c r="AQ328" s="2012"/>
      <c r="AR328" s="2013"/>
      <c r="AS328" s="651"/>
      <c r="AT328" s="652"/>
      <c r="AU328" s="1983"/>
      <c r="AV328" s="1983"/>
      <c r="AW328" s="1983"/>
      <c r="AX328" s="1983"/>
      <c r="AY328" s="1983"/>
      <c r="AZ328" s="1983"/>
      <c r="BA328" s="1983"/>
      <c r="BB328" s="654"/>
      <c r="BC328" s="654"/>
      <c r="BD328" s="652"/>
      <c r="BE328" s="652"/>
      <c r="BF328" s="652"/>
      <c r="BG328" s="652"/>
      <c r="BH328" s="652"/>
      <c r="BI328" s="652"/>
      <c r="BJ328" s="2225"/>
      <c r="BK328" s="2226"/>
      <c r="BL328" s="1381"/>
      <c r="BM328" s="684"/>
    </row>
    <row r="329" spans="1:65" ht="14.1" customHeight="1" x14ac:dyDescent="0.15">
      <c r="A329" s="652" t="str">
        <f t="shared" ref="A329" si="3108">IF(AND(D329="",D331&lt;&gt;""),"×","○")</f>
        <v>○</v>
      </c>
      <c r="B329" s="2174" t="str">
        <f t="shared" ref="B329" si="3109">IF(AND(AT329="○",BB329="○",BC329="○",A329="○"),"○","×")</f>
        <v>○</v>
      </c>
      <c r="C329" s="2116">
        <v>158</v>
      </c>
      <c r="D329" s="2006"/>
      <c r="E329" s="2004"/>
      <c r="F329" s="2041"/>
      <c r="G329" s="2118"/>
      <c r="H329" s="2106"/>
      <c r="I329" s="2141"/>
      <c r="J329" s="2142"/>
      <c r="K329" s="2104"/>
      <c r="L329" s="2140"/>
      <c r="M329" s="2110"/>
      <c r="N329" s="2111"/>
      <c r="O329" s="2104"/>
      <c r="P329" s="2104"/>
      <c r="Q329" s="2106"/>
      <c r="R329" s="2110"/>
      <c r="S329" s="2111"/>
      <c r="T329" s="2104"/>
      <c r="U329" s="2104"/>
      <c r="V329" s="2106"/>
      <c r="W329" s="2110"/>
      <c r="X329" s="2111"/>
      <c r="Y329" s="2104"/>
      <c r="Z329" s="2104"/>
      <c r="AA329" s="2106"/>
      <c r="AB329" s="2110"/>
      <c r="AC329" s="2111"/>
      <c r="AD329" s="2104"/>
      <c r="AE329" s="2104"/>
      <c r="AF329" s="2106"/>
      <c r="AG329" s="2110"/>
      <c r="AH329" s="2111"/>
      <c r="AI329" s="2104"/>
      <c r="AJ329" s="2104"/>
      <c r="AK329" s="2038"/>
      <c r="AL329" s="2039"/>
      <c r="AM329" s="2039"/>
      <c r="AN329" s="2040"/>
      <c r="AO329" s="2008"/>
      <c r="AP329" s="2009"/>
      <c r="AQ329" s="2009"/>
      <c r="AR329" s="2010"/>
      <c r="AS329" s="651"/>
      <c r="AT329" s="652" t="str">
        <f t="shared" ref="AT329" si="3110">IF(OR(AND(D329&lt;&gt;"",OR(AND(E329&lt;&gt;"",F329&lt;&gt;"",OR(G329&lt;&gt;"",H329&lt;&gt;"")),AND(E329="",F329="バス・カメラマン等"))),AND(D329="",E329="",F329="",OR(G329="",H329=""))),"○","×")</f>
        <v>○</v>
      </c>
      <c r="AU329" s="1983" t="str">
        <f t="shared" ref="AU329" si="3111">IF(AND(E329&lt;&gt;"",E329&lt;=2),"2歳児以下","")</f>
        <v/>
      </c>
      <c r="AV329" s="1983" t="str">
        <f t="shared" ref="AV329" si="3112">IF(OR(AND(3&lt;=E329,E329&lt;=6),COUNTIF(E329, "幼*"),COUNTIF(E329, "年少"),COUNTIF(E329, "年中"),COUNTIF(E329, "年長")),"3歳-学齢前","")</f>
        <v/>
      </c>
      <c r="AW329" s="1983" t="str">
        <f t="shared" ref="AW329" si="3113">IF(OR(AND(6&lt;=E329,E329&lt;=12),COUNTIF(E329, "小*")),"小学生","")</f>
        <v/>
      </c>
      <c r="AX329" s="1983" t="str">
        <f t="shared" ref="AX329" si="3114">IF(OR(AND(12&lt;=E329,E329&lt;=15),COUNTIF(E329, "中*")),"中学生","")</f>
        <v/>
      </c>
      <c r="AY329" s="1983" t="str">
        <f t="shared" ref="AY329" si="3115">IF(OR(AND(15&lt;=E329,E329&lt;=18),COUNTIF(E329, "高*")),"高校生(～18歳)","")</f>
        <v/>
      </c>
      <c r="AZ329" s="1983" t="str">
        <f t="shared" ref="AZ329" si="3116">IF(OR(19&lt;=E329,COUNTIF(E329, "大*"),COUNTIF(E329, "*院*"),COUNTIF(E329, "*専*")),"一般(19歳～)","")</f>
        <v/>
      </c>
      <c r="BA329" s="1983" t="s">
        <v>475</v>
      </c>
      <c r="BB329" s="652" t="str">
        <f t="shared" ref="BB329" si="3117">IF(OR(AND(D329="",I329="",M329="",R329="",W329="",AB329="",AG329=""),AND(D329&lt;&gt;"",OR(I329&lt;&gt;"",M329&lt;&gt;"",R329&lt;&gt;"",W329&lt;&gt;"",AB329&lt;&gt;"",AG329&lt;&gt;""))),"○","×")</f>
        <v>○</v>
      </c>
      <c r="BC329" s="652" t="str">
        <f t="shared" ref="BC329" si="3118">IF(AND(BD329="○",BE329="○",BF329="○",BG329="○",BH329="○",BI329="○"),"○","×")</f>
        <v>○</v>
      </c>
      <c r="BD329" s="653" t="str">
        <f t="shared" ref="BD329" si="3119">IF(AND($I$7=" ",OR(I329&lt;&gt;"",K329&lt;&gt;"",L329&lt;&gt;"")),"×","○")</f>
        <v>○</v>
      </c>
      <c r="BE329" s="653" t="str">
        <f t="shared" ref="BE329" si="3120">IF(AND($M$7=" ",OR(M329&lt;&gt;"",O329&lt;&gt;"",P329&lt;&gt;"",Q329&lt;&gt;"")),"×","○")</f>
        <v>○</v>
      </c>
      <c r="BF329" s="653" t="str">
        <f t="shared" ref="BF329" si="3121">IF(AND($R$7=" ",OR(R329&lt;&gt;"",T329&lt;&gt;"",U329&lt;&gt;"",V329&lt;&gt;"")),"×","○")</f>
        <v>○</v>
      </c>
      <c r="BG329" s="653" t="str">
        <f t="shared" ref="BG329" si="3122">IF(AND($W$7=" ",OR(W329&lt;&gt;"",Y329&lt;&gt;"",Z329&lt;&gt;"",AA329&lt;&gt;"")),"×","○")</f>
        <v>○</v>
      </c>
      <c r="BH329" s="653" t="str">
        <f t="shared" ref="BH329" si="3123">IF(AND($AB$7=" ",OR(AB329&lt;&gt;"",AD329&lt;&gt;"",AE329&lt;&gt;"",AF329&lt;&gt;"")),"×","○")</f>
        <v>○</v>
      </c>
      <c r="BI329" s="653" t="str">
        <f t="shared" ref="BI329" si="3124">IF(AND($AG$7=" ",OR(AG329&lt;&gt;"",AI329&lt;&gt;"",AJ329&lt;&gt;"")),"×","○")</f>
        <v>○</v>
      </c>
      <c r="BJ329" s="2225" t="e">
        <f t="shared" ref="BJ329" si="3125">SUMPRODUCT(1/COUNTIF(I329:AH329,"宿泊"))</f>
        <v>#DIV/0!</v>
      </c>
      <c r="BK329" s="2226" t="e">
        <f t="shared" ref="BK329" si="3126">SUMPRODUCT(1/COUNTIF(I329:AH329,"日帰り"))</f>
        <v>#DIV/0!</v>
      </c>
      <c r="BL329" s="1381">
        <f t="shared" ref="BL329" si="3127">COUNT(BJ329)-COUNT(BK329)</f>
        <v>0</v>
      </c>
      <c r="BM329" s="684"/>
    </row>
    <row r="330" spans="1:65" ht="14.1" customHeight="1" x14ac:dyDescent="0.15">
      <c r="A330" s="652"/>
      <c r="B330" s="2174"/>
      <c r="C330" s="2117"/>
      <c r="D330" s="2007"/>
      <c r="E330" s="2005"/>
      <c r="F330" s="2042"/>
      <c r="G330" s="2119"/>
      <c r="H330" s="2107"/>
      <c r="I330" s="2112"/>
      <c r="J330" s="2113"/>
      <c r="K330" s="2105"/>
      <c r="L330" s="2127"/>
      <c r="M330" s="2112"/>
      <c r="N330" s="2113"/>
      <c r="O330" s="2105"/>
      <c r="P330" s="2105"/>
      <c r="Q330" s="2107"/>
      <c r="R330" s="2112"/>
      <c r="S330" s="2113"/>
      <c r="T330" s="2105"/>
      <c r="U330" s="2105"/>
      <c r="V330" s="2107"/>
      <c r="W330" s="2112"/>
      <c r="X330" s="2113"/>
      <c r="Y330" s="2105"/>
      <c r="Z330" s="2105"/>
      <c r="AA330" s="2107"/>
      <c r="AB330" s="2112"/>
      <c r="AC330" s="2113"/>
      <c r="AD330" s="2105"/>
      <c r="AE330" s="2105"/>
      <c r="AF330" s="2107"/>
      <c r="AG330" s="2112"/>
      <c r="AH330" s="2113"/>
      <c r="AI330" s="2105"/>
      <c r="AJ330" s="2105"/>
      <c r="AK330" s="2011"/>
      <c r="AL330" s="2012"/>
      <c r="AM330" s="2012"/>
      <c r="AN330" s="2013"/>
      <c r="AO330" s="2011"/>
      <c r="AP330" s="2012"/>
      <c r="AQ330" s="2012"/>
      <c r="AR330" s="2013"/>
      <c r="AS330" s="651"/>
      <c r="AT330" s="652"/>
      <c r="AU330" s="1983"/>
      <c r="AV330" s="1983"/>
      <c r="AW330" s="1983"/>
      <c r="AX330" s="1983"/>
      <c r="AY330" s="1983"/>
      <c r="AZ330" s="1983"/>
      <c r="BA330" s="1983"/>
      <c r="BB330" s="654"/>
      <c r="BC330" s="654"/>
      <c r="BD330" s="652"/>
      <c r="BE330" s="652"/>
      <c r="BF330" s="652"/>
      <c r="BG330" s="652"/>
      <c r="BH330" s="652"/>
      <c r="BI330" s="652"/>
      <c r="BJ330" s="2225"/>
      <c r="BK330" s="2226"/>
      <c r="BL330" s="1381"/>
      <c r="BM330" s="684"/>
    </row>
    <row r="331" spans="1:65" ht="14.1" customHeight="1" x14ac:dyDescent="0.15">
      <c r="A331" s="652" t="str">
        <f t="shared" ref="A331" si="3128">IF(AND(D331="",D333&lt;&gt;""),"×","○")</f>
        <v>○</v>
      </c>
      <c r="B331" s="2174" t="str">
        <f t="shared" ref="B331" si="3129">IF(AND(AT331="○",BB331="○",BC331="○",A331="○"),"○","×")</f>
        <v>○</v>
      </c>
      <c r="C331" s="2116">
        <v>159</v>
      </c>
      <c r="D331" s="2006"/>
      <c r="E331" s="2004"/>
      <c r="F331" s="2041"/>
      <c r="G331" s="2118"/>
      <c r="H331" s="2106"/>
      <c r="I331" s="2141"/>
      <c r="J331" s="2142"/>
      <c r="K331" s="2104"/>
      <c r="L331" s="2140"/>
      <c r="M331" s="2110"/>
      <c r="N331" s="2111"/>
      <c r="O331" s="2104"/>
      <c r="P331" s="2104"/>
      <c r="Q331" s="2106"/>
      <c r="R331" s="2110"/>
      <c r="S331" s="2111"/>
      <c r="T331" s="2104"/>
      <c r="U331" s="2104"/>
      <c r="V331" s="2106"/>
      <c r="W331" s="2110"/>
      <c r="X331" s="2111"/>
      <c r="Y331" s="2104"/>
      <c r="Z331" s="2104"/>
      <c r="AA331" s="2106"/>
      <c r="AB331" s="2110"/>
      <c r="AC331" s="2111"/>
      <c r="AD331" s="2104"/>
      <c r="AE331" s="2104"/>
      <c r="AF331" s="2106"/>
      <c r="AG331" s="2110"/>
      <c r="AH331" s="2111"/>
      <c r="AI331" s="2104"/>
      <c r="AJ331" s="2104"/>
      <c r="AK331" s="2038"/>
      <c r="AL331" s="2039"/>
      <c r="AM331" s="2039"/>
      <c r="AN331" s="2040"/>
      <c r="AO331" s="2008"/>
      <c r="AP331" s="2009"/>
      <c r="AQ331" s="2009"/>
      <c r="AR331" s="2010"/>
      <c r="AS331" s="651"/>
      <c r="AT331" s="652" t="str">
        <f t="shared" ref="AT331" si="3130">IF(OR(AND(D331&lt;&gt;"",OR(AND(E331&lt;&gt;"",F331&lt;&gt;"",OR(G331&lt;&gt;"",H331&lt;&gt;"")),AND(E331="",F331="バス・カメラマン等"))),AND(D331="",E331="",F331="",OR(G331="",H331=""))),"○","×")</f>
        <v>○</v>
      </c>
      <c r="AU331" s="1983" t="str">
        <f t="shared" ref="AU331" si="3131">IF(AND(E331&lt;&gt;"",E331&lt;=2),"2歳児以下","")</f>
        <v/>
      </c>
      <c r="AV331" s="1983" t="str">
        <f t="shared" ref="AV331" si="3132">IF(OR(AND(3&lt;=E331,E331&lt;=6),COUNTIF(E331, "幼*"),COUNTIF(E331, "年少"),COUNTIF(E331, "年中"),COUNTIF(E331, "年長")),"3歳-学齢前","")</f>
        <v/>
      </c>
      <c r="AW331" s="1983" t="str">
        <f t="shared" ref="AW331" si="3133">IF(OR(AND(6&lt;=E331,E331&lt;=12),COUNTIF(E331, "小*")),"小学生","")</f>
        <v/>
      </c>
      <c r="AX331" s="1983" t="str">
        <f t="shared" ref="AX331" si="3134">IF(OR(AND(12&lt;=E331,E331&lt;=15),COUNTIF(E331, "中*")),"中学生","")</f>
        <v/>
      </c>
      <c r="AY331" s="1983" t="str">
        <f t="shared" ref="AY331" si="3135">IF(OR(AND(15&lt;=E331,E331&lt;=18),COUNTIF(E331, "高*")),"高校生(～18歳)","")</f>
        <v/>
      </c>
      <c r="AZ331" s="1983" t="str">
        <f t="shared" ref="AZ331" si="3136">IF(OR(19&lt;=E331,COUNTIF(E331, "大*"),COUNTIF(E331, "*院*"),COUNTIF(E331, "*専*")),"一般(19歳～)","")</f>
        <v/>
      </c>
      <c r="BA331" s="1983" t="s">
        <v>475</v>
      </c>
      <c r="BB331" s="652" t="str">
        <f t="shared" ref="BB331" si="3137">IF(OR(AND(D331="",I331="",M331="",R331="",W331="",AB331="",AG331=""),AND(D331&lt;&gt;"",OR(I331&lt;&gt;"",M331&lt;&gt;"",R331&lt;&gt;"",W331&lt;&gt;"",AB331&lt;&gt;"",AG331&lt;&gt;""))),"○","×")</f>
        <v>○</v>
      </c>
      <c r="BC331" s="652" t="str">
        <f t="shared" ref="BC331" si="3138">IF(AND(BD331="○",BE331="○",BF331="○",BG331="○",BH331="○",BI331="○"),"○","×")</f>
        <v>○</v>
      </c>
      <c r="BD331" s="653" t="str">
        <f t="shared" ref="BD331" si="3139">IF(AND($I$7=" ",OR(I331&lt;&gt;"",K331&lt;&gt;"",L331&lt;&gt;"")),"×","○")</f>
        <v>○</v>
      </c>
      <c r="BE331" s="653" t="str">
        <f t="shared" ref="BE331" si="3140">IF(AND($M$7=" ",OR(M331&lt;&gt;"",O331&lt;&gt;"",P331&lt;&gt;"",Q331&lt;&gt;"")),"×","○")</f>
        <v>○</v>
      </c>
      <c r="BF331" s="653" t="str">
        <f t="shared" ref="BF331" si="3141">IF(AND($R$7=" ",OR(R331&lt;&gt;"",T331&lt;&gt;"",U331&lt;&gt;"",V331&lt;&gt;"")),"×","○")</f>
        <v>○</v>
      </c>
      <c r="BG331" s="653" t="str">
        <f t="shared" ref="BG331" si="3142">IF(AND($W$7=" ",OR(W331&lt;&gt;"",Y331&lt;&gt;"",Z331&lt;&gt;"",AA331&lt;&gt;"")),"×","○")</f>
        <v>○</v>
      </c>
      <c r="BH331" s="653" t="str">
        <f t="shared" ref="BH331" si="3143">IF(AND($AB$7=" ",OR(AB331&lt;&gt;"",AD331&lt;&gt;"",AE331&lt;&gt;"",AF331&lt;&gt;"")),"×","○")</f>
        <v>○</v>
      </c>
      <c r="BI331" s="653" t="str">
        <f t="shared" ref="BI331" si="3144">IF(AND($AG$7=" ",OR(AG331&lt;&gt;"",AI331&lt;&gt;"",AJ331&lt;&gt;"")),"×","○")</f>
        <v>○</v>
      </c>
      <c r="BJ331" s="2225" t="e">
        <f t="shared" ref="BJ331" si="3145">SUMPRODUCT(1/COUNTIF(I331:AH331,"宿泊"))</f>
        <v>#DIV/0!</v>
      </c>
      <c r="BK331" s="2226" t="e">
        <f t="shared" ref="BK331" si="3146">SUMPRODUCT(1/COUNTIF(I331:AH331,"日帰り"))</f>
        <v>#DIV/0!</v>
      </c>
      <c r="BL331" s="1381">
        <f t="shared" ref="BL331" si="3147">COUNT(BJ331)-COUNT(BK331)</f>
        <v>0</v>
      </c>
      <c r="BM331" s="684"/>
    </row>
    <row r="332" spans="1:65" ht="14.1" customHeight="1" x14ac:dyDescent="0.15">
      <c r="A332" s="652"/>
      <c r="B332" s="2174"/>
      <c r="C332" s="2117"/>
      <c r="D332" s="2007"/>
      <c r="E332" s="2005"/>
      <c r="F332" s="2042"/>
      <c r="G332" s="2119"/>
      <c r="H332" s="2107"/>
      <c r="I332" s="2112"/>
      <c r="J332" s="2113"/>
      <c r="K332" s="2105"/>
      <c r="L332" s="2127"/>
      <c r="M332" s="2112"/>
      <c r="N332" s="2113"/>
      <c r="O332" s="2105"/>
      <c r="P332" s="2105"/>
      <c r="Q332" s="2107"/>
      <c r="R332" s="2112"/>
      <c r="S332" s="2113"/>
      <c r="T332" s="2105"/>
      <c r="U332" s="2105"/>
      <c r="V332" s="2107"/>
      <c r="W332" s="2112"/>
      <c r="X332" s="2113"/>
      <c r="Y332" s="2105"/>
      <c r="Z332" s="2105"/>
      <c r="AA332" s="2107"/>
      <c r="AB332" s="2112"/>
      <c r="AC332" s="2113"/>
      <c r="AD332" s="2105"/>
      <c r="AE332" s="2105"/>
      <c r="AF332" s="2107"/>
      <c r="AG332" s="2112"/>
      <c r="AH332" s="2113"/>
      <c r="AI332" s="2105"/>
      <c r="AJ332" s="2105"/>
      <c r="AK332" s="2011"/>
      <c r="AL332" s="2012"/>
      <c r="AM332" s="2012"/>
      <c r="AN332" s="2013"/>
      <c r="AO332" s="2011"/>
      <c r="AP332" s="2012"/>
      <c r="AQ332" s="2012"/>
      <c r="AR332" s="2013"/>
      <c r="AS332" s="651"/>
      <c r="AT332" s="652"/>
      <c r="AU332" s="1983"/>
      <c r="AV332" s="1983"/>
      <c r="AW332" s="1983"/>
      <c r="AX332" s="1983"/>
      <c r="AY332" s="1983"/>
      <c r="AZ332" s="1983"/>
      <c r="BA332" s="1983"/>
      <c r="BB332" s="654"/>
      <c r="BC332" s="654"/>
      <c r="BD332" s="652"/>
      <c r="BE332" s="652"/>
      <c r="BF332" s="652"/>
      <c r="BG332" s="652"/>
      <c r="BH332" s="652"/>
      <c r="BI332" s="652"/>
      <c r="BJ332" s="2225"/>
      <c r="BK332" s="2226"/>
      <c r="BL332" s="1381"/>
      <c r="BM332" s="684"/>
    </row>
    <row r="333" spans="1:65" ht="14.1" customHeight="1" x14ac:dyDescent="0.15">
      <c r="A333" s="652" t="str">
        <f t="shared" ref="A333" si="3148">IF(AND(D333="",D335&lt;&gt;""),"×","○")</f>
        <v>○</v>
      </c>
      <c r="B333" s="2174" t="str">
        <f t="shared" ref="B333" si="3149">IF(AND(AT333="○",BB333="○",BC333="○",A333="○"),"○","×")</f>
        <v>○</v>
      </c>
      <c r="C333" s="2116">
        <v>160</v>
      </c>
      <c r="D333" s="2006"/>
      <c r="E333" s="2004"/>
      <c r="F333" s="2041"/>
      <c r="G333" s="2118"/>
      <c r="H333" s="2106"/>
      <c r="I333" s="2141"/>
      <c r="J333" s="2142"/>
      <c r="K333" s="2104"/>
      <c r="L333" s="2140"/>
      <c r="M333" s="2110"/>
      <c r="N333" s="2111"/>
      <c r="O333" s="2104"/>
      <c r="P333" s="2104"/>
      <c r="Q333" s="2106"/>
      <c r="R333" s="2110"/>
      <c r="S333" s="2111"/>
      <c r="T333" s="2104"/>
      <c r="U333" s="2104"/>
      <c r="V333" s="2106"/>
      <c r="W333" s="2110"/>
      <c r="X333" s="2111"/>
      <c r="Y333" s="2104"/>
      <c r="Z333" s="2104"/>
      <c r="AA333" s="2106"/>
      <c r="AB333" s="2110"/>
      <c r="AC333" s="2111"/>
      <c r="AD333" s="2104"/>
      <c r="AE333" s="2104"/>
      <c r="AF333" s="2106"/>
      <c r="AG333" s="2110"/>
      <c r="AH333" s="2111"/>
      <c r="AI333" s="2104"/>
      <c r="AJ333" s="2104"/>
      <c r="AK333" s="2038"/>
      <c r="AL333" s="2039"/>
      <c r="AM333" s="2039"/>
      <c r="AN333" s="2040"/>
      <c r="AO333" s="2008"/>
      <c r="AP333" s="2009"/>
      <c r="AQ333" s="2009"/>
      <c r="AR333" s="2010"/>
      <c r="AS333" s="651"/>
      <c r="AT333" s="652" t="str">
        <f t="shared" ref="AT333" si="3150">IF(OR(AND(D333&lt;&gt;"",OR(AND(E333&lt;&gt;"",F333&lt;&gt;"",OR(G333&lt;&gt;"",H333&lt;&gt;"")),AND(E333="",F333="バス・カメラマン等"))),AND(D333="",E333="",F333="",OR(G333="",H333=""))),"○","×")</f>
        <v>○</v>
      </c>
      <c r="AU333" s="1983" t="str">
        <f t="shared" ref="AU333" si="3151">IF(AND(E333&lt;&gt;"",E333&lt;=2),"2歳児以下","")</f>
        <v/>
      </c>
      <c r="AV333" s="1983" t="str">
        <f t="shared" ref="AV333" si="3152">IF(OR(AND(3&lt;=E333,E333&lt;=6),COUNTIF(E333, "幼*"),COUNTIF(E333, "年少"),COUNTIF(E333, "年中"),COUNTIF(E333, "年長")),"3歳-学齢前","")</f>
        <v/>
      </c>
      <c r="AW333" s="1983" t="str">
        <f t="shared" ref="AW333" si="3153">IF(OR(AND(6&lt;=E333,E333&lt;=12),COUNTIF(E333, "小*")),"小学生","")</f>
        <v/>
      </c>
      <c r="AX333" s="1983" t="str">
        <f t="shared" ref="AX333" si="3154">IF(OR(AND(12&lt;=E333,E333&lt;=15),COUNTIF(E333, "中*")),"中学生","")</f>
        <v/>
      </c>
      <c r="AY333" s="1983" t="str">
        <f t="shared" ref="AY333" si="3155">IF(OR(AND(15&lt;=E333,E333&lt;=18),COUNTIF(E333, "高*")),"高校生(～18歳)","")</f>
        <v/>
      </c>
      <c r="AZ333" s="1983" t="str">
        <f t="shared" ref="AZ333" si="3156">IF(OR(19&lt;=E333,COUNTIF(E333, "大*"),COUNTIF(E333, "*院*"),COUNTIF(E333, "*専*")),"一般(19歳～)","")</f>
        <v/>
      </c>
      <c r="BA333" s="1983" t="s">
        <v>475</v>
      </c>
      <c r="BB333" s="652" t="str">
        <f t="shared" ref="BB333" si="3157">IF(OR(AND(D333="",I333="",M333="",R333="",W333="",AB333="",AG333=""),AND(D333&lt;&gt;"",OR(I333&lt;&gt;"",M333&lt;&gt;"",R333&lt;&gt;"",W333&lt;&gt;"",AB333&lt;&gt;"",AG333&lt;&gt;""))),"○","×")</f>
        <v>○</v>
      </c>
      <c r="BC333" s="652" t="str">
        <f t="shared" ref="BC333" si="3158">IF(AND(BD333="○",BE333="○",BF333="○",BG333="○",BH333="○",BI333="○"),"○","×")</f>
        <v>○</v>
      </c>
      <c r="BD333" s="653" t="str">
        <f t="shared" ref="BD333" si="3159">IF(AND($I$7=" ",OR(I333&lt;&gt;"",K333&lt;&gt;"",L333&lt;&gt;"")),"×","○")</f>
        <v>○</v>
      </c>
      <c r="BE333" s="653" t="str">
        <f t="shared" ref="BE333" si="3160">IF(AND($M$7=" ",OR(M333&lt;&gt;"",O333&lt;&gt;"",P333&lt;&gt;"",Q333&lt;&gt;"")),"×","○")</f>
        <v>○</v>
      </c>
      <c r="BF333" s="653" t="str">
        <f t="shared" ref="BF333" si="3161">IF(AND($R$7=" ",OR(R333&lt;&gt;"",T333&lt;&gt;"",U333&lt;&gt;"",V333&lt;&gt;"")),"×","○")</f>
        <v>○</v>
      </c>
      <c r="BG333" s="653" t="str">
        <f t="shared" ref="BG333" si="3162">IF(AND($W$7=" ",OR(W333&lt;&gt;"",Y333&lt;&gt;"",Z333&lt;&gt;"",AA333&lt;&gt;"")),"×","○")</f>
        <v>○</v>
      </c>
      <c r="BH333" s="653" t="str">
        <f t="shared" ref="BH333" si="3163">IF(AND($AB$7=" ",OR(AB333&lt;&gt;"",AD333&lt;&gt;"",AE333&lt;&gt;"",AF333&lt;&gt;"")),"×","○")</f>
        <v>○</v>
      </c>
      <c r="BI333" s="653" t="str">
        <f t="shared" ref="BI333" si="3164">IF(AND($AG$7=" ",OR(AG333&lt;&gt;"",AI333&lt;&gt;"",AJ333&lt;&gt;"")),"×","○")</f>
        <v>○</v>
      </c>
      <c r="BJ333" s="2225" t="e">
        <f t="shared" ref="BJ333" si="3165">SUMPRODUCT(1/COUNTIF(I333:AH333,"宿泊"))</f>
        <v>#DIV/0!</v>
      </c>
      <c r="BK333" s="2226" t="e">
        <f t="shared" ref="BK333" si="3166">SUMPRODUCT(1/COUNTIF(I333:AH333,"日帰り"))</f>
        <v>#DIV/0!</v>
      </c>
      <c r="BL333" s="1381">
        <f t="shared" ref="BL333" si="3167">COUNT(BJ333)-COUNT(BK333)</f>
        <v>0</v>
      </c>
      <c r="BM333" s="684"/>
    </row>
    <row r="334" spans="1:65" ht="14.1" customHeight="1" x14ac:dyDescent="0.15">
      <c r="A334" s="652"/>
      <c r="B334" s="2174"/>
      <c r="C334" s="2117"/>
      <c r="D334" s="2007"/>
      <c r="E334" s="2005"/>
      <c r="F334" s="2042"/>
      <c r="G334" s="2119"/>
      <c r="H334" s="2107"/>
      <c r="I334" s="2112"/>
      <c r="J334" s="2113"/>
      <c r="K334" s="2105"/>
      <c r="L334" s="2127"/>
      <c r="M334" s="2112"/>
      <c r="N334" s="2113"/>
      <c r="O334" s="2105"/>
      <c r="P334" s="2105"/>
      <c r="Q334" s="2107"/>
      <c r="R334" s="2112"/>
      <c r="S334" s="2113"/>
      <c r="T334" s="2105"/>
      <c r="U334" s="2105"/>
      <c r="V334" s="2107"/>
      <c r="W334" s="2112"/>
      <c r="X334" s="2113"/>
      <c r="Y334" s="2105"/>
      <c r="Z334" s="2105"/>
      <c r="AA334" s="2107"/>
      <c r="AB334" s="2112"/>
      <c r="AC334" s="2113"/>
      <c r="AD334" s="2105"/>
      <c r="AE334" s="2105"/>
      <c r="AF334" s="2107"/>
      <c r="AG334" s="2112"/>
      <c r="AH334" s="2113"/>
      <c r="AI334" s="2105"/>
      <c r="AJ334" s="2105"/>
      <c r="AK334" s="2038"/>
      <c r="AL334" s="2039"/>
      <c r="AM334" s="2039"/>
      <c r="AN334" s="2040"/>
      <c r="AO334" s="2011"/>
      <c r="AP334" s="2012"/>
      <c r="AQ334" s="2012"/>
      <c r="AR334" s="2013"/>
      <c r="AS334" s="651"/>
      <c r="AT334" s="652"/>
      <c r="AU334" s="1983"/>
      <c r="AV334" s="1983"/>
      <c r="AW334" s="1983"/>
      <c r="AX334" s="1983"/>
      <c r="AY334" s="1983"/>
      <c r="AZ334" s="1983"/>
      <c r="BA334" s="1983"/>
      <c r="BB334" s="654"/>
      <c r="BC334" s="654"/>
      <c r="BD334" s="652"/>
      <c r="BE334" s="652"/>
      <c r="BF334" s="652"/>
      <c r="BG334" s="652"/>
      <c r="BH334" s="652"/>
      <c r="BI334" s="652"/>
      <c r="BJ334" s="2225"/>
      <c r="BK334" s="2226"/>
      <c r="BL334" s="1381"/>
      <c r="BM334" s="684"/>
    </row>
    <row r="335" spans="1:65" ht="14.1" customHeight="1" x14ac:dyDescent="0.15">
      <c r="A335" s="652" t="str">
        <f t="shared" ref="A335" si="3168">IF(AND(D335="",D337&lt;&gt;""),"×","○")</f>
        <v>○</v>
      </c>
      <c r="B335" s="2174" t="str">
        <f t="shared" ref="B335" si="3169">IF(AND(AT335="○",BB335="○",BC335="○",A335="○"),"○","×")</f>
        <v>○</v>
      </c>
      <c r="C335" s="2116">
        <v>161</v>
      </c>
      <c r="D335" s="2006"/>
      <c r="E335" s="2004"/>
      <c r="F335" s="2041"/>
      <c r="G335" s="2118"/>
      <c r="H335" s="2106"/>
      <c r="I335" s="2141"/>
      <c r="J335" s="2142"/>
      <c r="K335" s="2104"/>
      <c r="L335" s="2140"/>
      <c r="M335" s="2110"/>
      <c r="N335" s="2111"/>
      <c r="O335" s="2104"/>
      <c r="P335" s="2104"/>
      <c r="Q335" s="2106"/>
      <c r="R335" s="2110"/>
      <c r="S335" s="2111"/>
      <c r="T335" s="2104"/>
      <c r="U335" s="2104"/>
      <c r="V335" s="2106"/>
      <c r="W335" s="2110"/>
      <c r="X335" s="2111"/>
      <c r="Y335" s="2104"/>
      <c r="Z335" s="2104"/>
      <c r="AA335" s="2106"/>
      <c r="AB335" s="2110"/>
      <c r="AC335" s="2111"/>
      <c r="AD335" s="2104"/>
      <c r="AE335" s="2104"/>
      <c r="AF335" s="2106"/>
      <c r="AG335" s="2110"/>
      <c r="AH335" s="2111"/>
      <c r="AI335" s="2104"/>
      <c r="AJ335" s="2104"/>
      <c r="AK335" s="2008"/>
      <c r="AL335" s="2009"/>
      <c r="AM335" s="2009"/>
      <c r="AN335" s="2010"/>
      <c r="AO335" s="2008"/>
      <c r="AP335" s="2009"/>
      <c r="AQ335" s="2009"/>
      <c r="AR335" s="2010"/>
      <c r="AS335" s="651"/>
      <c r="AT335" s="652" t="str">
        <f t="shared" ref="AT335" si="3170">IF(OR(AND(D335&lt;&gt;"",OR(AND(E335&lt;&gt;"",F335&lt;&gt;"",OR(G335&lt;&gt;"",H335&lt;&gt;"")),AND(E335="",F335="バス・カメラマン等"))),AND(D335="",E335="",F335="",OR(G335="",H335=""))),"○","×")</f>
        <v>○</v>
      </c>
      <c r="AU335" s="1983" t="str">
        <f t="shared" ref="AU335" si="3171">IF(AND(E335&lt;&gt;"",E335&lt;=2),"2歳児以下","")</f>
        <v/>
      </c>
      <c r="AV335" s="1983" t="str">
        <f t="shared" ref="AV335" si="3172">IF(OR(AND(3&lt;=E335,E335&lt;=6),COUNTIF(E335, "幼*"),COUNTIF(E335, "年少"),COUNTIF(E335, "年中"),COUNTIF(E335, "年長")),"3歳-学齢前","")</f>
        <v/>
      </c>
      <c r="AW335" s="1983" t="str">
        <f t="shared" ref="AW335" si="3173">IF(OR(AND(6&lt;=E335,E335&lt;=12),COUNTIF(E335, "小*")),"小学生","")</f>
        <v/>
      </c>
      <c r="AX335" s="1983" t="str">
        <f t="shared" ref="AX335" si="3174">IF(OR(AND(12&lt;=E335,E335&lt;=15),COUNTIF(E335, "中*")),"中学生","")</f>
        <v/>
      </c>
      <c r="AY335" s="1983" t="str">
        <f t="shared" ref="AY335" si="3175">IF(OR(AND(15&lt;=E335,E335&lt;=18),COUNTIF(E335, "高*")),"高校生(～18歳)","")</f>
        <v/>
      </c>
      <c r="AZ335" s="1983" t="str">
        <f t="shared" ref="AZ335" si="3176">IF(OR(19&lt;=E335,COUNTIF(E335, "大*"),COUNTIF(E335, "*院*"),COUNTIF(E335, "*専*")),"一般(19歳～)","")</f>
        <v/>
      </c>
      <c r="BA335" s="1983" t="s">
        <v>475</v>
      </c>
      <c r="BB335" s="652" t="str">
        <f t="shared" ref="BB335" si="3177">IF(OR(AND(D335="",I335="",M335="",R335="",W335="",AB335="",AG335=""),AND(D335&lt;&gt;"",OR(I335&lt;&gt;"",M335&lt;&gt;"",R335&lt;&gt;"",W335&lt;&gt;"",AB335&lt;&gt;"",AG335&lt;&gt;""))),"○","×")</f>
        <v>○</v>
      </c>
      <c r="BC335" s="652" t="str">
        <f t="shared" ref="BC335" si="3178">IF(AND(BD335="○",BE335="○",BF335="○",BG335="○",BH335="○",BI335="○"),"○","×")</f>
        <v>○</v>
      </c>
      <c r="BD335" s="653" t="str">
        <f t="shared" ref="BD335" si="3179">IF(AND($I$7=" ",OR(I335&lt;&gt;"",K335&lt;&gt;"",L335&lt;&gt;"")),"×","○")</f>
        <v>○</v>
      </c>
      <c r="BE335" s="653" t="str">
        <f t="shared" ref="BE335" si="3180">IF(AND($M$7=" ",OR(M335&lt;&gt;"",O335&lt;&gt;"",P335&lt;&gt;"",Q335&lt;&gt;"")),"×","○")</f>
        <v>○</v>
      </c>
      <c r="BF335" s="653" t="str">
        <f t="shared" ref="BF335" si="3181">IF(AND($R$7=" ",OR(R335&lt;&gt;"",T335&lt;&gt;"",U335&lt;&gt;"",V335&lt;&gt;"")),"×","○")</f>
        <v>○</v>
      </c>
      <c r="BG335" s="653" t="str">
        <f t="shared" ref="BG335" si="3182">IF(AND($W$7=" ",OR(W335&lt;&gt;"",Y335&lt;&gt;"",Z335&lt;&gt;"",AA335&lt;&gt;"")),"×","○")</f>
        <v>○</v>
      </c>
      <c r="BH335" s="653" t="str">
        <f t="shared" ref="BH335" si="3183">IF(AND($AB$7=" ",OR(AB335&lt;&gt;"",AD335&lt;&gt;"",AE335&lt;&gt;"",AF335&lt;&gt;"")),"×","○")</f>
        <v>○</v>
      </c>
      <c r="BI335" s="653" t="str">
        <f t="shared" ref="BI335" si="3184">IF(AND($AG$7=" ",OR(AG335&lt;&gt;"",AI335&lt;&gt;"",AJ335&lt;&gt;"")),"×","○")</f>
        <v>○</v>
      </c>
      <c r="BJ335" s="2225" t="e">
        <f t="shared" ref="BJ335" si="3185">SUMPRODUCT(1/COUNTIF(I335:AH335,"宿泊"))</f>
        <v>#DIV/0!</v>
      </c>
      <c r="BK335" s="2226" t="e">
        <f t="shared" ref="BK335" si="3186">SUMPRODUCT(1/COUNTIF(I335:AH335,"日帰り"))</f>
        <v>#DIV/0!</v>
      </c>
      <c r="BL335" s="1381">
        <f t="shared" ref="BL335" si="3187">COUNT(BJ335)-COUNT(BK335)</f>
        <v>0</v>
      </c>
      <c r="BM335" s="684"/>
    </row>
    <row r="336" spans="1:65" ht="14.1" customHeight="1" x14ac:dyDescent="0.15">
      <c r="A336" s="652"/>
      <c r="B336" s="2174"/>
      <c r="C336" s="2117"/>
      <c r="D336" s="2007"/>
      <c r="E336" s="2005"/>
      <c r="F336" s="2042"/>
      <c r="G336" s="2119"/>
      <c r="H336" s="2107"/>
      <c r="I336" s="2112"/>
      <c r="J336" s="2113"/>
      <c r="K336" s="2105"/>
      <c r="L336" s="2127"/>
      <c r="M336" s="2112"/>
      <c r="N336" s="2113"/>
      <c r="O336" s="2105"/>
      <c r="P336" s="2105"/>
      <c r="Q336" s="2107"/>
      <c r="R336" s="2112"/>
      <c r="S336" s="2113"/>
      <c r="T336" s="2105"/>
      <c r="U336" s="2105"/>
      <c r="V336" s="2107"/>
      <c r="W336" s="2112"/>
      <c r="X336" s="2113"/>
      <c r="Y336" s="2105"/>
      <c r="Z336" s="2105"/>
      <c r="AA336" s="2107"/>
      <c r="AB336" s="2112"/>
      <c r="AC336" s="2113"/>
      <c r="AD336" s="2105"/>
      <c r="AE336" s="2105"/>
      <c r="AF336" s="2107"/>
      <c r="AG336" s="2112"/>
      <c r="AH336" s="2113"/>
      <c r="AI336" s="2105"/>
      <c r="AJ336" s="2105"/>
      <c r="AK336" s="2011"/>
      <c r="AL336" s="2012"/>
      <c r="AM336" s="2012"/>
      <c r="AN336" s="2013"/>
      <c r="AO336" s="2011"/>
      <c r="AP336" s="2012"/>
      <c r="AQ336" s="2012"/>
      <c r="AR336" s="2013"/>
      <c r="AS336" s="651"/>
      <c r="AT336" s="652"/>
      <c r="AU336" s="1983"/>
      <c r="AV336" s="1983"/>
      <c r="AW336" s="1983"/>
      <c r="AX336" s="1983"/>
      <c r="AY336" s="1983"/>
      <c r="AZ336" s="1983"/>
      <c r="BA336" s="1983"/>
      <c r="BB336" s="654"/>
      <c r="BC336" s="654"/>
      <c r="BD336" s="652"/>
      <c r="BE336" s="652"/>
      <c r="BF336" s="652"/>
      <c r="BG336" s="652"/>
      <c r="BH336" s="652"/>
      <c r="BI336" s="652"/>
      <c r="BJ336" s="2225"/>
      <c r="BK336" s="2226"/>
      <c r="BL336" s="1381"/>
      <c r="BM336" s="684"/>
    </row>
    <row r="337" spans="1:65" ht="14.1" customHeight="1" x14ac:dyDescent="0.15">
      <c r="A337" s="652" t="str">
        <f t="shared" ref="A337" si="3188">IF(AND(D337="",D339&lt;&gt;""),"×","○")</f>
        <v>○</v>
      </c>
      <c r="B337" s="2174" t="str">
        <f t="shared" ref="B337" si="3189">IF(AND(AT337="○",BB337="○",BC337="○",A337="○"),"○","×")</f>
        <v>○</v>
      </c>
      <c r="C337" s="2116">
        <v>162</v>
      </c>
      <c r="D337" s="2006"/>
      <c r="E337" s="2004"/>
      <c r="F337" s="2041"/>
      <c r="G337" s="2118"/>
      <c r="H337" s="2106"/>
      <c r="I337" s="2141"/>
      <c r="J337" s="2142"/>
      <c r="K337" s="2104"/>
      <c r="L337" s="2140"/>
      <c r="M337" s="2110"/>
      <c r="N337" s="2111"/>
      <c r="O337" s="2104"/>
      <c r="P337" s="2104"/>
      <c r="Q337" s="2106"/>
      <c r="R337" s="2110"/>
      <c r="S337" s="2111"/>
      <c r="T337" s="2104"/>
      <c r="U337" s="2104"/>
      <c r="V337" s="2106"/>
      <c r="W337" s="2110"/>
      <c r="X337" s="2111"/>
      <c r="Y337" s="2104"/>
      <c r="Z337" s="2104"/>
      <c r="AA337" s="2106"/>
      <c r="AB337" s="2110"/>
      <c r="AC337" s="2111"/>
      <c r="AD337" s="2104"/>
      <c r="AE337" s="2104"/>
      <c r="AF337" s="2106"/>
      <c r="AG337" s="2110"/>
      <c r="AH337" s="2111"/>
      <c r="AI337" s="2104"/>
      <c r="AJ337" s="2104"/>
      <c r="AK337" s="2038"/>
      <c r="AL337" s="2039"/>
      <c r="AM337" s="2039"/>
      <c r="AN337" s="2040"/>
      <c r="AO337" s="2008"/>
      <c r="AP337" s="2009"/>
      <c r="AQ337" s="2009"/>
      <c r="AR337" s="2010"/>
      <c r="AS337" s="651"/>
      <c r="AT337" s="652" t="str">
        <f t="shared" ref="AT337" si="3190">IF(OR(AND(D337&lt;&gt;"",OR(AND(E337&lt;&gt;"",F337&lt;&gt;"",OR(G337&lt;&gt;"",H337&lt;&gt;"")),AND(E337="",F337="バス・カメラマン等"))),AND(D337="",E337="",F337="",OR(G337="",H337=""))),"○","×")</f>
        <v>○</v>
      </c>
      <c r="AU337" s="1983" t="str">
        <f t="shared" ref="AU337" si="3191">IF(AND(E337&lt;&gt;"",E337&lt;=2),"2歳児以下","")</f>
        <v/>
      </c>
      <c r="AV337" s="1983" t="str">
        <f t="shared" ref="AV337" si="3192">IF(OR(AND(3&lt;=E337,E337&lt;=6),COUNTIF(E337, "幼*"),COUNTIF(E337, "年少"),COUNTIF(E337, "年中"),COUNTIF(E337, "年長")),"3歳-学齢前","")</f>
        <v/>
      </c>
      <c r="AW337" s="1983" t="str">
        <f t="shared" ref="AW337" si="3193">IF(OR(AND(6&lt;=E337,E337&lt;=12),COUNTIF(E337, "小*")),"小学生","")</f>
        <v/>
      </c>
      <c r="AX337" s="1983" t="str">
        <f t="shared" ref="AX337" si="3194">IF(OR(AND(12&lt;=E337,E337&lt;=15),COUNTIF(E337, "中*")),"中学生","")</f>
        <v/>
      </c>
      <c r="AY337" s="1983" t="str">
        <f t="shared" ref="AY337" si="3195">IF(OR(AND(15&lt;=E337,E337&lt;=18),COUNTIF(E337, "高*")),"高校生(～18歳)","")</f>
        <v/>
      </c>
      <c r="AZ337" s="1983" t="str">
        <f t="shared" ref="AZ337" si="3196">IF(OR(19&lt;=E337,COUNTIF(E337, "大*"),COUNTIF(E337, "*院*"),COUNTIF(E337, "*専*")),"一般(19歳～)","")</f>
        <v/>
      </c>
      <c r="BA337" s="1983" t="s">
        <v>475</v>
      </c>
      <c r="BB337" s="652" t="str">
        <f t="shared" ref="BB337" si="3197">IF(OR(AND(D337="",I337="",M337="",R337="",W337="",AB337="",AG337=""),AND(D337&lt;&gt;"",OR(I337&lt;&gt;"",M337&lt;&gt;"",R337&lt;&gt;"",W337&lt;&gt;"",AB337&lt;&gt;"",AG337&lt;&gt;""))),"○","×")</f>
        <v>○</v>
      </c>
      <c r="BC337" s="652" t="str">
        <f t="shared" ref="BC337" si="3198">IF(AND(BD337="○",BE337="○",BF337="○",BG337="○",BH337="○",BI337="○"),"○","×")</f>
        <v>○</v>
      </c>
      <c r="BD337" s="653" t="str">
        <f t="shared" ref="BD337" si="3199">IF(AND($I$7=" ",OR(I337&lt;&gt;"",K337&lt;&gt;"",L337&lt;&gt;"")),"×","○")</f>
        <v>○</v>
      </c>
      <c r="BE337" s="653" t="str">
        <f t="shared" ref="BE337" si="3200">IF(AND($M$7=" ",OR(M337&lt;&gt;"",O337&lt;&gt;"",P337&lt;&gt;"",Q337&lt;&gt;"")),"×","○")</f>
        <v>○</v>
      </c>
      <c r="BF337" s="653" t="str">
        <f t="shared" ref="BF337" si="3201">IF(AND($R$7=" ",OR(R337&lt;&gt;"",T337&lt;&gt;"",U337&lt;&gt;"",V337&lt;&gt;"")),"×","○")</f>
        <v>○</v>
      </c>
      <c r="BG337" s="653" t="str">
        <f t="shared" ref="BG337" si="3202">IF(AND($W$7=" ",OR(W337&lt;&gt;"",Y337&lt;&gt;"",Z337&lt;&gt;"",AA337&lt;&gt;"")),"×","○")</f>
        <v>○</v>
      </c>
      <c r="BH337" s="653" t="str">
        <f t="shared" ref="BH337" si="3203">IF(AND($AB$7=" ",OR(AB337&lt;&gt;"",AD337&lt;&gt;"",AE337&lt;&gt;"",AF337&lt;&gt;"")),"×","○")</f>
        <v>○</v>
      </c>
      <c r="BI337" s="653" t="str">
        <f t="shared" ref="BI337" si="3204">IF(AND($AG$7=" ",OR(AG337&lt;&gt;"",AI337&lt;&gt;"",AJ337&lt;&gt;"")),"×","○")</f>
        <v>○</v>
      </c>
      <c r="BJ337" s="2225" t="e">
        <f t="shared" ref="BJ337" si="3205">SUMPRODUCT(1/COUNTIF(I337:AH337,"宿泊"))</f>
        <v>#DIV/0!</v>
      </c>
      <c r="BK337" s="2226" t="e">
        <f t="shared" ref="BK337" si="3206">SUMPRODUCT(1/COUNTIF(I337:AH337,"日帰り"))</f>
        <v>#DIV/0!</v>
      </c>
      <c r="BL337" s="1381">
        <f t="shared" ref="BL337" si="3207">COUNT(BJ337)-COUNT(BK337)</f>
        <v>0</v>
      </c>
      <c r="BM337" s="684"/>
    </row>
    <row r="338" spans="1:65" ht="14.1" customHeight="1" x14ac:dyDescent="0.15">
      <c r="A338" s="652"/>
      <c r="B338" s="2174"/>
      <c r="C338" s="2117"/>
      <c r="D338" s="2007"/>
      <c r="E338" s="2005"/>
      <c r="F338" s="2042"/>
      <c r="G338" s="2119"/>
      <c r="H338" s="2107"/>
      <c r="I338" s="2112"/>
      <c r="J338" s="2113"/>
      <c r="K338" s="2105"/>
      <c r="L338" s="2127"/>
      <c r="M338" s="2112"/>
      <c r="N338" s="2113"/>
      <c r="O338" s="2105"/>
      <c r="P338" s="2105"/>
      <c r="Q338" s="2107"/>
      <c r="R338" s="2112"/>
      <c r="S338" s="2113"/>
      <c r="T338" s="2105"/>
      <c r="U338" s="2105"/>
      <c r="V338" s="2107"/>
      <c r="W338" s="2112"/>
      <c r="X338" s="2113"/>
      <c r="Y338" s="2105"/>
      <c r="Z338" s="2105"/>
      <c r="AA338" s="2107"/>
      <c r="AB338" s="2112"/>
      <c r="AC338" s="2113"/>
      <c r="AD338" s="2105"/>
      <c r="AE338" s="2105"/>
      <c r="AF338" s="2107"/>
      <c r="AG338" s="2112"/>
      <c r="AH338" s="2113"/>
      <c r="AI338" s="2105"/>
      <c r="AJ338" s="2105"/>
      <c r="AK338" s="2011"/>
      <c r="AL338" s="2012"/>
      <c r="AM338" s="2012"/>
      <c r="AN338" s="2013"/>
      <c r="AO338" s="2011"/>
      <c r="AP338" s="2012"/>
      <c r="AQ338" s="2012"/>
      <c r="AR338" s="2013"/>
      <c r="AS338" s="651"/>
      <c r="AT338" s="652"/>
      <c r="AU338" s="1983"/>
      <c r="AV338" s="1983"/>
      <c r="AW338" s="1983"/>
      <c r="AX338" s="1983"/>
      <c r="AY338" s="1983"/>
      <c r="AZ338" s="1983"/>
      <c r="BA338" s="1983"/>
      <c r="BB338" s="654"/>
      <c r="BC338" s="654"/>
      <c r="BD338" s="652"/>
      <c r="BE338" s="652"/>
      <c r="BF338" s="652"/>
      <c r="BG338" s="652"/>
      <c r="BH338" s="652"/>
      <c r="BI338" s="652"/>
      <c r="BJ338" s="2225"/>
      <c r="BK338" s="2226"/>
      <c r="BL338" s="1381"/>
      <c r="BM338" s="684"/>
    </row>
    <row r="339" spans="1:65" ht="14.1" customHeight="1" x14ac:dyDescent="0.15">
      <c r="A339" s="652" t="str">
        <f t="shared" ref="A339" si="3208">IF(AND(D339="",D341&lt;&gt;""),"×","○")</f>
        <v>○</v>
      </c>
      <c r="B339" s="2174" t="str">
        <f t="shared" ref="B339" si="3209">IF(AND(AT339="○",BB339="○",BC339="○",A339="○"),"○","×")</f>
        <v>○</v>
      </c>
      <c r="C339" s="2116">
        <v>163</v>
      </c>
      <c r="D339" s="2006"/>
      <c r="E339" s="2004"/>
      <c r="F339" s="2041"/>
      <c r="G339" s="2118"/>
      <c r="H339" s="2106"/>
      <c r="I339" s="2141"/>
      <c r="J339" s="2142"/>
      <c r="K339" s="2104"/>
      <c r="L339" s="2140"/>
      <c r="M339" s="2110"/>
      <c r="N339" s="2111"/>
      <c r="O339" s="2104"/>
      <c r="P339" s="2104"/>
      <c r="Q339" s="2106"/>
      <c r="R339" s="2110"/>
      <c r="S339" s="2111"/>
      <c r="T339" s="2104"/>
      <c r="U339" s="2104"/>
      <c r="V339" s="2106"/>
      <c r="W339" s="2110"/>
      <c r="X339" s="2111"/>
      <c r="Y339" s="2104"/>
      <c r="Z339" s="2104"/>
      <c r="AA339" s="2106"/>
      <c r="AB339" s="2110"/>
      <c r="AC339" s="2111"/>
      <c r="AD339" s="2104"/>
      <c r="AE339" s="2104"/>
      <c r="AF339" s="2106"/>
      <c r="AG339" s="2110"/>
      <c r="AH339" s="2111"/>
      <c r="AI339" s="2104"/>
      <c r="AJ339" s="2104"/>
      <c r="AK339" s="2038"/>
      <c r="AL339" s="2039"/>
      <c r="AM339" s="2039"/>
      <c r="AN339" s="2040"/>
      <c r="AO339" s="2008"/>
      <c r="AP339" s="2009"/>
      <c r="AQ339" s="2009"/>
      <c r="AR339" s="2010"/>
      <c r="AS339" s="651"/>
      <c r="AT339" s="652" t="str">
        <f t="shared" ref="AT339" si="3210">IF(OR(AND(D339&lt;&gt;"",OR(AND(E339&lt;&gt;"",F339&lt;&gt;"",OR(G339&lt;&gt;"",H339&lt;&gt;"")),AND(E339="",F339="バス・カメラマン等"))),AND(D339="",E339="",F339="",OR(G339="",H339=""))),"○","×")</f>
        <v>○</v>
      </c>
      <c r="AU339" s="1983" t="str">
        <f t="shared" ref="AU339" si="3211">IF(AND(E339&lt;&gt;"",E339&lt;=2),"2歳児以下","")</f>
        <v/>
      </c>
      <c r="AV339" s="1983" t="str">
        <f t="shared" ref="AV339" si="3212">IF(OR(AND(3&lt;=E339,E339&lt;=6),COUNTIF(E339, "幼*"),COUNTIF(E339, "年少"),COUNTIF(E339, "年中"),COUNTIF(E339, "年長")),"3歳-学齢前","")</f>
        <v/>
      </c>
      <c r="AW339" s="1983" t="str">
        <f t="shared" ref="AW339" si="3213">IF(OR(AND(6&lt;=E339,E339&lt;=12),COUNTIF(E339, "小*")),"小学生","")</f>
        <v/>
      </c>
      <c r="AX339" s="1983" t="str">
        <f t="shared" ref="AX339" si="3214">IF(OR(AND(12&lt;=E339,E339&lt;=15),COUNTIF(E339, "中*")),"中学生","")</f>
        <v/>
      </c>
      <c r="AY339" s="1983" t="str">
        <f t="shared" ref="AY339" si="3215">IF(OR(AND(15&lt;=E339,E339&lt;=18),COUNTIF(E339, "高*")),"高校生(～18歳)","")</f>
        <v/>
      </c>
      <c r="AZ339" s="1983" t="str">
        <f t="shared" ref="AZ339" si="3216">IF(OR(19&lt;=E339,COUNTIF(E339, "大*"),COUNTIF(E339, "*院*"),COUNTIF(E339, "*専*")),"一般(19歳～)","")</f>
        <v/>
      </c>
      <c r="BA339" s="1983" t="s">
        <v>475</v>
      </c>
      <c r="BB339" s="652" t="str">
        <f t="shared" ref="BB339" si="3217">IF(OR(AND(D339="",I339="",M339="",R339="",W339="",AB339="",AG339=""),AND(D339&lt;&gt;"",OR(I339&lt;&gt;"",M339&lt;&gt;"",R339&lt;&gt;"",W339&lt;&gt;"",AB339&lt;&gt;"",AG339&lt;&gt;""))),"○","×")</f>
        <v>○</v>
      </c>
      <c r="BC339" s="652" t="str">
        <f t="shared" ref="BC339" si="3218">IF(AND(BD339="○",BE339="○",BF339="○",BG339="○",BH339="○",BI339="○"),"○","×")</f>
        <v>○</v>
      </c>
      <c r="BD339" s="653" t="str">
        <f t="shared" ref="BD339" si="3219">IF(AND($I$7=" ",OR(I339&lt;&gt;"",K339&lt;&gt;"",L339&lt;&gt;"")),"×","○")</f>
        <v>○</v>
      </c>
      <c r="BE339" s="653" t="str">
        <f t="shared" ref="BE339" si="3220">IF(AND($M$7=" ",OR(M339&lt;&gt;"",O339&lt;&gt;"",P339&lt;&gt;"",Q339&lt;&gt;"")),"×","○")</f>
        <v>○</v>
      </c>
      <c r="BF339" s="653" t="str">
        <f t="shared" ref="BF339" si="3221">IF(AND($R$7=" ",OR(R339&lt;&gt;"",T339&lt;&gt;"",U339&lt;&gt;"",V339&lt;&gt;"")),"×","○")</f>
        <v>○</v>
      </c>
      <c r="BG339" s="653" t="str">
        <f t="shared" ref="BG339" si="3222">IF(AND($W$7=" ",OR(W339&lt;&gt;"",Y339&lt;&gt;"",Z339&lt;&gt;"",AA339&lt;&gt;"")),"×","○")</f>
        <v>○</v>
      </c>
      <c r="BH339" s="653" t="str">
        <f t="shared" ref="BH339" si="3223">IF(AND($AB$7=" ",OR(AB339&lt;&gt;"",AD339&lt;&gt;"",AE339&lt;&gt;"",AF339&lt;&gt;"")),"×","○")</f>
        <v>○</v>
      </c>
      <c r="BI339" s="653" t="str">
        <f t="shared" ref="BI339" si="3224">IF(AND($AG$7=" ",OR(AG339&lt;&gt;"",AI339&lt;&gt;"",AJ339&lt;&gt;"")),"×","○")</f>
        <v>○</v>
      </c>
      <c r="BJ339" s="2225" t="e">
        <f t="shared" ref="BJ339" si="3225">SUMPRODUCT(1/COUNTIF(I339:AH339,"宿泊"))</f>
        <v>#DIV/0!</v>
      </c>
      <c r="BK339" s="2226" t="e">
        <f t="shared" ref="BK339" si="3226">SUMPRODUCT(1/COUNTIF(I339:AH339,"日帰り"))</f>
        <v>#DIV/0!</v>
      </c>
      <c r="BL339" s="1381">
        <f t="shared" ref="BL339" si="3227">COUNT(BJ339)-COUNT(BK339)</f>
        <v>0</v>
      </c>
      <c r="BM339" s="684"/>
    </row>
    <row r="340" spans="1:65" ht="14.1" customHeight="1" x14ac:dyDescent="0.15">
      <c r="A340" s="652"/>
      <c r="B340" s="2174"/>
      <c r="C340" s="2117"/>
      <c r="D340" s="2007"/>
      <c r="E340" s="2005"/>
      <c r="F340" s="2042"/>
      <c r="G340" s="2119"/>
      <c r="H340" s="2107"/>
      <c r="I340" s="2112"/>
      <c r="J340" s="2113"/>
      <c r="K340" s="2105"/>
      <c r="L340" s="2127"/>
      <c r="M340" s="2112"/>
      <c r="N340" s="2113"/>
      <c r="O340" s="2105"/>
      <c r="P340" s="2105"/>
      <c r="Q340" s="2107"/>
      <c r="R340" s="2112"/>
      <c r="S340" s="2113"/>
      <c r="T340" s="2105"/>
      <c r="U340" s="2105"/>
      <c r="V340" s="2107"/>
      <c r="W340" s="2112"/>
      <c r="X340" s="2113"/>
      <c r="Y340" s="2105"/>
      <c r="Z340" s="2105"/>
      <c r="AA340" s="2107"/>
      <c r="AB340" s="2112"/>
      <c r="AC340" s="2113"/>
      <c r="AD340" s="2105"/>
      <c r="AE340" s="2105"/>
      <c r="AF340" s="2107"/>
      <c r="AG340" s="2112"/>
      <c r="AH340" s="2113"/>
      <c r="AI340" s="2105"/>
      <c r="AJ340" s="2105"/>
      <c r="AK340" s="2011"/>
      <c r="AL340" s="2012"/>
      <c r="AM340" s="2012"/>
      <c r="AN340" s="2013"/>
      <c r="AO340" s="2011"/>
      <c r="AP340" s="2012"/>
      <c r="AQ340" s="2012"/>
      <c r="AR340" s="2013"/>
      <c r="AS340" s="651"/>
      <c r="AT340" s="652"/>
      <c r="AU340" s="1983"/>
      <c r="AV340" s="1983"/>
      <c r="AW340" s="1983"/>
      <c r="AX340" s="1983"/>
      <c r="AY340" s="1983"/>
      <c r="AZ340" s="1983"/>
      <c r="BA340" s="1983"/>
      <c r="BB340" s="654"/>
      <c r="BC340" s="654"/>
      <c r="BD340" s="652"/>
      <c r="BE340" s="652"/>
      <c r="BF340" s="652"/>
      <c r="BG340" s="652"/>
      <c r="BH340" s="652"/>
      <c r="BI340" s="652"/>
      <c r="BJ340" s="2225"/>
      <c r="BK340" s="2226"/>
      <c r="BL340" s="1381"/>
      <c r="BM340" s="684"/>
    </row>
    <row r="341" spans="1:65" ht="14.1" customHeight="1" x14ac:dyDescent="0.15">
      <c r="A341" s="652" t="str">
        <f t="shared" ref="A341" si="3228">IF(AND(D341="",D343&lt;&gt;""),"×","○")</f>
        <v>○</v>
      </c>
      <c r="B341" s="2174" t="str">
        <f t="shared" ref="B341" si="3229">IF(AND(AT341="○",BB341="○",BC341="○",A341="○"),"○","×")</f>
        <v>○</v>
      </c>
      <c r="C341" s="2116">
        <v>164</v>
      </c>
      <c r="D341" s="2006"/>
      <c r="E341" s="2004"/>
      <c r="F341" s="2041"/>
      <c r="G341" s="2118"/>
      <c r="H341" s="2106"/>
      <c r="I341" s="2141"/>
      <c r="J341" s="2142"/>
      <c r="K341" s="2104"/>
      <c r="L341" s="2140"/>
      <c r="M341" s="2110"/>
      <c r="N341" s="2111"/>
      <c r="O341" s="2104"/>
      <c r="P341" s="2104"/>
      <c r="Q341" s="2106"/>
      <c r="R341" s="2110"/>
      <c r="S341" s="2111"/>
      <c r="T341" s="2104"/>
      <c r="U341" s="2104"/>
      <c r="V341" s="2106"/>
      <c r="W341" s="2110"/>
      <c r="X341" s="2111"/>
      <c r="Y341" s="2104"/>
      <c r="Z341" s="2104"/>
      <c r="AA341" s="2106"/>
      <c r="AB341" s="2110"/>
      <c r="AC341" s="2111"/>
      <c r="AD341" s="2104"/>
      <c r="AE341" s="2104"/>
      <c r="AF341" s="2106"/>
      <c r="AG341" s="2110"/>
      <c r="AH341" s="2111"/>
      <c r="AI341" s="2104"/>
      <c r="AJ341" s="2104"/>
      <c r="AK341" s="2038"/>
      <c r="AL341" s="2039"/>
      <c r="AM341" s="2039"/>
      <c r="AN341" s="2040"/>
      <c r="AO341" s="2008"/>
      <c r="AP341" s="2009"/>
      <c r="AQ341" s="2009"/>
      <c r="AR341" s="2010"/>
      <c r="AS341" s="651"/>
      <c r="AT341" s="652" t="str">
        <f t="shared" ref="AT341" si="3230">IF(OR(AND(D341&lt;&gt;"",OR(AND(E341&lt;&gt;"",F341&lt;&gt;"",OR(G341&lt;&gt;"",H341&lt;&gt;"")),AND(E341="",F341="バス・カメラマン等"))),AND(D341="",E341="",F341="",OR(G341="",H341=""))),"○","×")</f>
        <v>○</v>
      </c>
      <c r="AU341" s="1983" t="str">
        <f t="shared" ref="AU341" si="3231">IF(AND(E341&lt;&gt;"",E341&lt;=2),"2歳児以下","")</f>
        <v/>
      </c>
      <c r="AV341" s="1983" t="str">
        <f t="shared" ref="AV341" si="3232">IF(OR(AND(3&lt;=E341,E341&lt;=6),COUNTIF(E341, "幼*"),COUNTIF(E341, "年少"),COUNTIF(E341, "年中"),COUNTIF(E341, "年長")),"3歳-学齢前","")</f>
        <v/>
      </c>
      <c r="AW341" s="1983" t="str">
        <f t="shared" ref="AW341" si="3233">IF(OR(AND(6&lt;=E341,E341&lt;=12),COUNTIF(E341, "小*")),"小学生","")</f>
        <v/>
      </c>
      <c r="AX341" s="1983" t="str">
        <f t="shared" ref="AX341" si="3234">IF(OR(AND(12&lt;=E341,E341&lt;=15),COUNTIF(E341, "中*")),"中学生","")</f>
        <v/>
      </c>
      <c r="AY341" s="1983" t="str">
        <f t="shared" ref="AY341" si="3235">IF(OR(AND(15&lt;=E341,E341&lt;=18),COUNTIF(E341, "高*")),"高校生(～18歳)","")</f>
        <v/>
      </c>
      <c r="AZ341" s="1983" t="str">
        <f t="shared" ref="AZ341" si="3236">IF(OR(19&lt;=E341,COUNTIF(E341, "大*"),COUNTIF(E341, "*院*"),COUNTIF(E341, "*専*")),"一般(19歳～)","")</f>
        <v/>
      </c>
      <c r="BA341" s="1983" t="s">
        <v>475</v>
      </c>
      <c r="BB341" s="652" t="str">
        <f t="shared" ref="BB341" si="3237">IF(OR(AND(D341="",I341="",M341="",R341="",W341="",AB341="",AG341=""),AND(D341&lt;&gt;"",OR(I341&lt;&gt;"",M341&lt;&gt;"",R341&lt;&gt;"",W341&lt;&gt;"",AB341&lt;&gt;"",AG341&lt;&gt;""))),"○","×")</f>
        <v>○</v>
      </c>
      <c r="BC341" s="652" t="str">
        <f t="shared" ref="BC341" si="3238">IF(AND(BD341="○",BE341="○",BF341="○",BG341="○",BH341="○",BI341="○"),"○","×")</f>
        <v>○</v>
      </c>
      <c r="BD341" s="653" t="str">
        <f t="shared" ref="BD341" si="3239">IF(AND($I$7=" ",OR(I341&lt;&gt;"",K341&lt;&gt;"",L341&lt;&gt;"")),"×","○")</f>
        <v>○</v>
      </c>
      <c r="BE341" s="653" t="str">
        <f t="shared" ref="BE341" si="3240">IF(AND($M$7=" ",OR(M341&lt;&gt;"",O341&lt;&gt;"",P341&lt;&gt;"",Q341&lt;&gt;"")),"×","○")</f>
        <v>○</v>
      </c>
      <c r="BF341" s="653" t="str">
        <f t="shared" ref="BF341" si="3241">IF(AND($R$7=" ",OR(R341&lt;&gt;"",T341&lt;&gt;"",U341&lt;&gt;"",V341&lt;&gt;"")),"×","○")</f>
        <v>○</v>
      </c>
      <c r="BG341" s="653" t="str">
        <f t="shared" ref="BG341" si="3242">IF(AND($W$7=" ",OR(W341&lt;&gt;"",Y341&lt;&gt;"",Z341&lt;&gt;"",AA341&lt;&gt;"")),"×","○")</f>
        <v>○</v>
      </c>
      <c r="BH341" s="653" t="str">
        <f t="shared" ref="BH341" si="3243">IF(AND($AB$7=" ",OR(AB341&lt;&gt;"",AD341&lt;&gt;"",AE341&lt;&gt;"",AF341&lt;&gt;"")),"×","○")</f>
        <v>○</v>
      </c>
      <c r="BI341" s="653" t="str">
        <f t="shared" ref="BI341" si="3244">IF(AND($AG$7=" ",OR(AG341&lt;&gt;"",AI341&lt;&gt;"",AJ341&lt;&gt;"")),"×","○")</f>
        <v>○</v>
      </c>
      <c r="BJ341" s="2225" t="e">
        <f t="shared" ref="BJ341" si="3245">SUMPRODUCT(1/COUNTIF(I341:AH341,"宿泊"))</f>
        <v>#DIV/0!</v>
      </c>
      <c r="BK341" s="2226" t="e">
        <f t="shared" ref="BK341" si="3246">SUMPRODUCT(1/COUNTIF(I341:AH341,"日帰り"))</f>
        <v>#DIV/0!</v>
      </c>
      <c r="BL341" s="1381">
        <f t="shared" ref="BL341" si="3247">COUNT(BJ341)-COUNT(BK341)</f>
        <v>0</v>
      </c>
      <c r="BM341" s="684"/>
    </row>
    <row r="342" spans="1:65" ht="14.1" customHeight="1" x14ac:dyDescent="0.15">
      <c r="A342" s="652"/>
      <c r="B342" s="2174"/>
      <c r="C342" s="2117"/>
      <c r="D342" s="2007"/>
      <c r="E342" s="2005"/>
      <c r="F342" s="2042"/>
      <c r="G342" s="2119"/>
      <c r="H342" s="2107"/>
      <c r="I342" s="2112"/>
      <c r="J342" s="2113"/>
      <c r="K342" s="2105"/>
      <c r="L342" s="2127"/>
      <c r="M342" s="2112"/>
      <c r="N342" s="2113"/>
      <c r="O342" s="2105"/>
      <c r="P342" s="2105"/>
      <c r="Q342" s="2107"/>
      <c r="R342" s="2112"/>
      <c r="S342" s="2113"/>
      <c r="T342" s="2105"/>
      <c r="U342" s="2105"/>
      <c r="V342" s="2107"/>
      <c r="W342" s="2112"/>
      <c r="X342" s="2113"/>
      <c r="Y342" s="2105"/>
      <c r="Z342" s="2105"/>
      <c r="AA342" s="2107"/>
      <c r="AB342" s="2112"/>
      <c r="AC342" s="2113"/>
      <c r="AD342" s="2105"/>
      <c r="AE342" s="2105"/>
      <c r="AF342" s="2107"/>
      <c r="AG342" s="2112"/>
      <c r="AH342" s="2113"/>
      <c r="AI342" s="2105"/>
      <c r="AJ342" s="2105"/>
      <c r="AK342" s="2011"/>
      <c r="AL342" s="2012"/>
      <c r="AM342" s="2012"/>
      <c r="AN342" s="2013"/>
      <c r="AO342" s="2011"/>
      <c r="AP342" s="2012"/>
      <c r="AQ342" s="2012"/>
      <c r="AR342" s="2013"/>
      <c r="AS342" s="651"/>
      <c r="AT342" s="652"/>
      <c r="AU342" s="1983"/>
      <c r="AV342" s="1983"/>
      <c r="AW342" s="1983"/>
      <c r="AX342" s="1983"/>
      <c r="AY342" s="1983"/>
      <c r="AZ342" s="1983"/>
      <c r="BA342" s="1983"/>
      <c r="BB342" s="654"/>
      <c r="BC342" s="654"/>
      <c r="BD342" s="652"/>
      <c r="BE342" s="652"/>
      <c r="BF342" s="652"/>
      <c r="BG342" s="652"/>
      <c r="BH342" s="652"/>
      <c r="BI342" s="652"/>
      <c r="BJ342" s="2225"/>
      <c r="BK342" s="2226"/>
      <c r="BL342" s="1381"/>
      <c r="BM342" s="684"/>
    </row>
    <row r="343" spans="1:65" ht="14.1" customHeight="1" x14ac:dyDescent="0.15">
      <c r="A343" s="652" t="str">
        <f t="shared" ref="A343" si="3248">IF(AND(D343="",D345&lt;&gt;""),"×","○")</f>
        <v>○</v>
      </c>
      <c r="B343" s="2174" t="str">
        <f t="shared" ref="B343" si="3249">IF(AND(AT343="○",BB343="○",BC343="○",A343="○"),"○","×")</f>
        <v>○</v>
      </c>
      <c r="C343" s="2116">
        <v>165</v>
      </c>
      <c r="D343" s="2006"/>
      <c r="E343" s="2004"/>
      <c r="F343" s="2041"/>
      <c r="G343" s="2118"/>
      <c r="H343" s="2106"/>
      <c r="I343" s="2141"/>
      <c r="J343" s="2142"/>
      <c r="K343" s="2104"/>
      <c r="L343" s="2140"/>
      <c r="M343" s="2110"/>
      <c r="N343" s="2111"/>
      <c r="O343" s="2104"/>
      <c r="P343" s="2104"/>
      <c r="Q343" s="2106"/>
      <c r="R343" s="2110"/>
      <c r="S343" s="2111"/>
      <c r="T343" s="2104"/>
      <c r="U343" s="2104"/>
      <c r="V343" s="2106"/>
      <c r="W343" s="2110"/>
      <c r="X343" s="2111"/>
      <c r="Y343" s="2104"/>
      <c r="Z343" s="2104"/>
      <c r="AA343" s="2106"/>
      <c r="AB343" s="2110"/>
      <c r="AC343" s="2111"/>
      <c r="AD343" s="2104"/>
      <c r="AE343" s="2104"/>
      <c r="AF343" s="2106"/>
      <c r="AG343" s="2110"/>
      <c r="AH343" s="2111"/>
      <c r="AI343" s="2104"/>
      <c r="AJ343" s="2104"/>
      <c r="AK343" s="2038"/>
      <c r="AL343" s="2039"/>
      <c r="AM343" s="2039"/>
      <c r="AN343" s="2040"/>
      <c r="AO343" s="2008"/>
      <c r="AP343" s="2009"/>
      <c r="AQ343" s="2009"/>
      <c r="AR343" s="2010"/>
      <c r="AS343" s="651"/>
      <c r="AT343" s="652" t="str">
        <f t="shared" ref="AT343" si="3250">IF(OR(AND(D343&lt;&gt;"",OR(AND(E343&lt;&gt;"",F343&lt;&gt;"",OR(G343&lt;&gt;"",H343&lt;&gt;"")),AND(E343="",F343="バス・カメラマン等"))),AND(D343="",E343="",F343="",OR(G343="",H343=""))),"○","×")</f>
        <v>○</v>
      </c>
      <c r="AU343" s="1983" t="str">
        <f t="shared" ref="AU343" si="3251">IF(AND(E343&lt;&gt;"",E343&lt;=2),"2歳児以下","")</f>
        <v/>
      </c>
      <c r="AV343" s="1983" t="str">
        <f t="shared" ref="AV343" si="3252">IF(OR(AND(3&lt;=E343,E343&lt;=6),COUNTIF(E343, "幼*"),COUNTIF(E343, "年少"),COUNTIF(E343, "年中"),COUNTIF(E343, "年長")),"3歳-学齢前","")</f>
        <v/>
      </c>
      <c r="AW343" s="1983" t="str">
        <f t="shared" ref="AW343" si="3253">IF(OR(AND(6&lt;=E343,E343&lt;=12),COUNTIF(E343, "小*")),"小学生","")</f>
        <v/>
      </c>
      <c r="AX343" s="1983" t="str">
        <f t="shared" ref="AX343" si="3254">IF(OR(AND(12&lt;=E343,E343&lt;=15),COUNTIF(E343, "中*")),"中学生","")</f>
        <v/>
      </c>
      <c r="AY343" s="1983" t="str">
        <f t="shared" ref="AY343" si="3255">IF(OR(AND(15&lt;=E343,E343&lt;=18),COUNTIF(E343, "高*")),"高校生(～18歳)","")</f>
        <v/>
      </c>
      <c r="AZ343" s="1983" t="str">
        <f t="shared" ref="AZ343" si="3256">IF(OR(19&lt;=E343,COUNTIF(E343, "大*"),COUNTIF(E343, "*院*"),COUNTIF(E343, "*専*")),"一般(19歳～)","")</f>
        <v/>
      </c>
      <c r="BA343" s="1983" t="s">
        <v>475</v>
      </c>
      <c r="BB343" s="652" t="str">
        <f t="shared" ref="BB343" si="3257">IF(OR(AND(D343="",I343="",M343="",R343="",W343="",AB343="",AG343=""),AND(D343&lt;&gt;"",OR(I343&lt;&gt;"",M343&lt;&gt;"",R343&lt;&gt;"",W343&lt;&gt;"",AB343&lt;&gt;"",AG343&lt;&gt;""))),"○","×")</f>
        <v>○</v>
      </c>
      <c r="BC343" s="652" t="str">
        <f t="shared" ref="BC343" si="3258">IF(AND(BD343="○",BE343="○",BF343="○",BG343="○",BH343="○",BI343="○"),"○","×")</f>
        <v>○</v>
      </c>
      <c r="BD343" s="653" t="str">
        <f t="shared" ref="BD343" si="3259">IF(AND($I$7=" ",OR(I343&lt;&gt;"",K343&lt;&gt;"",L343&lt;&gt;"")),"×","○")</f>
        <v>○</v>
      </c>
      <c r="BE343" s="653" t="str">
        <f t="shared" ref="BE343" si="3260">IF(AND($M$7=" ",OR(M343&lt;&gt;"",O343&lt;&gt;"",P343&lt;&gt;"",Q343&lt;&gt;"")),"×","○")</f>
        <v>○</v>
      </c>
      <c r="BF343" s="653" t="str">
        <f t="shared" ref="BF343" si="3261">IF(AND($R$7=" ",OR(R343&lt;&gt;"",T343&lt;&gt;"",U343&lt;&gt;"",V343&lt;&gt;"")),"×","○")</f>
        <v>○</v>
      </c>
      <c r="BG343" s="653" t="str">
        <f t="shared" ref="BG343" si="3262">IF(AND($W$7=" ",OR(W343&lt;&gt;"",Y343&lt;&gt;"",Z343&lt;&gt;"",AA343&lt;&gt;"")),"×","○")</f>
        <v>○</v>
      </c>
      <c r="BH343" s="653" t="str">
        <f t="shared" ref="BH343" si="3263">IF(AND($AB$7=" ",OR(AB343&lt;&gt;"",AD343&lt;&gt;"",AE343&lt;&gt;"",AF343&lt;&gt;"")),"×","○")</f>
        <v>○</v>
      </c>
      <c r="BI343" s="653" t="str">
        <f t="shared" ref="BI343" si="3264">IF(AND($AG$7=" ",OR(AG343&lt;&gt;"",AI343&lt;&gt;"",AJ343&lt;&gt;"")),"×","○")</f>
        <v>○</v>
      </c>
      <c r="BJ343" s="2225" t="e">
        <f t="shared" ref="BJ343" si="3265">SUMPRODUCT(1/COUNTIF(I343:AH343,"宿泊"))</f>
        <v>#DIV/0!</v>
      </c>
      <c r="BK343" s="2226" t="e">
        <f t="shared" ref="BK343" si="3266">SUMPRODUCT(1/COUNTIF(I343:AH343,"日帰り"))</f>
        <v>#DIV/0!</v>
      </c>
      <c r="BL343" s="1381">
        <f t="shared" ref="BL343" si="3267">COUNT(BJ343)-COUNT(BK343)</f>
        <v>0</v>
      </c>
      <c r="BM343" s="684"/>
    </row>
    <row r="344" spans="1:65" ht="14.1" customHeight="1" x14ac:dyDescent="0.15">
      <c r="A344" s="652"/>
      <c r="B344" s="2174"/>
      <c r="C344" s="2117"/>
      <c r="D344" s="2007"/>
      <c r="E344" s="2005"/>
      <c r="F344" s="2042"/>
      <c r="G344" s="2119"/>
      <c r="H344" s="2107"/>
      <c r="I344" s="2112"/>
      <c r="J344" s="2113"/>
      <c r="K344" s="2105"/>
      <c r="L344" s="2127"/>
      <c r="M344" s="2112"/>
      <c r="N344" s="2113"/>
      <c r="O344" s="2105"/>
      <c r="P344" s="2105"/>
      <c r="Q344" s="2107"/>
      <c r="R344" s="2112"/>
      <c r="S344" s="2113"/>
      <c r="T344" s="2105"/>
      <c r="U344" s="2105"/>
      <c r="V344" s="2107"/>
      <c r="W344" s="2112"/>
      <c r="X344" s="2113"/>
      <c r="Y344" s="2105"/>
      <c r="Z344" s="2105"/>
      <c r="AA344" s="2107"/>
      <c r="AB344" s="2112"/>
      <c r="AC344" s="2113"/>
      <c r="AD344" s="2105"/>
      <c r="AE344" s="2105"/>
      <c r="AF344" s="2107"/>
      <c r="AG344" s="2112"/>
      <c r="AH344" s="2113"/>
      <c r="AI344" s="2105"/>
      <c r="AJ344" s="2105"/>
      <c r="AK344" s="2011"/>
      <c r="AL344" s="2012"/>
      <c r="AM344" s="2012"/>
      <c r="AN344" s="2013"/>
      <c r="AO344" s="2011"/>
      <c r="AP344" s="2012"/>
      <c r="AQ344" s="2012"/>
      <c r="AR344" s="2013"/>
      <c r="AS344" s="651"/>
      <c r="AT344" s="652"/>
      <c r="AU344" s="1983"/>
      <c r="AV344" s="1983"/>
      <c r="AW344" s="1983"/>
      <c r="AX344" s="1983"/>
      <c r="AY344" s="1983"/>
      <c r="AZ344" s="1983"/>
      <c r="BA344" s="1983"/>
      <c r="BB344" s="654"/>
      <c r="BC344" s="654"/>
      <c r="BD344" s="652"/>
      <c r="BE344" s="652"/>
      <c r="BF344" s="652"/>
      <c r="BG344" s="652"/>
      <c r="BH344" s="652"/>
      <c r="BI344" s="652"/>
      <c r="BJ344" s="2225"/>
      <c r="BK344" s="2226"/>
      <c r="BL344" s="1381"/>
      <c r="BM344" s="684"/>
    </row>
    <row r="345" spans="1:65" ht="14.1" customHeight="1" x14ac:dyDescent="0.15">
      <c r="A345" s="652" t="str">
        <f t="shared" ref="A345" si="3268">IF(AND(D345="",D347&lt;&gt;""),"×","○")</f>
        <v>○</v>
      </c>
      <c r="B345" s="2174" t="str">
        <f t="shared" ref="B345" si="3269">IF(AND(AT345="○",BB345="○",BC345="○",A345="○"),"○","×")</f>
        <v>○</v>
      </c>
      <c r="C345" s="2143">
        <v>166</v>
      </c>
      <c r="D345" s="2006"/>
      <c r="E345" s="2004"/>
      <c r="F345" s="2041"/>
      <c r="G345" s="2118"/>
      <c r="H345" s="2106"/>
      <c r="I345" s="2141"/>
      <c r="J345" s="2142"/>
      <c r="K345" s="2104"/>
      <c r="L345" s="2140"/>
      <c r="M345" s="2110"/>
      <c r="N345" s="2111"/>
      <c r="O345" s="2104"/>
      <c r="P345" s="2104"/>
      <c r="Q345" s="2106"/>
      <c r="R345" s="2110"/>
      <c r="S345" s="2111"/>
      <c r="T345" s="2104"/>
      <c r="U345" s="2104"/>
      <c r="V345" s="2106"/>
      <c r="W345" s="2110"/>
      <c r="X345" s="2111"/>
      <c r="Y345" s="2104"/>
      <c r="Z345" s="2104"/>
      <c r="AA345" s="2106"/>
      <c r="AB345" s="2110"/>
      <c r="AC345" s="2111"/>
      <c r="AD345" s="2104"/>
      <c r="AE345" s="2104"/>
      <c r="AF345" s="2106"/>
      <c r="AG345" s="2110"/>
      <c r="AH345" s="2111"/>
      <c r="AI345" s="2104"/>
      <c r="AJ345" s="2104"/>
      <c r="AK345" s="2038"/>
      <c r="AL345" s="2039"/>
      <c r="AM345" s="2039"/>
      <c r="AN345" s="2040"/>
      <c r="AO345" s="2008"/>
      <c r="AP345" s="2009"/>
      <c r="AQ345" s="2009"/>
      <c r="AR345" s="2010"/>
      <c r="AS345" s="651"/>
      <c r="AT345" s="652" t="str">
        <f t="shared" ref="AT345" si="3270">IF(OR(AND(D345&lt;&gt;"",OR(AND(E345&lt;&gt;"",F345&lt;&gt;"",OR(G345&lt;&gt;"",H345&lt;&gt;"")),AND(E345="",F345="バス・カメラマン等"))),AND(D345="",E345="",F345="",OR(G345="",H345=""))),"○","×")</f>
        <v>○</v>
      </c>
      <c r="AU345" s="1983" t="str">
        <f t="shared" ref="AU345" si="3271">IF(AND(E345&lt;&gt;"",E345&lt;=2),"2歳児以下","")</f>
        <v/>
      </c>
      <c r="AV345" s="1983" t="str">
        <f t="shared" ref="AV345" si="3272">IF(OR(AND(3&lt;=E345,E345&lt;=6),COUNTIF(E345, "幼*"),COUNTIF(E345, "年少"),COUNTIF(E345, "年中"),COUNTIF(E345, "年長")),"3歳-学齢前","")</f>
        <v/>
      </c>
      <c r="AW345" s="1983" t="str">
        <f t="shared" ref="AW345" si="3273">IF(OR(AND(6&lt;=E345,E345&lt;=12),COUNTIF(E345, "小*")),"小学生","")</f>
        <v/>
      </c>
      <c r="AX345" s="1983" t="str">
        <f t="shared" ref="AX345" si="3274">IF(OR(AND(12&lt;=E345,E345&lt;=15),COUNTIF(E345, "中*")),"中学生","")</f>
        <v/>
      </c>
      <c r="AY345" s="1983" t="str">
        <f t="shared" ref="AY345" si="3275">IF(OR(AND(15&lt;=E345,E345&lt;=18),COUNTIF(E345, "高*")),"高校生(～18歳)","")</f>
        <v/>
      </c>
      <c r="AZ345" s="1983" t="str">
        <f t="shared" ref="AZ345" si="3276">IF(OR(19&lt;=E345,COUNTIF(E345, "大*"),COUNTIF(E345, "*院*"),COUNTIF(E345, "*専*")),"一般(19歳～)","")</f>
        <v/>
      </c>
      <c r="BA345" s="1983" t="s">
        <v>475</v>
      </c>
      <c r="BB345" s="652" t="str">
        <f t="shared" ref="BB345" si="3277">IF(OR(AND(D345="",I345="",M345="",R345="",W345="",AB345="",AG345=""),AND(D345&lt;&gt;"",OR(I345&lt;&gt;"",M345&lt;&gt;"",R345&lt;&gt;"",W345&lt;&gt;"",AB345&lt;&gt;"",AG345&lt;&gt;""))),"○","×")</f>
        <v>○</v>
      </c>
      <c r="BC345" s="652" t="str">
        <f t="shared" ref="BC345" si="3278">IF(AND(BD345="○",BE345="○",BF345="○",BG345="○",BH345="○",BI345="○"),"○","×")</f>
        <v>○</v>
      </c>
      <c r="BD345" s="653" t="str">
        <f t="shared" ref="BD345" si="3279">IF(AND($I$7=" ",OR(I345&lt;&gt;"",K345&lt;&gt;"",L345&lt;&gt;"")),"×","○")</f>
        <v>○</v>
      </c>
      <c r="BE345" s="653" t="str">
        <f t="shared" ref="BE345" si="3280">IF(AND($M$7=" ",OR(M345&lt;&gt;"",O345&lt;&gt;"",P345&lt;&gt;"",Q345&lt;&gt;"")),"×","○")</f>
        <v>○</v>
      </c>
      <c r="BF345" s="653" t="str">
        <f t="shared" ref="BF345" si="3281">IF(AND($R$7=" ",OR(R345&lt;&gt;"",T345&lt;&gt;"",U345&lt;&gt;"",V345&lt;&gt;"")),"×","○")</f>
        <v>○</v>
      </c>
      <c r="BG345" s="653" t="str">
        <f t="shared" ref="BG345" si="3282">IF(AND($W$7=" ",OR(W345&lt;&gt;"",Y345&lt;&gt;"",Z345&lt;&gt;"",AA345&lt;&gt;"")),"×","○")</f>
        <v>○</v>
      </c>
      <c r="BH345" s="653" t="str">
        <f t="shared" ref="BH345" si="3283">IF(AND($AB$7=" ",OR(AB345&lt;&gt;"",AD345&lt;&gt;"",AE345&lt;&gt;"",AF345&lt;&gt;"")),"×","○")</f>
        <v>○</v>
      </c>
      <c r="BI345" s="653" t="str">
        <f t="shared" ref="BI345" si="3284">IF(AND($AG$7=" ",OR(AG345&lt;&gt;"",AI345&lt;&gt;"",AJ345&lt;&gt;"")),"×","○")</f>
        <v>○</v>
      </c>
      <c r="BJ345" s="2225" t="e">
        <f t="shared" ref="BJ345" si="3285">SUMPRODUCT(1/COUNTIF(I345:AH345,"宿泊"))</f>
        <v>#DIV/0!</v>
      </c>
      <c r="BK345" s="2226" t="e">
        <f t="shared" ref="BK345" si="3286">SUMPRODUCT(1/COUNTIF(I345:AH345,"日帰り"))</f>
        <v>#DIV/0!</v>
      </c>
      <c r="BL345" s="1381">
        <f t="shared" ref="BL345" si="3287">COUNT(BJ345)-COUNT(BK345)</f>
        <v>0</v>
      </c>
      <c r="BM345" s="684"/>
    </row>
    <row r="346" spans="1:65" ht="14.1" customHeight="1" x14ac:dyDescent="0.15">
      <c r="A346" s="652"/>
      <c r="B346" s="2174"/>
      <c r="C346" s="2144"/>
      <c r="D346" s="2007"/>
      <c r="E346" s="2005"/>
      <c r="F346" s="2042"/>
      <c r="G346" s="2119"/>
      <c r="H346" s="2107"/>
      <c r="I346" s="2112"/>
      <c r="J346" s="2113"/>
      <c r="K346" s="2105"/>
      <c r="L346" s="2127"/>
      <c r="M346" s="2112"/>
      <c r="N346" s="2113"/>
      <c r="O346" s="2105"/>
      <c r="P346" s="2105"/>
      <c r="Q346" s="2107"/>
      <c r="R346" s="2112"/>
      <c r="S346" s="2113"/>
      <c r="T346" s="2105"/>
      <c r="U346" s="2105"/>
      <c r="V346" s="2107"/>
      <c r="W346" s="2112"/>
      <c r="X346" s="2113"/>
      <c r="Y346" s="2105"/>
      <c r="Z346" s="2105"/>
      <c r="AA346" s="2107"/>
      <c r="AB346" s="2112"/>
      <c r="AC346" s="2113"/>
      <c r="AD346" s="2105"/>
      <c r="AE346" s="2105"/>
      <c r="AF346" s="2107"/>
      <c r="AG346" s="2112"/>
      <c r="AH346" s="2113"/>
      <c r="AI346" s="2105"/>
      <c r="AJ346" s="2105"/>
      <c r="AK346" s="2011"/>
      <c r="AL346" s="2012"/>
      <c r="AM346" s="2012"/>
      <c r="AN346" s="2013"/>
      <c r="AO346" s="2011"/>
      <c r="AP346" s="2012"/>
      <c r="AQ346" s="2012"/>
      <c r="AR346" s="2013"/>
      <c r="AS346" s="651"/>
      <c r="AT346" s="652"/>
      <c r="AU346" s="1983"/>
      <c r="AV346" s="1983"/>
      <c r="AW346" s="1983"/>
      <c r="AX346" s="1983"/>
      <c r="AY346" s="1983"/>
      <c r="AZ346" s="1983"/>
      <c r="BA346" s="1983"/>
      <c r="BB346" s="654"/>
      <c r="BC346" s="654"/>
      <c r="BD346" s="652"/>
      <c r="BE346" s="652"/>
      <c r="BF346" s="652"/>
      <c r="BG346" s="652"/>
      <c r="BH346" s="652"/>
      <c r="BI346" s="652"/>
      <c r="BJ346" s="2225"/>
      <c r="BK346" s="2226"/>
      <c r="BL346" s="1381"/>
      <c r="BM346" s="684"/>
    </row>
    <row r="347" spans="1:65" ht="14.1" customHeight="1" x14ac:dyDescent="0.15">
      <c r="A347" s="652" t="str">
        <f t="shared" ref="A347" si="3288">IF(AND(D347="",D349&lt;&gt;""),"×","○")</f>
        <v>○</v>
      </c>
      <c r="B347" s="2174" t="str">
        <f t="shared" ref="B347" si="3289">IF(AND(AT347="○",BB347="○",BC347="○",A347="○"),"○","×")</f>
        <v>○</v>
      </c>
      <c r="C347" s="2143">
        <v>167</v>
      </c>
      <c r="D347" s="2006"/>
      <c r="E347" s="2004"/>
      <c r="F347" s="2041"/>
      <c r="G347" s="2118"/>
      <c r="H347" s="2106"/>
      <c r="I347" s="2141"/>
      <c r="J347" s="2142"/>
      <c r="K347" s="2104"/>
      <c r="L347" s="2140"/>
      <c r="M347" s="2110"/>
      <c r="N347" s="2111"/>
      <c r="O347" s="2104"/>
      <c r="P347" s="2104"/>
      <c r="Q347" s="2106"/>
      <c r="R347" s="2110"/>
      <c r="S347" s="2111"/>
      <c r="T347" s="2104"/>
      <c r="U347" s="2104"/>
      <c r="V347" s="2106"/>
      <c r="W347" s="2110"/>
      <c r="X347" s="2111"/>
      <c r="Y347" s="2104"/>
      <c r="Z347" s="2104"/>
      <c r="AA347" s="2106"/>
      <c r="AB347" s="2110"/>
      <c r="AC347" s="2111"/>
      <c r="AD347" s="2104"/>
      <c r="AE347" s="2104"/>
      <c r="AF347" s="2106"/>
      <c r="AG347" s="2110"/>
      <c r="AH347" s="2111"/>
      <c r="AI347" s="2104"/>
      <c r="AJ347" s="2104"/>
      <c r="AK347" s="2038"/>
      <c r="AL347" s="2039"/>
      <c r="AM347" s="2039"/>
      <c r="AN347" s="2040"/>
      <c r="AO347" s="2008"/>
      <c r="AP347" s="2009"/>
      <c r="AQ347" s="2009"/>
      <c r="AR347" s="2010"/>
      <c r="AS347" s="651"/>
      <c r="AT347" s="652" t="str">
        <f t="shared" ref="AT347" si="3290">IF(OR(AND(D347&lt;&gt;"",OR(AND(E347&lt;&gt;"",F347&lt;&gt;"",OR(G347&lt;&gt;"",H347&lt;&gt;"")),AND(E347="",F347="バス・カメラマン等"))),AND(D347="",E347="",F347="",OR(G347="",H347=""))),"○","×")</f>
        <v>○</v>
      </c>
      <c r="AU347" s="1983" t="str">
        <f t="shared" ref="AU347" si="3291">IF(AND(E347&lt;&gt;"",E347&lt;=2),"2歳児以下","")</f>
        <v/>
      </c>
      <c r="AV347" s="1983" t="str">
        <f t="shared" ref="AV347" si="3292">IF(OR(AND(3&lt;=E347,E347&lt;=6),COUNTIF(E347, "幼*"),COUNTIF(E347, "年少"),COUNTIF(E347, "年中"),COUNTIF(E347, "年長")),"3歳-学齢前","")</f>
        <v/>
      </c>
      <c r="AW347" s="1983" t="str">
        <f t="shared" ref="AW347" si="3293">IF(OR(AND(6&lt;=E347,E347&lt;=12),COUNTIF(E347, "小*")),"小学生","")</f>
        <v/>
      </c>
      <c r="AX347" s="1983" t="str">
        <f t="shared" ref="AX347" si="3294">IF(OR(AND(12&lt;=E347,E347&lt;=15),COUNTIF(E347, "中*")),"中学生","")</f>
        <v/>
      </c>
      <c r="AY347" s="1983" t="str">
        <f t="shared" ref="AY347" si="3295">IF(OR(AND(15&lt;=E347,E347&lt;=18),COUNTIF(E347, "高*")),"高校生(～18歳)","")</f>
        <v/>
      </c>
      <c r="AZ347" s="1983" t="str">
        <f t="shared" ref="AZ347" si="3296">IF(OR(19&lt;=E347,COUNTIF(E347, "大*"),COUNTIF(E347, "*院*"),COUNTIF(E347, "*専*")),"一般(19歳～)","")</f>
        <v/>
      </c>
      <c r="BA347" s="1983" t="s">
        <v>475</v>
      </c>
      <c r="BB347" s="652" t="str">
        <f t="shared" ref="BB347" si="3297">IF(OR(AND(D347="",I347="",M347="",R347="",W347="",AB347="",AG347=""),AND(D347&lt;&gt;"",OR(I347&lt;&gt;"",M347&lt;&gt;"",R347&lt;&gt;"",W347&lt;&gt;"",AB347&lt;&gt;"",AG347&lt;&gt;""))),"○","×")</f>
        <v>○</v>
      </c>
      <c r="BC347" s="652" t="str">
        <f t="shared" ref="BC347" si="3298">IF(AND(BD347="○",BE347="○",BF347="○",BG347="○",BH347="○",BI347="○"),"○","×")</f>
        <v>○</v>
      </c>
      <c r="BD347" s="653" t="str">
        <f t="shared" ref="BD347" si="3299">IF(AND($I$7=" ",OR(I347&lt;&gt;"",K347&lt;&gt;"",L347&lt;&gt;"")),"×","○")</f>
        <v>○</v>
      </c>
      <c r="BE347" s="653" t="str">
        <f t="shared" ref="BE347" si="3300">IF(AND($M$7=" ",OR(M347&lt;&gt;"",O347&lt;&gt;"",P347&lt;&gt;"",Q347&lt;&gt;"")),"×","○")</f>
        <v>○</v>
      </c>
      <c r="BF347" s="653" t="str">
        <f t="shared" ref="BF347" si="3301">IF(AND($R$7=" ",OR(R347&lt;&gt;"",T347&lt;&gt;"",U347&lt;&gt;"",V347&lt;&gt;"")),"×","○")</f>
        <v>○</v>
      </c>
      <c r="BG347" s="653" t="str">
        <f t="shared" ref="BG347" si="3302">IF(AND($W$7=" ",OR(W347&lt;&gt;"",Y347&lt;&gt;"",Z347&lt;&gt;"",AA347&lt;&gt;"")),"×","○")</f>
        <v>○</v>
      </c>
      <c r="BH347" s="653" t="str">
        <f t="shared" ref="BH347" si="3303">IF(AND($AB$7=" ",OR(AB347&lt;&gt;"",AD347&lt;&gt;"",AE347&lt;&gt;"",AF347&lt;&gt;"")),"×","○")</f>
        <v>○</v>
      </c>
      <c r="BI347" s="653" t="str">
        <f t="shared" ref="BI347" si="3304">IF(AND($AG$7=" ",OR(AG347&lt;&gt;"",AI347&lt;&gt;"",AJ347&lt;&gt;"")),"×","○")</f>
        <v>○</v>
      </c>
      <c r="BJ347" s="2225" t="e">
        <f t="shared" ref="BJ347" si="3305">SUMPRODUCT(1/COUNTIF(I347:AH347,"宿泊"))</f>
        <v>#DIV/0!</v>
      </c>
      <c r="BK347" s="2226" t="e">
        <f t="shared" ref="BK347" si="3306">SUMPRODUCT(1/COUNTIF(I347:AH347,"日帰り"))</f>
        <v>#DIV/0!</v>
      </c>
      <c r="BL347" s="1381">
        <f t="shared" ref="BL347" si="3307">COUNT(BJ347)-COUNT(BK347)</f>
        <v>0</v>
      </c>
      <c r="BM347" s="684"/>
    </row>
    <row r="348" spans="1:65" ht="14.1" customHeight="1" x14ac:dyDescent="0.15">
      <c r="A348" s="652"/>
      <c r="B348" s="2174"/>
      <c r="C348" s="2144"/>
      <c r="D348" s="2007"/>
      <c r="E348" s="2005"/>
      <c r="F348" s="2042"/>
      <c r="G348" s="2119"/>
      <c r="H348" s="2107"/>
      <c r="I348" s="2112"/>
      <c r="J348" s="2113"/>
      <c r="K348" s="2105"/>
      <c r="L348" s="2127"/>
      <c r="M348" s="2112"/>
      <c r="N348" s="2113"/>
      <c r="O348" s="2105"/>
      <c r="P348" s="2105"/>
      <c r="Q348" s="2107"/>
      <c r="R348" s="2112"/>
      <c r="S348" s="2113"/>
      <c r="T348" s="2105"/>
      <c r="U348" s="2105"/>
      <c r="V348" s="2107"/>
      <c r="W348" s="2112"/>
      <c r="X348" s="2113"/>
      <c r="Y348" s="2105"/>
      <c r="Z348" s="2105"/>
      <c r="AA348" s="2107"/>
      <c r="AB348" s="2112"/>
      <c r="AC348" s="2113"/>
      <c r="AD348" s="2105"/>
      <c r="AE348" s="2105"/>
      <c r="AF348" s="2107"/>
      <c r="AG348" s="2112"/>
      <c r="AH348" s="2113"/>
      <c r="AI348" s="2105"/>
      <c r="AJ348" s="2105"/>
      <c r="AK348" s="2011"/>
      <c r="AL348" s="2012"/>
      <c r="AM348" s="2012"/>
      <c r="AN348" s="2013"/>
      <c r="AO348" s="2011"/>
      <c r="AP348" s="2012"/>
      <c r="AQ348" s="2012"/>
      <c r="AR348" s="2013"/>
      <c r="AS348" s="651"/>
      <c r="AT348" s="652"/>
      <c r="AU348" s="1983"/>
      <c r="AV348" s="1983"/>
      <c r="AW348" s="1983"/>
      <c r="AX348" s="1983"/>
      <c r="AY348" s="1983"/>
      <c r="AZ348" s="1983"/>
      <c r="BA348" s="1983"/>
      <c r="BB348" s="654"/>
      <c r="BC348" s="654"/>
      <c r="BD348" s="652"/>
      <c r="BE348" s="652"/>
      <c r="BF348" s="652"/>
      <c r="BG348" s="652"/>
      <c r="BH348" s="652"/>
      <c r="BI348" s="652"/>
      <c r="BJ348" s="2225"/>
      <c r="BK348" s="2226"/>
      <c r="BL348" s="1381"/>
      <c r="BM348" s="684"/>
    </row>
    <row r="349" spans="1:65" ht="14.1" customHeight="1" x14ac:dyDescent="0.15">
      <c r="A349" s="652" t="str">
        <f t="shared" ref="A349" si="3308">IF(AND(D349="",D351&lt;&gt;""),"×","○")</f>
        <v>○</v>
      </c>
      <c r="B349" s="2174" t="str">
        <f t="shared" ref="B349" si="3309">IF(AND(AT349="○",BB349="○",BC349="○",A349="○"),"○","×")</f>
        <v>○</v>
      </c>
      <c r="C349" s="2143">
        <v>168</v>
      </c>
      <c r="D349" s="2006"/>
      <c r="E349" s="2004"/>
      <c r="F349" s="2041"/>
      <c r="G349" s="2118"/>
      <c r="H349" s="2106"/>
      <c r="I349" s="2141"/>
      <c r="J349" s="2142"/>
      <c r="K349" s="2104"/>
      <c r="L349" s="2140"/>
      <c r="M349" s="2110"/>
      <c r="N349" s="2111"/>
      <c r="O349" s="2104"/>
      <c r="P349" s="2104"/>
      <c r="Q349" s="2106"/>
      <c r="R349" s="2110"/>
      <c r="S349" s="2111"/>
      <c r="T349" s="2104"/>
      <c r="U349" s="2104"/>
      <c r="V349" s="2106"/>
      <c r="W349" s="2110"/>
      <c r="X349" s="2111"/>
      <c r="Y349" s="2104"/>
      <c r="Z349" s="2104"/>
      <c r="AA349" s="2106"/>
      <c r="AB349" s="2110"/>
      <c r="AC349" s="2111"/>
      <c r="AD349" s="2104"/>
      <c r="AE349" s="2104"/>
      <c r="AF349" s="2106"/>
      <c r="AG349" s="2110"/>
      <c r="AH349" s="2111"/>
      <c r="AI349" s="2104"/>
      <c r="AJ349" s="2104"/>
      <c r="AK349" s="2038"/>
      <c r="AL349" s="2039"/>
      <c r="AM349" s="2039"/>
      <c r="AN349" s="2040"/>
      <c r="AO349" s="2008"/>
      <c r="AP349" s="2009"/>
      <c r="AQ349" s="2009"/>
      <c r="AR349" s="2010"/>
      <c r="AS349" s="651"/>
      <c r="AT349" s="652" t="str">
        <f t="shared" ref="AT349" si="3310">IF(OR(AND(D349&lt;&gt;"",OR(AND(E349&lt;&gt;"",F349&lt;&gt;"",OR(G349&lt;&gt;"",H349&lt;&gt;"")),AND(E349="",F349="バス・カメラマン等"))),AND(D349="",E349="",F349="",OR(G349="",H349=""))),"○","×")</f>
        <v>○</v>
      </c>
      <c r="AU349" s="1983" t="str">
        <f t="shared" ref="AU349" si="3311">IF(AND(E349&lt;&gt;"",E349&lt;=2),"2歳児以下","")</f>
        <v/>
      </c>
      <c r="AV349" s="1983" t="str">
        <f t="shared" ref="AV349" si="3312">IF(OR(AND(3&lt;=E349,E349&lt;=6),COUNTIF(E349, "幼*"),COUNTIF(E349, "年少"),COUNTIF(E349, "年中"),COUNTIF(E349, "年長")),"3歳-学齢前","")</f>
        <v/>
      </c>
      <c r="AW349" s="1983" t="str">
        <f t="shared" ref="AW349" si="3313">IF(OR(AND(6&lt;=E349,E349&lt;=12),COUNTIF(E349, "小*")),"小学生","")</f>
        <v/>
      </c>
      <c r="AX349" s="1983" t="str">
        <f t="shared" ref="AX349" si="3314">IF(OR(AND(12&lt;=E349,E349&lt;=15),COUNTIF(E349, "中*")),"中学生","")</f>
        <v/>
      </c>
      <c r="AY349" s="1983" t="str">
        <f t="shared" ref="AY349" si="3315">IF(OR(AND(15&lt;=E349,E349&lt;=18),COUNTIF(E349, "高*")),"高校生(～18歳)","")</f>
        <v/>
      </c>
      <c r="AZ349" s="1983" t="str">
        <f t="shared" ref="AZ349" si="3316">IF(OR(19&lt;=E349,COUNTIF(E349, "大*"),COUNTIF(E349, "*院*"),COUNTIF(E349, "*専*")),"一般(19歳～)","")</f>
        <v/>
      </c>
      <c r="BA349" s="1983" t="s">
        <v>475</v>
      </c>
      <c r="BB349" s="652" t="str">
        <f t="shared" ref="BB349" si="3317">IF(OR(AND(D349="",I349="",M349="",R349="",W349="",AB349="",AG349=""),AND(D349&lt;&gt;"",OR(I349&lt;&gt;"",M349&lt;&gt;"",R349&lt;&gt;"",W349&lt;&gt;"",AB349&lt;&gt;"",AG349&lt;&gt;""))),"○","×")</f>
        <v>○</v>
      </c>
      <c r="BC349" s="652" t="str">
        <f t="shared" ref="BC349" si="3318">IF(AND(BD349="○",BE349="○",BF349="○",BG349="○",BH349="○",BI349="○"),"○","×")</f>
        <v>○</v>
      </c>
      <c r="BD349" s="653" t="str">
        <f t="shared" ref="BD349" si="3319">IF(AND($I$7=" ",OR(I349&lt;&gt;"",K349&lt;&gt;"",L349&lt;&gt;"")),"×","○")</f>
        <v>○</v>
      </c>
      <c r="BE349" s="653" t="str">
        <f t="shared" ref="BE349" si="3320">IF(AND($M$7=" ",OR(M349&lt;&gt;"",O349&lt;&gt;"",P349&lt;&gt;"",Q349&lt;&gt;"")),"×","○")</f>
        <v>○</v>
      </c>
      <c r="BF349" s="653" t="str">
        <f t="shared" ref="BF349" si="3321">IF(AND($R$7=" ",OR(R349&lt;&gt;"",T349&lt;&gt;"",U349&lt;&gt;"",V349&lt;&gt;"")),"×","○")</f>
        <v>○</v>
      </c>
      <c r="BG349" s="653" t="str">
        <f t="shared" ref="BG349" si="3322">IF(AND($W$7=" ",OR(W349&lt;&gt;"",Y349&lt;&gt;"",Z349&lt;&gt;"",AA349&lt;&gt;"")),"×","○")</f>
        <v>○</v>
      </c>
      <c r="BH349" s="653" t="str">
        <f t="shared" ref="BH349" si="3323">IF(AND($AB$7=" ",OR(AB349&lt;&gt;"",AD349&lt;&gt;"",AE349&lt;&gt;"",AF349&lt;&gt;"")),"×","○")</f>
        <v>○</v>
      </c>
      <c r="BI349" s="653" t="str">
        <f t="shared" ref="BI349" si="3324">IF(AND($AG$7=" ",OR(AG349&lt;&gt;"",AI349&lt;&gt;"",AJ349&lt;&gt;"")),"×","○")</f>
        <v>○</v>
      </c>
      <c r="BJ349" s="2225" t="e">
        <f t="shared" ref="BJ349" si="3325">SUMPRODUCT(1/COUNTIF(I349:AH349,"宿泊"))</f>
        <v>#DIV/0!</v>
      </c>
      <c r="BK349" s="2226" t="e">
        <f t="shared" ref="BK349" si="3326">SUMPRODUCT(1/COUNTIF(I349:AH349,"日帰り"))</f>
        <v>#DIV/0!</v>
      </c>
      <c r="BL349" s="1381">
        <f t="shared" ref="BL349" si="3327">COUNT(BJ349)-COUNT(BK349)</f>
        <v>0</v>
      </c>
      <c r="BM349" s="684"/>
    </row>
    <row r="350" spans="1:65" ht="14.1" customHeight="1" x14ac:dyDescent="0.15">
      <c r="A350" s="652"/>
      <c r="B350" s="2174"/>
      <c r="C350" s="2144"/>
      <c r="D350" s="2007"/>
      <c r="E350" s="2005"/>
      <c r="F350" s="2042"/>
      <c r="G350" s="2119"/>
      <c r="H350" s="2107"/>
      <c r="I350" s="2112"/>
      <c r="J350" s="2113"/>
      <c r="K350" s="2105"/>
      <c r="L350" s="2127"/>
      <c r="M350" s="2112"/>
      <c r="N350" s="2113"/>
      <c r="O350" s="2105"/>
      <c r="P350" s="2105"/>
      <c r="Q350" s="2107"/>
      <c r="R350" s="2112"/>
      <c r="S350" s="2113"/>
      <c r="T350" s="2105"/>
      <c r="U350" s="2105"/>
      <c r="V350" s="2107"/>
      <c r="W350" s="2112"/>
      <c r="X350" s="2113"/>
      <c r="Y350" s="2105"/>
      <c r="Z350" s="2105"/>
      <c r="AA350" s="2107"/>
      <c r="AB350" s="2112"/>
      <c r="AC350" s="2113"/>
      <c r="AD350" s="2105"/>
      <c r="AE350" s="2105"/>
      <c r="AF350" s="2107"/>
      <c r="AG350" s="2112"/>
      <c r="AH350" s="2113"/>
      <c r="AI350" s="2105"/>
      <c r="AJ350" s="2105"/>
      <c r="AK350" s="2011"/>
      <c r="AL350" s="2012"/>
      <c r="AM350" s="2012"/>
      <c r="AN350" s="2013"/>
      <c r="AO350" s="2011"/>
      <c r="AP350" s="2012"/>
      <c r="AQ350" s="2012"/>
      <c r="AR350" s="2013"/>
      <c r="AS350" s="651"/>
      <c r="AT350" s="652"/>
      <c r="AU350" s="1983"/>
      <c r="AV350" s="1983"/>
      <c r="AW350" s="1983"/>
      <c r="AX350" s="1983"/>
      <c r="AY350" s="1983"/>
      <c r="AZ350" s="1983"/>
      <c r="BA350" s="1983"/>
      <c r="BB350" s="654"/>
      <c r="BC350" s="654"/>
      <c r="BD350" s="652"/>
      <c r="BE350" s="652"/>
      <c r="BF350" s="652"/>
      <c r="BG350" s="652"/>
      <c r="BH350" s="652"/>
      <c r="BI350" s="652"/>
      <c r="BJ350" s="2225"/>
      <c r="BK350" s="2226"/>
      <c r="BL350" s="1381"/>
      <c r="BM350" s="684"/>
    </row>
    <row r="351" spans="1:65" ht="14.1" customHeight="1" x14ac:dyDescent="0.15">
      <c r="A351" s="652" t="str">
        <f t="shared" ref="A351" si="3328">IF(AND(D351="",D353&lt;&gt;""),"×","○")</f>
        <v>○</v>
      </c>
      <c r="B351" s="2174" t="str">
        <f t="shared" ref="B351" si="3329">IF(AND(AT351="○",BB351="○",BC351="○",A351="○"),"○","×")</f>
        <v>○</v>
      </c>
      <c r="C351" s="2143">
        <v>169</v>
      </c>
      <c r="D351" s="2006"/>
      <c r="E351" s="2004"/>
      <c r="F351" s="2041"/>
      <c r="G351" s="2118"/>
      <c r="H351" s="2106"/>
      <c r="I351" s="2141"/>
      <c r="J351" s="2142"/>
      <c r="K351" s="2104"/>
      <c r="L351" s="2140"/>
      <c r="M351" s="2110"/>
      <c r="N351" s="2111"/>
      <c r="O351" s="2104"/>
      <c r="P351" s="2104"/>
      <c r="Q351" s="2106"/>
      <c r="R351" s="2110"/>
      <c r="S351" s="2111"/>
      <c r="T351" s="2104"/>
      <c r="U351" s="2104"/>
      <c r="V351" s="2106"/>
      <c r="W351" s="2110"/>
      <c r="X351" s="2111"/>
      <c r="Y351" s="2104"/>
      <c r="Z351" s="2104"/>
      <c r="AA351" s="2106"/>
      <c r="AB351" s="2110"/>
      <c r="AC351" s="2111"/>
      <c r="AD351" s="2104"/>
      <c r="AE351" s="2104"/>
      <c r="AF351" s="2106"/>
      <c r="AG351" s="2110"/>
      <c r="AH351" s="2111"/>
      <c r="AI351" s="2104"/>
      <c r="AJ351" s="2104"/>
      <c r="AK351" s="2038"/>
      <c r="AL351" s="2039"/>
      <c r="AM351" s="2039"/>
      <c r="AN351" s="2040"/>
      <c r="AO351" s="2008"/>
      <c r="AP351" s="2009"/>
      <c r="AQ351" s="2009"/>
      <c r="AR351" s="2010"/>
      <c r="AS351" s="651"/>
      <c r="AT351" s="652" t="str">
        <f t="shared" ref="AT351" si="3330">IF(OR(AND(D351&lt;&gt;"",OR(AND(E351&lt;&gt;"",F351&lt;&gt;"",OR(G351&lt;&gt;"",H351&lt;&gt;"")),AND(E351="",F351="バス・カメラマン等"))),AND(D351="",E351="",F351="",OR(G351="",H351=""))),"○","×")</f>
        <v>○</v>
      </c>
      <c r="AU351" s="1983" t="str">
        <f t="shared" ref="AU351" si="3331">IF(AND(E351&lt;&gt;"",E351&lt;=2),"2歳児以下","")</f>
        <v/>
      </c>
      <c r="AV351" s="1983" t="str">
        <f t="shared" ref="AV351" si="3332">IF(OR(AND(3&lt;=E351,E351&lt;=6),COUNTIF(E351, "幼*"),COUNTIF(E351, "年少"),COUNTIF(E351, "年中"),COUNTIF(E351, "年長")),"3歳-学齢前","")</f>
        <v/>
      </c>
      <c r="AW351" s="1983" t="str">
        <f t="shared" ref="AW351" si="3333">IF(OR(AND(6&lt;=E351,E351&lt;=12),COUNTIF(E351, "小*")),"小学生","")</f>
        <v/>
      </c>
      <c r="AX351" s="1983" t="str">
        <f t="shared" ref="AX351" si="3334">IF(OR(AND(12&lt;=E351,E351&lt;=15),COUNTIF(E351, "中*")),"中学生","")</f>
        <v/>
      </c>
      <c r="AY351" s="1983" t="str">
        <f t="shared" ref="AY351" si="3335">IF(OR(AND(15&lt;=E351,E351&lt;=18),COUNTIF(E351, "高*")),"高校生(～18歳)","")</f>
        <v/>
      </c>
      <c r="AZ351" s="1983" t="str">
        <f t="shared" ref="AZ351" si="3336">IF(OR(19&lt;=E351,COUNTIF(E351, "大*"),COUNTIF(E351, "*院*"),COUNTIF(E351, "*専*")),"一般(19歳～)","")</f>
        <v/>
      </c>
      <c r="BA351" s="1983" t="s">
        <v>475</v>
      </c>
      <c r="BB351" s="652" t="str">
        <f t="shared" ref="BB351" si="3337">IF(OR(AND(D351="",I351="",M351="",R351="",W351="",AB351="",AG351=""),AND(D351&lt;&gt;"",OR(I351&lt;&gt;"",M351&lt;&gt;"",R351&lt;&gt;"",W351&lt;&gt;"",AB351&lt;&gt;"",AG351&lt;&gt;""))),"○","×")</f>
        <v>○</v>
      </c>
      <c r="BC351" s="652" t="str">
        <f t="shared" ref="BC351" si="3338">IF(AND(BD351="○",BE351="○",BF351="○",BG351="○",BH351="○",BI351="○"),"○","×")</f>
        <v>○</v>
      </c>
      <c r="BD351" s="653" t="str">
        <f t="shared" ref="BD351" si="3339">IF(AND($I$7=" ",OR(I351&lt;&gt;"",K351&lt;&gt;"",L351&lt;&gt;"")),"×","○")</f>
        <v>○</v>
      </c>
      <c r="BE351" s="653" t="str">
        <f t="shared" ref="BE351" si="3340">IF(AND($M$7=" ",OR(M351&lt;&gt;"",O351&lt;&gt;"",P351&lt;&gt;"",Q351&lt;&gt;"")),"×","○")</f>
        <v>○</v>
      </c>
      <c r="BF351" s="653" t="str">
        <f t="shared" ref="BF351" si="3341">IF(AND($R$7=" ",OR(R351&lt;&gt;"",T351&lt;&gt;"",U351&lt;&gt;"",V351&lt;&gt;"")),"×","○")</f>
        <v>○</v>
      </c>
      <c r="BG351" s="653" t="str">
        <f t="shared" ref="BG351" si="3342">IF(AND($W$7=" ",OR(W351&lt;&gt;"",Y351&lt;&gt;"",Z351&lt;&gt;"",AA351&lt;&gt;"")),"×","○")</f>
        <v>○</v>
      </c>
      <c r="BH351" s="653" t="str">
        <f t="shared" ref="BH351" si="3343">IF(AND($AB$7=" ",OR(AB351&lt;&gt;"",AD351&lt;&gt;"",AE351&lt;&gt;"",AF351&lt;&gt;"")),"×","○")</f>
        <v>○</v>
      </c>
      <c r="BI351" s="653" t="str">
        <f t="shared" ref="BI351" si="3344">IF(AND($AG$7=" ",OR(AG351&lt;&gt;"",AI351&lt;&gt;"",AJ351&lt;&gt;"")),"×","○")</f>
        <v>○</v>
      </c>
      <c r="BJ351" s="2225" t="e">
        <f t="shared" ref="BJ351" si="3345">SUMPRODUCT(1/COUNTIF(I351:AH351,"宿泊"))</f>
        <v>#DIV/0!</v>
      </c>
      <c r="BK351" s="2226" t="e">
        <f t="shared" ref="BK351" si="3346">SUMPRODUCT(1/COUNTIF(I351:AH351,"日帰り"))</f>
        <v>#DIV/0!</v>
      </c>
      <c r="BL351" s="1381">
        <f t="shared" ref="BL351" si="3347">COUNT(BJ351)-COUNT(BK351)</f>
        <v>0</v>
      </c>
      <c r="BM351" s="684"/>
    </row>
    <row r="352" spans="1:65" ht="14.1" customHeight="1" x14ac:dyDescent="0.15">
      <c r="A352" s="652"/>
      <c r="B352" s="2174"/>
      <c r="C352" s="2144"/>
      <c r="D352" s="2007"/>
      <c r="E352" s="2005"/>
      <c r="F352" s="2042"/>
      <c r="G352" s="2119"/>
      <c r="H352" s="2107"/>
      <c r="I352" s="2112"/>
      <c r="J352" s="2113"/>
      <c r="K352" s="2105"/>
      <c r="L352" s="2127"/>
      <c r="M352" s="2112"/>
      <c r="N352" s="2113"/>
      <c r="O352" s="2105"/>
      <c r="P352" s="2105"/>
      <c r="Q352" s="2107"/>
      <c r="R352" s="2112"/>
      <c r="S352" s="2113"/>
      <c r="T352" s="2105"/>
      <c r="U352" s="2105"/>
      <c r="V352" s="2107"/>
      <c r="W352" s="2112"/>
      <c r="X352" s="2113"/>
      <c r="Y352" s="2105"/>
      <c r="Z352" s="2105"/>
      <c r="AA352" s="2107"/>
      <c r="AB352" s="2112"/>
      <c r="AC352" s="2113"/>
      <c r="AD352" s="2105"/>
      <c r="AE352" s="2105"/>
      <c r="AF352" s="2107"/>
      <c r="AG352" s="2112"/>
      <c r="AH352" s="2113"/>
      <c r="AI352" s="2105"/>
      <c r="AJ352" s="2105"/>
      <c r="AK352" s="2011"/>
      <c r="AL352" s="2012"/>
      <c r="AM352" s="2012"/>
      <c r="AN352" s="2013"/>
      <c r="AO352" s="2011"/>
      <c r="AP352" s="2012"/>
      <c r="AQ352" s="2012"/>
      <c r="AR352" s="2013"/>
      <c r="AS352" s="651"/>
      <c r="AT352" s="652"/>
      <c r="AU352" s="1983"/>
      <c r="AV352" s="1983"/>
      <c r="AW352" s="1983"/>
      <c r="AX352" s="1983"/>
      <c r="AY352" s="1983"/>
      <c r="AZ352" s="1983"/>
      <c r="BA352" s="1983"/>
      <c r="BB352" s="654"/>
      <c r="BC352" s="654"/>
      <c r="BD352" s="652"/>
      <c r="BE352" s="652"/>
      <c r="BF352" s="652"/>
      <c r="BG352" s="652"/>
      <c r="BH352" s="652"/>
      <c r="BI352" s="652"/>
      <c r="BJ352" s="2225"/>
      <c r="BK352" s="2226"/>
      <c r="BL352" s="1381"/>
      <c r="BM352" s="684"/>
    </row>
    <row r="353" spans="1:65" ht="14.1" customHeight="1" x14ac:dyDescent="0.15">
      <c r="A353" s="652" t="str">
        <f t="shared" ref="A353" si="3348">IF(AND(D353="",D355&lt;&gt;""),"×","○")</f>
        <v>○</v>
      </c>
      <c r="B353" s="2174" t="str">
        <f t="shared" ref="B353" si="3349">IF(AND(AT353="○",BB353="○",BC353="○",A353="○"),"○","×")</f>
        <v>○</v>
      </c>
      <c r="C353" s="2143">
        <v>170</v>
      </c>
      <c r="D353" s="2006"/>
      <c r="E353" s="2004"/>
      <c r="F353" s="2041"/>
      <c r="G353" s="2118"/>
      <c r="H353" s="2106"/>
      <c r="I353" s="2141"/>
      <c r="J353" s="2142"/>
      <c r="K353" s="2104"/>
      <c r="L353" s="2140"/>
      <c r="M353" s="2110"/>
      <c r="N353" s="2111"/>
      <c r="O353" s="2104"/>
      <c r="P353" s="2104"/>
      <c r="Q353" s="2106"/>
      <c r="R353" s="2110"/>
      <c r="S353" s="2111"/>
      <c r="T353" s="2104"/>
      <c r="U353" s="2104"/>
      <c r="V353" s="2106"/>
      <c r="W353" s="2110"/>
      <c r="X353" s="2111"/>
      <c r="Y353" s="2104"/>
      <c r="Z353" s="2104"/>
      <c r="AA353" s="2106"/>
      <c r="AB353" s="2110"/>
      <c r="AC353" s="2111"/>
      <c r="AD353" s="2104"/>
      <c r="AE353" s="2104"/>
      <c r="AF353" s="2106"/>
      <c r="AG353" s="2110"/>
      <c r="AH353" s="2111"/>
      <c r="AI353" s="2104"/>
      <c r="AJ353" s="2104"/>
      <c r="AK353" s="2038"/>
      <c r="AL353" s="2039"/>
      <c r="AM353" s="2039"/>
      <c r="AN353" s="2040"/>
      <c r="AO353" s="2008"/>
      <c r="AP353" s="2009"/>
      <c r="AQ353" s="2009"/>
      <c r="AR353" s="2010"/>
      <c r="AS353" s="651"/>
      <c r="AT353" s="652" t="str">
        <f t="shared" ref="AT353" si="3350">IF(OR(AND(D353&lt;&gt;"",OR(AND(E353&lt;&gt;"",F353&lt;&gt;"",OR(G353&lt;&gt;"",H353&lt;&gt;"")),AND(E353="",F353="バス・カメラマン等"))),AND(D353="",E353="",F353="",OR(G353="",H353=""))),"○","×")</f>
        <v>○</v>
      </c>
      <c r="AU353" s="1983" t="str">
        <f t="shared" ref="AU353" si="3351">IF(AND(E353&lt;&gt;"",E353&lt;=2),"2歳児以下","")</f>
        <v/>
      </c>
      <c r="AV353" s="1983" t="str">
        <f t="shared" ref="AV353" si="3352">IF(OR(AND(3&lt;=E353,E353&lt;=6),COUNTIF(E353, "幼*"),COUNTIF(E353, "年少"),COUNTIF(E353, "年中"),COUNTIF(E353, "年長")),"3歳-学齢前","")</f>
        <v/>
      </c>
      <c r="AW353" s="1983" t="str">
        <f t="shared" ref="AW353" si="3353">IF(OR(AND(6&lt;=E353,E353&lt;=12),COUNTIF(E353, "小*")),"小学生","")</f>
        <v/>
      </c>
      <c r="AX353" s="1983" t="str">
        <f t="shared" ref="AX353" si="3354">IF(OR(AND(12&lt;=E353,E353&lt;=15),COUNTIF(E353, "中*")),"中学生","")</f>
        <v/>
      </c>
      <c r="AY353" s="1983" t="str">
        <f t="shared" ref="AY353" si="3355">IF(OR(AND(15&lt;=E353,E353&lt;=18),COUNTIF(E353, "高*")),"高校生(～18歳)","")</f>
        <v/>
      </c>
      <c r="AZ353" s="1983" t="str">
        <f t="shared" ref="AZ353" si="3356">IF(OR(19&lt;=E353,COUNTIF(E353, "大*"),COUNTIF(E353, "*院*"),COUNTIF(E353, "*専*")),"一般(19歳～)","")</f>
        <v/>
      </c>
      <c r="BA353" s="1983" t="s">
        <v>475</v>
      </c>
      <c r="BB353" s="652" t="str">
        <f t="shared" ref="BB353" si="3357">IF(OR(AND(D353="",I353="",M353="",R353="",W353="",AB353="",AG353=""),AND(D353&lt;&gt;"",OR(I353&lt;&gt;"",M353&lt;&gt;"",R353&lt;&gt;"",W353&lt;&gt;"",AB353&lt;&gt;"",AG353&lt;&gt;""))),"○","×")</f>
        <v>○</v>
      </c>
      <c r="BC353" s="652" t="str">
        <f t="shared" ref="BC353" si="3358">IF(AND(BD353="○",BE353="○",BF353="○",BG353="○",BH353="○",BI353="○"),"○","×")</f>
        <v>○</v>
      </c>
      <c r="BD353" s="653" t="str">
        <f t="shared" ref="BD353" si="3359">IF(AND($I$7=" ",OR(I353&lt;&gt;"",K353&lt;&gt;"",L353&lt;&gt;"")),"×","○")</f>
        <v>○</v>
      </c>
      <c r="BE353" s="653" t="str">
        <f t="shared" ref="BE353" si="3360">IF(AND($M$7=" ",OR(M353&lt;&gt;"",O353&lt;&gt;"",P353&lt;&gt;"",Q353&lt;&gt;"")),"×","○")</f>
        <v>○</v>
      </c>
      <c r="BF353" s="653" t="str">
        <f t="shared" ref="BF353" si="3361">IF(AND($R$7=" ",OR(R353&lt;&gt;"",T353&lt;&gt;"",U353&lt;&gt;"",V353&lt;&gt;"")),"×","○")</f>
        <v>○</v>
      </c>
      <c r="BG353" s="653" t="str">
        <f t="shared" ref="BG353" si="3362">IF(AND($W$7=" ",OR(W353&lt;&gt;"",Y353&lt;&gt;"",Z353&lt;&gt;"",AA353&lt;&gt;"")),"×","○")</f>
        <v>○</v>
      </c>
      <c r="BH353" s="653" t="str">
        <f t="shared" ref="BH353" si="3363">IF(AND($AB$7=" ",OR(AB353&lt;&gt;"",AD353&lt;&gt;"",AE353&lt;&gt;"",AF353&lt;&gt;"")),"×","○")</f>
        <v>○</v>
      </c>
      <c r="BI353" s="653" t="str">
        <f t="shared" ref="BI353" si="3364">IF(AND($AG$7=" ",OR(AG353&lt;&gt;"",AI353&lt;&gt;"",AJ353&lt;&gt;"")),"×","○")</f>
        <v>○</v>
      </c>
      <c r="BJ353" s="2225" t="e">
        <f t="shared" ref="BJ353" si="3365">SUMPRODUCT(1/COUNTIF(I353:AH353,"宿泊"))</f>
        <v>#DIV/0!</v>
      </c>
      <c r="BK353" s="2226" t="e">
        <f t="shared" ref="BK353" si="3366">SUMPRODUCT(1/COUNTIF(I353:AH353,"日帰り"))</f>
        <v>#DIV/0!</v>
      </c>
      <c r="BL353" s="1381">
        <f t="shared" ref="BL353" si="3367">COUNT(BJ353)-COUNT(BK353)</f>
        <v>0</v>
      </c>
      <c r="BM353" s="684"/>
    </row>
    <row r="354" spans="1:65" ht="14.1" customHeight="1" x14ac:dyDescent="0.15">
      <c r="A354" s="652"/>
      <c r="B354" s="2174"/>
      <c r="C354" s="2144"/>
      <c r="D354" s="2007"/>
      <c r="E354" s="2005"/>
      <c r="F354" s="2042"/>
      <c r="G354" s="2119"/>
      <c r="H354" s="2107"/>
      <c r="I354" s="2112"/>
      <c r="J354" s="2113"/>
      <c r="K354" s="2105"/>
      <c r="L354" s="2127"/>
      <c r="M354" s="2112"/>
      <c r="N354" s="2113"/>
      <c r="O354" s="2105"/>
      <c r="P354" s="2105"/>
      <c r="Q354" s="2107"/>
      <c r="R354" s="2112"/>
      <c r="S354" s="2113"/>
      <c r="T354" s="2105"/>
      <c r="U354" s="2105"/>
      <c r="V354" s="2107"/>
      <c r="W354" s="2112"/>
      <c r="X354" s="2113"/>
      <c r="Y354" s="2105"/>
      <c r="Z354" s="2105"/>
      <c r="AA354" s="2107"/>
      <c r="AB354" s="2112"/>
      <c r="AC354" s="2113"/>
      <c r="AD354" s="2105"/>
      <c r="AE354" s="2105"/>
      <c r="AF354" s="2107"/>
      <c r="AG354" s="2112"/>
      <c r="AH354" s="2113"/>
      <c r="AI354" s="2105"/>
      <c r="AJ354" s="2105"/>
      <c r="AK354" s="2011"/>
      <c r="AL354" s="2012"/>
      <c r="AM354" s="2012"/>
      <c r="AN354" s="2013"/>
      <c r="AO354" s="2011"/>
      <c r="AP354" s="2012"/>
      <c r="AQ354" s="2012"/>
      <c r="AR354" s="2013"/>
      <c r="AS354" s="651"/>
      <c r="AT354" s="652"/>
      <c r="AU354" s="1983"/>
      <c r="AV354" s="1983"/>
      <c r="AW354" s="1983"/>
      <c r="AX354" s="1983"/>
      <c r="AY354" s="1983"/>
      <c r="AZ354" s="1983"/>
      <c r="BA354" s="1983"/>
      <c r="BB354" s="654"/>
      <c r="BC354" s="654"/>
      <c r="BD354" s="652"/>
      <c r="BE354" s="652"/>
      <c r="BF354" s="652"/>
      <c r="BG354" s="652"/>
      <c r="BH354" s="652"/>
      <c r="BI354" s="652"/>
      <c r="BJ354" s="2225"/>
      <c r="BK354" s="2226"/>
      <c r="BL354" s="1381"/>
      <c r="BM354" s="684"/>
    </row>
    <row r="355" spans="1:65" ht="14.1" customHeight="1" x14ac:dyDescent="0.15">
      <c r="A355" s="652" t="str">
        <f t="shared" ref="A355" si="3368">IF(AND(D355="",D357&lt;&gt;""),"×","○")</f>
        <v>○</v>
      </c>
      <c r="B355" s="2174" t="str">
        <f t="shared" ref="B355" si="3369">IF(AND(AT355="○",BB355="○",BC355="○",A355="○"),"○","×")</f>
        <v>○</v>
      </c>
      <c r="C355" s="2143">
        <v>171</v>
      </c>
      <c r="D355" s="2006"/>
      <c r="E355" s="2004"/>
      <c r="F355" s="2041"/>
      <c r="G355" s="2118"/>
      <c r="H355" s="2106"/>
      <c r="I355" s="2141"/>
      <c r="J355" s="2142"/>
      <c r="K355" s="2104"/>
      <c r="L355" s="2140"/>
      <c r="M355" s="2110"/>
      <c r="N355" s="2111"/>
      <c r="O355" s="2104"/>
      <c r="P355" s="2104"/>
      <c r="Q355" s="2106"/>
      <c r="R355" s="2110"/>
      <c r="S355" s="2111"/>
      <c r="T355" s="2104"/>
      <c r="U355" s="2104"/>
      <c r="V355" s="2106"/>
      <c r="W355" s="2110"/>
      <c r="X355" s="2111"/>
      <c r="Y355" s="2104"/>
      <c r="Z355" s="2104"/>
      <c r="AA355" s="2106"/>
      <c r="AB355" s="2110"/>
      <c r="AC355" s="2111"/>
      <c r="AD355" s="2104"/>
      <c r="AE355" s="2104"/>
      <c r="AF355" s="2106"/>
      <c r="AG355" s="2110"/>
      <c r="AH355" s="2111"/>
      <c r="AI355" s="2104"/>
      <c r="AJ355" s="2104"/>
      <c r="AK355" s="2038"/>
      <c r="AL355" s="2039"/>
      <c r="AM355" s="2039"/>
      <c r="AN355" s="2040"/>
      <c r="AO355" s="2008"/>
      <c r="AP355" s="2009"/>
      <c r="AQ355" s="2009"/>
      <c r="AR355" s="2010"/>
      <c r="AS355" s="651"/>
      <c r="AT355" s="652" t="str">
        <f t="shared" ref="AT355" si="3370">IF(OR(AND(D355&lt;&gt;"",OR(AND(E355&lt;&gt;"",F355&lt;&gt;"",OR(G355&lt;&gt;"",H355&lt;&gt;"")),AND(E355="",F355="バス・カメラマン等"))),AND(D355="",E355="",F355="",OR(G355="",H355=""))),"○","×")</f>
        <v>○</v>
      </c>
      <c r="AU355" s="1983" t="str">
        <f t="shared" ref="AU355" si="3371">IF(AND(E355&lt;&gt;"",E355&lt;=2),"2歳児以下","")</f>
        <v/>
      </c>
      <c r="AV355" s="1983" t="str">
        <f t="shared" ref="AV355" si="3372">IF(OR(AND(3&lt;=E355,E355&lt;=6),COUNTIF(E355, "幼*"),COUNTIF(E355, "年少"),COUNTIF(E355, "年中"),COUNTIF(E355, "年長")),"3歳-学齢前","")</f>
        <v/>
      </c>
      <c r="AW355" s="1983" t="str">
        <f t="shared" ref="AW355" si="3373">IF(OR(AND(6&lt;=E355,E355&lt;=12),COUNTIF(E355, "小*")),"小学生","")</f>
        <v/>
      </c>
      <c r="AX355" s="1983" t="str">
        <f t="shared" ref="AX355" si="3374">IF(OR(AND(12&lt;=E355,E355&lt;=15),COUNTIF(E355, "中*")),"中学生","")</f>
        <v/>
      </c>
      <c r="AY355" s="1983" t="str">
        <f t="shared" ref="AY355" si="3375">IF(OR(AND(15&lt;=E355,E355&lt;=18),COUNTIF(E355, "高*")),"高校生(～18歳)","")</f>
        <v/>
      </c>
      <c r="AZ355" s="1983" t="str">
        <f t="shared" ref="AZ355" si="3376">IF(OR(19&lt;=E355,COUNTIF(E355, "大*"),COUNTIF(E355, "*院*"),COUNTIF(E355, "*専*")),"一般(19歳～)","")</f>
        <v/>
      </c>
      <c r="BA355" s="1983" t="s">
        <v>475</v>
      </c>
      <c r="BB355" s="652" t="str">
        <f t="shared" ref="BB355" si="3377">IF(OR(AND(D355="",I355="",M355="",R355="",W355="",AB355="",AG355=""),AND(D355&lt;&gt;"",OR(I355&lt;&gt;"",M355&lt;&gt;"",R355&lt;&gt;"",W355&lt;&gt;"",AB355&lt;&gt;"",AG355&lt;&gt;""))),"○","×")</f>
        <v>○</v>
      </c>
      <c r="BC355" s="652" t="str">
        <f t="shared" ref="BC355" si="3378">IF(AND(BD355="○",BE355="○",BF355="○",BG355="○",BH355="○",BI355="○"),"○","×")</f>
        <v>○</v>
      </c>
      <c r="BD355" s="653" t="str">
        <f t="shared" ref="BD355" si="3379">IF(AND($I$7=" ",OR(I355&lt;&gt;"",K355&lt;&gt;"",L355&lt;&gt;"")),"×","○")</f>
        <v>○</v>
      </c>
      <c r="BE355" s="653" t="str">
        <f t="shared" ref="BE355" si="3380">IF(AND($M$7=" ",OR(M355&lt;&gt;"",O355&lt;&gt;"",P355&lt;&gt;"",Q355&lt;&gt;"")),"×","○")</f>
        <v>○</v>
      </c>
      <c r="BF355" s="653" t="str">
        <f t="shared" ref="BF355" si="3381">IF(AND($R$7=" ",OR(R355&lt;&gt;"",T355&lt;&gt;"",U355&lt;&gt;"",V355&lt;&gt;"")),"×","○")</f>
        <v>○</v>
      </c>
      <c r="BG355" s="653" t="str">
        <f t="shared" ref="BG355" si="3382">IF(AND($W$7=" ",OR(W355&lt;&gt;"",Y355&lt;&gt;"",Z355&lt;&gt;"",AA355&lt;&gt;"")),"×","○")</f>
        <v>○</v>
      </c>
      <c r="BH355" s="653" t="str">
        <f t="shared" ref="BH355" si="3383">IF(AND($AB$7=" ",OR(AB355&lt;&gt;"",AD355&lt;&gt;"",AE355&lt;&gt;"",AF355&lt;&gt;"")),"×","○")</f>
        <v>○</v>
      </c>
      <c r="BI355" s="653" t="str">
        <f t="shared" ref="BI355" si="3384">IF(AND($AG$7=" ",OR(AG355&lt;&gt;"",AI355&lt;&gt;"",AJ355&lt;&gt;"")),"×","○")</f>
        <v>○</v>
      </c>
      <c r="BJ355" s="2225" t="e">
        <f t="shared" ref="BJ355" si="3385">SUMPRODUCT(1/COUNTIF(I355:AH355,"宿泊"))</f>
        <v>#DIV/0!</v>
      </c>
      <c r="BK355" s="2226" t="e">
        <f t="shared" ref="BK355" si="3386">SUMPRODUCT(1/COUNTIF(I355:AH355,"日帰り"))</f>
        <v>#DIV/0!</v>
      </c>
      <c r="BL355" s="1381">
        <f t="shared" ref="BL355" si="3387">COUNT(BJ355)-COUNT(BK355)</f>
        <v>0</v>
      </c>
      <c r="BM355" s="684"/>
    </row>
    <row r="356" spans="1:65" ht="14.1" customHeight="1" x14ac:dyDescent="0.15">
      <c r="A356" s="652"/>
      <c r="B356" s="2174"/>
      <c r="C356" s="2144"/>
      <c r="D356" s="2007"/>
      <c r="E356" s="2005"/>
      <c r="F356" s="2042"/>
      <c r="G356" s="2119"/>
      <c r="H356" s="2107"/>
      <c r="I356" s="2112"/>
      <c r="J356" s="2113"/>
      <c r="K356" s="2105"/>
      <c r="L356" s="2127"/>
      <c r="M356" s="2112"/>
      <c r="N356" s="2113"/>
      <c r="O356" s="2105"/>
      <c r="P356" s="2105"/>
      <c r="Q356" s="2107"/>
      <c r="R356" s="2112"/>
      <c r="S356" s="2113"/>
      <c r="T356" s="2105"/>
      <c r="U356" s="2105"/>
      <c r="V356" s="2107"/>
      <c r="W356" s="2112"/>
      <c r="X356" s="2113"/>
      <c r="Y356" s="2105"/>
      <c r="Z356" s="2105"/>
      <c r="AA356" s="2107"/>
      <c r="AB356" s="2112"/>
      <c r="AC356" s="2113"/>
      <c r="AD356" s="2105"/>
      <c r="AE356" s="2105"/>
      <c r="AF356" s="2107"/>
      <c r="AG356" s="2112"/>
      <c r="AH356" s="2113"/>
      <c r="AI356" s="2105"/>
      <c r="AJ356" s="2105"/>
      <c r="AK356" s="2011"/>
      <c r="AL356" s="2012"/>
      <c r="AM356" s="2012"/>
      <c r="AN356" s="2013"/>
      <c r="AO356" s="2011"/>
      <c r="AP356" s="2012"/>
      <c r="AQ356" s="2012"/>
      <c r="AR356" s="2013"/>
      <c r="AS356" s="651"/>
      <c r="AT356" s="652"/>
      <c r="AU356" s="1983"/>
      <c r="AV356" s="1983"/>
      <c r="AW356" s="1983"/>
      <c r="AX356" s="1983"/>
      <c r="AY356" s="1983"/>
      <c r="AZ356" s="1983"/>
      <c r="BA356" s="1983"/>
      <c r="BB356" s="654"/>
      <c r="BC356" s="654"/>
      <c r="BD356" s="652"/>
      <c r="BE356" s="652"/>
      <c r="BF356" s="652"/>
      <c r="BG356" s="652"/>
      <c r="BH356" s="652"/>
      <c r="BI356" s="652"/>
      <c r="BJ356" s="2225"/>
      <c r="BK356" s="2226"/>
      <c r="BL356" s="1381"/>
      <c r="BM356" s="684"/>
    </row>
    <row r="357" spans="1:65" ht="14.1" customHeight="1" x14ac:dyDescent="0.15">
      <c r="A357" s="652" t="str">
        <f t="shared" ref="A357" si="3388">IF(AND(D357="",D359&lt;&gt;""),"×","○")</f>
        <v>○</v>
      </c>
      <c r="B357" s="2174" t="str">
        <f t="shared" ref="B357" si="3389">IF(AND(AT357="○",BB357="○",BC357="○",A357="○"),"○","×")</f>
        <v>○</v>
      </c>
      <c r="C357" s="2143">
        <v>172</v>
      </c>
      <c r="D357" s="2006"/>
      <c r="E357" s="2004"/>
      <c r="F357" s="2041"/>
      <c r="G357" s="2118"/>
      <c r="H357" s="2106"/>
      <c r="I357" s="2141"/>
      <c r="J357" s="2142"/>
      <c r="K357" s="2104"/>
      <c r="L357" s="2140"/>
      <c r="M357" s="2110"/>
      <c r="N357" s="2111"/>
      <c r="O357" s="2104"/>
      <c r="P357" s="2104"/>
      <c r="Q357" s="2106"/>
      <c r="R357" s="2110"/>
      <c r="S357" s="2111"/>
      <c r="T357" s="2104"/>
      <c r="U357" s="2104"/>
      <c r="V357" s="2106"/>
      <c r="W357" s="2110"/>
      <c r="X357" s="2111"/>
      <c r="Y357" s="2104"/>
      <c r="Z357" s="2104"/>
      <c r="AA357" s="2106"/>
      <c r="AB357" s="2110"/>
      <c r="AC357" s="2111"/>
      <c r="AD357" s="2104"/>
      <c r="AE357" s="2104"/>
      <c r="AF357" s="2106"/>
      <c r="AG357" s="2110"/>
      <c r="AH357" s="2111"/>
      <c r="AI357" s="2104"/>
      <c r="AJ357" s="2104"/>
      <c r="AK357" s="2038"/>
      <c r="AL357" s="2039"/>
      <c r="AM357" s="2039"/>
      <c r="AN357" s="2040"/>
      <c r="AO357" s="2008"/>
      <c r="AP357" s="2009"/>
      <c r="AQ357" s="2009"/>
      <c r="AR357" s="2010"/>
      <c r="AS357" s="651"/>
      <c r="AT357" s="652" t="str">
        <f t="shared" ref="AT357" si="3390">IF(OR(AND(D357&lt;&gt;"",OR(AND(E357&lt;&gt;"",F357&lt;&gt;"",OR(G357&lt;&gt;"",H357&lt;&gt;"")),AND(E357="",F357="バス・カメラマン等"))),AND(D357="",E357="",F357="",OR(G357="",H357=""))),"○","×")</f>
        <v>○</v>
      </c>
      <c r="AU357" s="1983" t="str">
        <f t="shared" ref="AU357" si="3391">IF(AND(E357&lt;&gt;"",E357&lt;=2),"2歳児以下","")</f>
        <v/>
      </c>
      <c r="AV357" s="1983" t="str">
        <f t="shared" ref="AV357" si="3392">IF(OR(AND(3&lt;=E357,E357&lt;=6),COUNTIF(E357, "幼*"),COUNTIF(E357, "年少"),COUNTIF(E357, "年中"),COUNTIF(E357, "年長")),"3歳-学齢前","")</f>
        <v/>
      </c>
      <c r="AW357" s="1983" t="str">
        <f t="shared" ref="AW357" si="3393">IF(OR(AND(6&lt;=E357,E357&lt;=12),COUNTIF(E357, "小*")),"小学生","")</f>
        <v/>
      </c>
      <c r="AX357" s="1983" t="str">
        <f t="shared" ref="AX357" si="3394">IF(OR(AND(12&lt;=E357,E357&lt;=15),COUNTIF(E357, "中*")),"中学生","")</f>
        <v/>
      </c>
      <c r="AY357" s="1983" t="str">
        <f t="shared" ref="AY357" si="3395">IF(OR(AND(15&lt;=E357,E357&lt;=18),COUNTIF(E357, "高*")),"高校生(～18歳)","")</f>
        <v/>
      </c>
      <c r="AZ357" s="1983" t="str">
        <f t="shared" ref="AZ357" si="3396">IF(OR(19&lt;=E357,COUNTIF(E357, "大*"),COUNTIF(E357, "*院*"),COUNTIF(E357, "*専*")),"一般(19歳～)","")</f>
        <v/>
      </c>
      <c r="BA357" s="1983" t="s">
        <v>475</v>
      </c>
      <c r="BB357" s="652" t="str">
        <f t="shared" ref="BB357" si="3397">IF(OR(AND(D357="",I357="",M357="",R357="",W357="",AB357="",AG357=""),AND(D357&lt;&gt;"",OR(I357&lt;&gt;"",M357&lt;&gt;"",R357&lt;&gt;"",W357&lt;&gt;"",AB357&lt;&gt;"",AG357&lt;&gt;""))),"○","×")</f>
        <v>○</v>
      </c>
      <c r="BC357" s="652" t="str">
        <f t="shared" ref="BC357" si="3398">IF(AND(BD357="○",BE357="○",BF357="○",BG357="○",BH357="○",BI357="○"),"○","×")</f>
        <v>○</v>
      </c>
      <c r="BD357" s="653" t="str">
        <f t="shared" ref="BD357" si="3399">IF(AND($I$7=" ",OR(I357&lt;&gt;"",K357&lt;&gt;"",L357&lt;&gt;"")),"×","○")</f>
        <v>○</v>
      </c>
      <c r="BE357" s="653" t="str">
        <f t="shared" ref="BE357" si="3400">IF(AND($M$7=" ",OR(M357&lt;&gt;"",O357&lt;&gt;"",P357&lt;&gt;"",Q357&lt;&gt;"")),"×","○")</f>
        <v>○</v>
      </c>
      <c r="BF357" s="653" t="str">
        <f t="shared" ref="BF357" si="3401">IF(AND($R$7=" ",OR(R357&lt;&gt;"",T357&lt;&gt;"",U357&lt;&gt;"",V357&lt;&gt;"")),"×","○")</f>
        <v>○</v>
      </c>
      <c r="BG357" s="653" t="str">
        <f t="shared" ref="BG357" si="3402">IF(AND($W$7=" ",OR(W357&lt;&gt;"",Y357&lt;&gt;"",Z357&lt;&gt;"",AA357&lt;&gt;"")),"×","○")</f>
        <v>○</v>
      </c>
      <c r="BH357" s="653" t="str">
        <f t="shared" ref="BH357" si="3403">IF(AND($AB$7=" ",OR(AB357&lt;&gt;"",AD357&lt;&gt;"",AE357&lt;&gt;"",AF357&lt;&gt;"")),"×","○")</f>
        <v>○</v>
      </c>
      <c r="BI357" s="653" t="str">
        <f t="shared" ref="BI357" si="3404">IF(AND($AG$7=" ",OR(AG357&lt;&gt;"",AI357&lt;&gt;"",AJ357&lt;&gt;"")),"×","○")</f>
        <v>○</v>
      </c>
      <c r="BJ357" s="2225" t="e">
        <f t="shared" ref="BJ357" si="3405">SUMPRODUCT(1/COUNTIF(I357:AH357,"宿泊"))</f>
        <v>#DIV/0!</v>
      </c>
      <c r="BK357" s="2226" t="e">
        <f t="shared" ref="BK357" si="3406">SUMPRODUCT(1/COUNTIF(I357:AH357,"日帰り"))</f>
        <v>#DIV/0!</v>
      </c>
      <c r="BL357" s="1381">
        <f t="shared" ref="BL357" si="3407">COUNT(BJ357)-COUNT(BK357)</f>
        <v>0</v>
      </c>
      <c r="BM357" s="684"/>
    </row>
    <row r="358" spans="1:65" ht="14.1" customHeight="1" x14ac:dyDescent="0.15">
      <c r="A358" s="652"/>
      <c r="B358" s="2174"/>
      <c r="C358" s="2144"/>
      <c r="D358" s="2007"/>
      <c r="E358" s="2005"/>
      <c r="F358" s="2042"/>
      <c r="G358" s="2119"/>
      <c r="H358" s="2107"/>
      <c r="I358" s="2112"/>
      <c r="J358" s="2113"/>
      <c r="K358" s="2105"/>
      <c r="L358" s="2127"/>
      <c r="M358" s="2112"/>
      <c r="N358" s="2113"/>
      <c r="O358" s="2105"/>
      <c r="P358" s="2105"/>
      <c r="Q358" s="2107"/>
      <c r="R358" s="2112"/>
      <c r="S358" s="2113"/>
      <c r="T358" s="2105"/>
      <c r="U358" s="2105"/>
      <c r="V358" s="2107"/>
      <c r="W358" s="2112"/>
      <c r="X358" s="2113"/>
      <c r="Y358" s="2105"/>
      <c r="Z358" s="2105"/>
      <c r="AA358" s="2107"/>
      <c r="AB358" s="2112"/>
      <c r="AC358" s="2113"/>
      <c r="AD358" s="2105"/>
      <c r="AE358" s="2105"/>
      <c r="AF358" s="2107"/>
      <c r="AG358" s="2112"/>
      <c r="AH358" s="2113"/>
      <c r="AI358" s="2105"/>
      <c r="AJ358" s="2105"/>
      <c r="AK358" s="2011"/>
      <c r="AL358" s="2012"/>
      <c r="AM358" s="2012"/>
      <c r="AN358" s="2013"/>
      <c r="AO358" s="2011"/>
      <c r="AP358" s="2012"/>
      <c r="AQ358" s="2012"/>
      <c r="AR358" s="2013"/>
      <c r="AS358" s="651"/>
      <c r="AT358" s="652"/>
      <c r="AU358" s="1983"/>
      <c r="AV358" s="1983"/>
      <c r="AW358" s="1983"/>
      <c r="AX358" s="1983"/>
      <c r="AY358" s="1983"/>
      <c r="AZ358" s="1983"/>
      <c r="BA358" s="1983"/>
      <c r="BB358" s="654"/>
      <c r="BC358" s="654"/>
      <c r="BD358" s="652"/>
      <c r="BE358" s="652"/>
      <c r="BF358" s="652"/>
      <c r="BG358" s="652"/>
      <c r="BH358" s="652"/>
      <c r="BI358" s="652"/>
      <c r="BJ358" s="2225"/>
      <c r="BK358" s="2226"/>
      <c r="BL358" s="1381"/>
      <c r="BM358" s="684"/>
    </row>
    <row r="359" spans="1:65" ht="14.1" customHeight="1" x14ac:dyDescent="0.15">
      <c r="A359" s="652" t="str">
        <f t="shared" ref="A359" si="3408">IF(AND(D359="",D361&lt;&gt;""),"×","○")</f>
        <v>○</v>
      </c>
      <c r="B359" s="2174" t="str">
        <f t="shared" ref="B359" si="3409">IF(AND(AT359="○",BB359="○",BC359="○",A359="○"),"○","×")</f>
        <v>○</v>
      </c>
      <c r="C359" s="2143">
        <v>173</v>
      </c>
      <c r="D359" s="2006"/>
      <c r="E359" s="2004"/>
      <c r="F359" s="2041"/>
      <c r="G359" s="2118"/>
      <c r="H359" s="2106"/>
      <c r="I359" s="2141"/>
      <c r="J359" s="2142"/>
      <c r="K359" s="2104"/>
      <c r="L359" s="2140"/>
      <c r="M359" s="2110"/>
      <c r="N359" s="2111"/>
      <c r="O359" s="2104"/>
      <c r="P359" s="2104"/>
      <c r="Q359" s="2106"/>
      <c r="R359" s="2110"/>
      <c r="S359" s="2111"/>
      <c r="T359" s="2104"/>
      <c r="U359" s="2104"/>
      <c r="V359" s="2106"/>
      <c r="W359" s="2110"/>
      <c r="X359" s="2111"/>
      <c r="Y359" s="2104"/>
      <c r="Z359" s="2104"/>
      <c r="AA359" s="2106"/>
      <c r="AB359" s="2110"/>
      <c r="AC359" s="2111"/>
      <c r="AD359" s="2104"/>
      <c r="AE359" s="2104"/>
      <c r="AF359" s="2106"/>
      <c r="AG359" s="2110"/>
      <c r="AH359" s="2111"/>
      <c r="AI359" s="2104"/>
      <c r="AJ359" s="2104"/>
      <c r="AK359" s="2038"/>
      <c r="AL359" s="2039"/>
      <c r="AM359" s="2039"/>
      <c r="AN359" s="2040"/>
      <c r="AO359" s="2008"/>
      <c r="AP359" s="2009"/>
      <c r="AQ359" s="2009"/>
      <c r="AR359" s="2010"/>
      <c r="AS359" s="651"/>
      <c r="AT359" s="652" t="str">
        <f t="shared" ref="AT359" si="3410">IF(OR(AND(D359&lt;&gt;"",OR(AND(E359&lt;&gt;"",F359&lt;&gt;"",OR(G359&lt;&gt;"",H359&lt;&gt;"")),AND(E359="",F359="バス・カメラマン等"))),AND(D359="",E359="",F359="",OR(G359="",H359=""))),"○","×")</f>
        <v>○</v>
      </c>
      <c r="AU359" s="1983" t="str">
        <f t="shared" ref="AU359" si="3411">IF(AND(E359&lt;&gt;"",E359&lt;=2),"2歳児以下","")</f>
        <v/>
      </c>
      <c r="AV359" s="1983" t="str">
        <f t="shared" ref="AV359" si="3412">IF(OR(AND(3&lt;=E359,E359&lt;=6),COUNTIF(E359, "幼*"),COUNTIF(E359, "年少"),COUNTIF(E359, "年中"),COUNTIF(E359, "年長")),"3歳-学齢前","")</f>
        <v/>
      </c>
      <c r="AW359" s="1983" t="str">
        <f t="shared" ref="AW359" si="3413">IF(OR(AND(6&lt;=E359,E359&lt;=12),COUNTIF(E359, "小*")),"小学生","")</f>
        <v/>
      </c>
      <c r="AX359" s="1983" t="str">
        <f t="shared" ref="AX359" si="3414">IF(OR(AND(12&lt;=E359,E359&lt;=15),COUNTIF(E359, "中*")),"中学生","")</f>
        <v/>
      </c>
      <c r="AY359" s="1983" t="str">
        <f t="shared" ref="AY359" si="3415">IF(OR(AND(15&lt;=E359,E359&lt;=18),COUNTIF(E359, "高*")),"高校生(～18歳)","")</f>
        <v/>
      </c>
      <c r="AZ359" s="1983" t="str">
        <f t="shared" ref="AZ359" si="3416">IF(OR(19&lt;=E359,COUNTIF(E359, "大*"),COUNTIF(E359, "*院*"),COUNTIF(E359, "*専*")),"一般(19歳～)","")</f>
        <v/>
      </c>
      <c r="BA359" s="1983" t="s">
        <v>475</v>
      </c>
      <c r="BB359" s="652" t="str">
        <f t="shared" ref="BB359" si="3417">IF(OR(AND(D359="",I359="",M359="",R359="",W359="",AB359="",AG359=""),AND(D359&lt;&gt;"",OR(I359&lt;&gt;"",M359&lt;&gt;"",R359&lt;&gt;"",W359&lt;&gt;"",AB359&lt;&gt;"",AG359&lt;&gt;""))),"○","×")</f>
        <v>○</v>
      </c>
      <c r="BC359" s="652" t="str">
        <f t="shared" ref="BC359" si="3418">IF(AND(BD359="○",BE359="○",BF359="○",BG359="○",BH359="○",BI359="○"),"○","×")</f>
        <v>○</v>
      </c>
      <c r="BD359" s="653" t="str">
        <f t="shared" ref="BD359" si="3419">IF(AND($I$7=" ",OR(I359&lt;&gt;"",K359&lt;&gt;"",L359&lt;&gt;"")),"×","○")</f>
        <v>○</v>
      </c>
      <c r="BE359" s="653" t="str">
        <f t="shared" ref="BE359" si="3420">IF(AND($M$7=" ",OR(M359&lt;&gt;"",O359&lt;&gt;"",P359&lt;&gt;"",Q359&lt;&gt;"")),"×","○")</f>
        <v>○</v>
      </c>
      <c r="BF359" s="653" t="str">
        <f t="shared" ref="BF359" si="3421">IF(AND($R$7=" ",OR(R359&lt;&gt;"",T359&lt;&gt;"",U359&lt;&gt;"",V359&lt;&gt;"")),"×","○")</f>
        <v>○</v>
      </c>
      <c r="BG359" s="653" t="str">
        <f t="shared" ref="BG359" si="3422">IF(AND($W$7=" ",OR(W359&lt;&gt;"",Y359&lt;&gt;"",Z359&lt;&gt;"",AA359&lt;&gt;"")),"×","○")</f>
        <v>○</v>
      </c>
      <c r="BH359" s="653" t="str">
        <f t="shared" ref="BH359" si="3423">IF(AND($AB$7=" ",OR(AB359&lt;&gt;"",AD359&lt;&gt;"",AE359&lt;&gt;"",AF359&lt;&gt;"")),"×","○")</f>
        <v>○</v>
      </c>
      <c r="BI359" s="653" t="str">
        <f t="shared" ref="BI359" si="3424">IF(AND($AG$7=" ",OR(AG359&lt;&gt;"",AI359&lt;&gt;"",AJ359&lt;&gt;"")),"×","○")</f>
        <v>○</v>
      </c>
      <c r="BJ359" s="2225" t="e">
        <f t="shared" ref="BJ359" si="3425">SUMPRODUCT(1/COUNTIF(I359:AH359,"宿泊"))</f>
        <v>#DIV/0!</v>
      </c>
      <c r="BK359" s="2226" t="e">
        <f t="shared" ref="BK359" si="3426">SUMPRODUCT(1/COUNTIF(I359:AH359,"日帰り"))</f>
        <v>#DIV/0!</v>
      </c>
      <c r="BL359" s="1381">
        <f t="shared" ref="BL359" si="3427">COUNT(BJ359)-COUNT(BK359)</f>
        <v>0</v>
      </c>
      <c r="BM359" s="684"/>
    </row>
    <row r="360" spans="1:65" ht="14.1" customHeight="1" x14ac:dyDescent="0.15">
      <c r="A360" s="652"/>
      <c r="B360" s="2174"/>
      <c r="C360" s="2144"/>
      <c r="D360" s="2007"/>
      <c r="E360" s="2005"/>
      <c r="F360" s="2042"/>
      <c r="G360" s="2119"/>
      <c r="H360" s="2107"/>
      <c r="I360" s="2112"/>
      <c r="J360" s="2113"/>
      <c r="K360" s="2105"/>
      <c r="L360" s="2127"/>
      <c r="M360" s="2112"/>
      <c r="N360" s="2113"/>
      <c r="O360" s="2105"/>
      <c r="P360" s="2105"/>
      <c r="Q360" s="2107"/>
      <c r="R360" s="2112"/>
      <c r="S360" s="2113"/>
      <c r="T360" s="2105"/>
      <c r="U360" s="2105"/>
      <c r="V360" s="2107"/>
      <c r="W360" s="2112"/>
      <c r="X360" s="2113"/>
      <c r="Y360" s="2105"/>
      <c r="Z360" s="2105"/>
      <c r="AA360" s="2107"/>
      <c r="AB360" s="2112"/>
      <c r="AC360" s="2113"/>
      <c r="AD360" s="2105"/>
      <c r="AE360" s="2105"/>
      <c r="AF360" s="2107"/>
      <c r="AG360" s="2112"/>
      <c r="AH360" s="2113"/>
      <c r="AI360" s="2105"/>
      <c r="AJ360" s="2105"/>
      <c r="AK360" s="2011"/>
      <c r="AL360" s="2012"/>
      <c r="AM360" s="2012"/>
      <c r="AN360" s="2013"/>
      <c r="AO360" s="2011"/>
      <c r="AP360" s="2012"/>
      <c r="AQ360" s="2012"/>
      <c r="AR360" s="2013"/>
      <c r="AS360" s="651"/>
      <c r="AT360" s="652"/>
      <c r="AU360" s="1983"/>
      <c r="AV360" s="1983"/>
      <c r="AW360" s="1983"/>
      <c r="AX360" s="1983"/>
      <c r="AY360" s="1983"/>
      <c r="AZ360" s="1983"/>
      <c r="BA360" s="1983"/>
      <c r="BB360" s="654"/>
      <c r="BC360" s="654"/>
      <c r="BD360" s="652"/>
      <c r="BE360" s="652"/>
      <c r="BF360" s="652"/>
      <c r="BG360" s="652"/>
      <c r="BH360" s="652"/>
      <c r="BI360" s="652"/>
      <c r="BJ360" s="2225"/>
      <c r="BK360" s="2226"/>
      <c r="BL360" s="1381"/>
      <c r="BM360" s="684"/>
    </row>
    <row r="361" spans="1:65" ht="14.1" customHeight="1" x14ac:dyDescent="0.15">
      <c r="A361" s="652" t="str">
        <f t="shared" ref="A361" si="3428">IF(AND(D361="",D363&lt;&gt;""),"×","○")</f>
        <v>○</v>
      </c>
      <c r="B361" s="2174" t="str">
        <f t="shared" ref="B361" si="3429">IF(AND(AT361="○",BB361="○",BC361="○",A361="○"),"○","×")</f>
        <v>○</v>
      </c>
      <c r="C361" s="2143">
        <v>174</v>
      </c>
      <c r="D361" s="2006"/>
      <c r="E361" s="2004"/>
      <c r="F361" s="2041"/>
      <c r="G361" s="2118"/>
      <c r="H361" s="2106"/>
      <c r="I361" s="2141"/>
      <c r="J361" s="2142"/>
      <c r="K361" s="2104"/>
      <c r="L361" s="2140"/>
      <c r="M361" s="2110"/>
      <c r="N361" s="2111"/>
      <c r="O361" s="2104"/>
      <c r="P361" s="2104"/>
      <c r="Q361" s="2106"/>
      <c r="R361" s="2110"/>
      <c r="S361" s="2111"/>
      <c r="T361" s="2104"/>
      <c r="U361" s="2104"/>
      <c r="V361" s="2106"/>
      <c r="W361" s="2110"/>
      <c r="X361" s="2111"/>
      <c r="Y361" s="2104"/>
      <c r="Z361" s="2104"/>
      <c r="AA361" s="2106"/>
      <c r="AB361" s="2110"/>
      <c r="AC361" s="2111"/>
      <c r="AD361" s="2104"/>
      <c r="AE361" s="2104"/>
      <c r="AF361" s="2106"/>
      <c r="AG361" s="2110"/>
      <c r="AH361" s="2111"/>
      <c r="AI361" s="2104"/>
      <c r="AJ361" s="2104"/>
      <c r="AK361" s="2038"/>
      <c r="AL361" s="2039"/>
      <c r="AM361" s="2039"/>
      <c r="AN361" s="2040"/>
      <c r="AO361" s="2008"/>
      <c r="AP361" s="2009"/>
      <c r="AQ361" s="2009"/>
      <c r="AR361" s="2010"/>
      <c r="AS361" s="651"/>
      <c r="AT361" s="652" t="str">
        <f t="shared" ref="AT361" si="3430">IF(OR(AND(D361&lt;&gt;"",OR(AND(E361&lt;&gt;"",F361&lt;&gt;"",OR(G361&lt;&gt;"",H361&lt;&gt;"")),AND(E361="",F361="バス・カメラマン等"))),AND(D361="",E361="",F361="",OR(G361="",H361=""))),"○","×")</f>
        <v>○</v>
      </c>
      <c r="AU361" s="1983" t="str">
        <f t="shared" ref="AU361" si="3431">IF(AND(E361&lt;&gt;"",E361&lt;=2),"2歳児以下","")</f>
        <v/>
      </c>
      <c r="AV361" s="1983" t="str">
        <f t="shared" ref="AV361" si="3432">IF(OR(AND(3&lt;=E361,E361&lt;=6),COUNTIF(E361, "幼*"),COUNTIF(E361, "年少"),COUNTIF(E361, "年中"),COUNTIF(E361, "年長")),"3歳-学齢前","")</f>
        <v/>
      </c>
      <c r="AW361" s="1983" t="str">
        <f t="shared" ref="AW361" si="3433">IF(OR(AND(6&lt;=E361,E361&lt;=12),COUNTIF(E361, "小*")),"小学生","")</f>
        <v/>
      </c>
      <c r="AX361" s="1983" t="str">
        <f t="shared" ref="AX361" si="3434">IF(OR(AND(12&lt;=E361,E361&lt;=15),COUNTIF(E361, "中*")),"中学生","")</f>
        <v/>
      </c>
      <c r="AY361" s="1983" t="str">
        <f t="shared" ref="AY361" si="3435">IF(OR(AND(15&lt;=E361,E361&lt;=18),COUNTIF(E361, "高*")),"高校生(～18歳)","")</f>
        <v/>
      </c>
      <c r="AZ361" s="1983" t="str">
        <f t="shared" ref="AZ361" si="3436">IF(OR(19&lt;=E361,COUNTIF(E361, "大*"),COUNTIF(E361, "*院*"),COUNTIF(E361, "*専*")),"一般(19歳～)","")</f>
        <v/>
      </c>
      <c r="BA361" s="1983" t="s">
        <v>475</v>
      </c>
      <c r="BB361" s="652" t="str">
        <f t="shared" ref="BB361" si="3437">IF(OR(AND(D361="",I361="",M361="",R361="",W361="",AB361="",AG361=""),AND(D361&lt;&gt;"",OR(I361&lt;&gt;"",M361&lt;&gt;"",R361&lt;&gt;"",W361&lt;&gt;"",AB361&lt;&gt;"",AG361&lt;&gt;""))),"○","×")</f>
        <v>○</v>
      </c>
      <c r="BC361" s="652" t="str">
        <f t="shared" ref="BC361" si="3438">IF(AND(BD361="○",BE361="○",BF361="○",BG361="○",BH361="○",BI361="○"),"○","×")</f>
        <v>○</v>
      </c>
      <c r="BD361" s="653" t="str">
        <f t="shared" ref="BD361" si="3439">IF(AND($I$7=" ",OR(I361&lt;&gt;"",K361&lt;&gt;"",L361&lt;&gt;"")),"×","○")</f>
        <v>○</v>
      </c>
      <c r="BE361" s="653" t="str">
        <f t="shared" ref="BE361" si="3440">IF(AND($M$7=" ",OR(M361&lt;&gt;"",O361&lt;&gt;"",P361&lt;&gt;"",Q361&lt;&gt;"")),"×","○")</f>
        <v>○</v>
      </c>
      <c r="BF361" s="653" t="str">
        <f t="shared" ref="BF361" si="3441">IF(AND($R$7=" ",OR(R361&lt;&gt;"",T361&lt;&gt;"",U361&lt;&gt;"",V361&lt;&gt;"")),"×","○")</f>
        <v>○</v>
      </c>
      <c r="BG361" s="653" t="str">
        <f t="shared" ref="BG361" si="3442">IF(AND($W$7=" ",OR(W361&lt;&gt;"",Y361&lt;&gt;"",Z361&lt;&gt;"",AA361&lt;&gt;"")),"×","○")</f>
        <v>○</v>
      </c>
      <c r="BH361" s="653" t="str">
        <f t="shared" ref="BH361" si="3443">IF(AND($AB$7=" ",OR(AB361&lt;&gt;"",AD361&lt;&gt;"",AE361&lt;&gt;"",AF361&lt;&gt;"")),"×","○")</f>
        <v>○</v>
      </c>
      <c r="BI361" s="653" t="str">
        <f t="shared" ref="BI361" si="3444">IF(AND($AG$7=" ",OR(AG361&lt;&gt;"",AI361&lt;&gt;"",AJ361&lt;&gt;"")),"×","○")</f>
        <v>○</v>
      </c>
      <c r="BJ361" s="2225" t="e">
        <f t="shared" ref="BJ361" si="3445">SUMPRODUCT(1/COUNTIF(I361:AH361,"宿泊"))</f>
        <v>#DIV/0!</v>
      </c>
      <c r="BK361" s="2226" t="e">
        <f t="shared" ref="BK361" si="3446">SUMPRODUCT(1/COUNTIF(I361:AH361,"日帰り"))</f>
        <v>#DIV/0!</v>
      </c>
      <c r="BL361" s="1381">
        <f t="shared" ref="BL361" si="3447">COUNT(BJ361)-COUNT(BK361)</f>
        <v>0</v>
      </c>
      <c r="BM361" s="684"/>
    </row>
    <row r="362" spans="1:65" ht="14.1" customHeight="1" x14ac:dyDescent="0.15">
      <c r="A362" s="652"/>
      <c r="B362" s="2174"/>
      <c r="C362" s="2144"/>
      <c r="D362" s="2007"/>
      <c r="E362" s="2005"/>
      <c r="F362" s="2042"/>
      <c r="G362" s="2119"/>
      <c r="H362" s="2107"/>
      <c r="I362" s="2112"/>
      <c r="J362" s="2113"/>
      <c r="K362" s="2105"/>
      <c r="L362" s="2127"/>
      <c r="M362" s="2112"/>
      <c r="N362" s="2113"/>
      <c r="O362" s="2105"/>
      <c r="P362" s="2105"/>
      <c r="Q362" s="2107"/>
      <c r="R362" s="2112"/>
      <c r="S362" s="2113"/>
      <c r="T362" s="2105"/>
      <c r="U362" s="2105"/>
      <c r="V362" s="2107"/>
      <c r="W362" s="2112"/>
      <c r="X362" s="2113"/>
      <c r="Y362" s="2105"/>
      <c r="Z362" s="2105"/>
      <c r="AA362" s="2107"/>
      <c r="AB362" s="2112"/>
      <c r="AC362" s="2113"/>
      <c r="AD362" s="2105"/>
      <c r="AE362" s="2105"/>
      <c r="AF362" s="2107"/>
      <c r="AG362" s="2112"/>
      <c r="AH362" s="2113"/>
      <c r="AI362" s="2105"/>
      <c r="AJ362" s="2105"/>
      <c r="AK362" s="2038"/>
      <c r="AL362" s="2039"/>
      <c r="AM362" s="2039"/>
      <c r="AN362" s="2040"/>
      <c r="AO362" s="2011"/>
      <c r="AP362" s="2012"/>
      <c r="AQ362" s="2012"/>
      <c r="AR362" s="2013"/>
      <c r="AS362" s="651"/>
      <c r="AT362" s="652"/>
      <c r="AU362" s="1983"/>
      <c r="AV362" s="1983"/>
      <c r="AW362" s="1983"/>
      <c r="AX362" s="1983"/>
      <c r="AY362" s="1983"/>
      <c r="AZ362" s="1983"/>
      <c r="BA362" s="1983"/>
      <c r="BB362" s="654"/>
      <c r="BC362" s="654"/>
      <c r="BD362" s="652"/>
      <c r="BE362" s="652"/>
      <c r="BF362" s="652"/>
      <c r="BG362" s="652"/>
      <c r="BH362" s="652"/>
      <c r="BI362" s="652"/>
      <c r="BJ362" s="2225"/>
      <c r="BK362" s="2226"/>
      <c r="BL362" s="1381"/>
      <c r="BM362" s="684"/>
    </row>
    <row r="363" spans="1:65" ht="14.1" customHeight="1" x14ac:dyDescent="0.15">
      <c r="A363" s="652" t="str">
        <f t="shared" ref="A363" si="3448">IF(AND(D363="",D365&lt;&gt;""),"×","○")</f>
        <v>○</v>
      </c>
      <c r="B363" s="2174" t="str">
        <f t="shared" ref="B363" si="3449">IF(AND(AT363="○",BB363="○",BC363="○",A363="○"),"○","×")</f>
        <v>○</v>
      </c>
      <c r="C363" s="2143">
        <v>175</v>
      </c>
      <c r="D363" s="2006"/>
      <c r="E363" s="2004"/>
      <c r="F363" s="2041"/>
      <c r="G363" s="2118"/>
      <c r="H363" s="2106"/>
      <c r="I363" s="2141"/>
      <c r="J363" s="2142"/>
      <c r="K363" s="2104"/>
      <c r="L363" s="2140"/>
      <c r="M363" s="2110"/>
      <c r="N363" s="2111"/>
      <c r="O363" s="2104"/>
      <c r="P363" s="2104"/>
      <c r="Q363" s="2106"/>
      <c r="R363" s="2110"/>
      <c r="S363" s="2111"/>
      <c r="T363" s="2104"/>
      <c r="U363" s="2104"/>
      <c r="V363" s="2106"/>
      <c r="W363" s="2110"/>
      <c r="X363" s="2111"/>
      <c r="Y363" s="2104"/>
      <c r="Z363" s="2104"/>
      <c r="AA363" s="2106"/>
      <c r="AB363" s="2110"/>
      <c r="AC363" s="2111"/>
      <c r="AD363" s="2104"/>
      <c r="AE363" s="2104"/>
      <c r="AF363" s="2106"/>
      <c r="AG363" s="2110"/>
      <c r="AH363" s="2111"/>
      <c r="AI363" s="2104"/>
      <c r="AJ363" s="2104"/>
      <c r="AK363" s="2008"/>
      <c r="AL363" s="2009"/>
      <c r="AM363" s="2009"/>
      <c r="AN363" s="2010"/>
      <c r="AO363" s="2008"/>
      <c r="AP363" s="2009"/>
      <c r="AQ363" s="2009"/>
      <c r="AR363" s="2010"/>
      <c r="AS363" s="651"/>
      <c r="AT363" s="652" t="str">
        <f t="shared" ref="AT363" si="3450">IF(OR(AND(D363&lt;&gt;"",OR(AND(E363&lt;&gt;"",F363&lt;&gt;"",OR(G363&lt;&gt;"",H363&lt;&gt;"")),AND(E363="",F363="バス・カメラマン等"))),AND(D363="",E363="",F363="",OR(G363="",H363=""))),"○","×")</f>
        <v>○</v>
      </c>
      <c r="AU363" s="1983" t="str">
        <f t="shared" ref="AU363" si="3451">IF(AND(E363&lt;&gt;"",E363&lt;=2),"2歳児以下","")</f>
        <v/>
      </c>
      <c r="AV363" s="1983" t="str">
        <f t="shared" ref="AV363" si="3452">IF(OR(AND(3&lt;=E363,E363&lt;=6),COUNTIF(E363, "幼*"),COUNTIF(E363, "年少"),COUNTIF(E363, "年中"),COUNTIF(E363, "年長")),"3歳-学齢前","")</f>
        <v/>
      </c>
      <c r="AW363" s="1983" t="str">
        <f t="shared" ref="AW363" si="3453">IF(OR(AND(6&lt;=E363,E363&lt;=12),COUNTIF(E363, "小*")),"小学生","")</f>
        <v/>
      </c>
      <c r="AX363" s="1983" t="str">
        <f t="shared" ref="AX363" si="3454">IF(OR(AND(12&lt;=E363,E363&lt;=15),COUNTIF(E363, "中*")),"中学生","")</f>
        <v/>
      </c>
      <c r="AY363" s="1983" t="str">
        <f t="shared" ref="AY363" si="3455">IF(OR(AND(15&lt;=E363,E363&lt;=18),COUNTIF(E363, "高*")),"高校生(～18歳)","")</f>
        <v/>
      </c>
      <c r="AZ363" s="1983" t="str">
        <f t="shared" ref="AZ363" si="3456">IF(OR(19&lt;=E363,COUNTIF(E363, "大*"),COUNTIF(E363, "*院*"),COUNTIF(E363, "*専*")),"一般(19歳～)","")</f>
        <v/>
      </c>
      <c r="BA363" s="1983" t="s">
        <v>475</v>
      </c>
      <c r="BB363" s="652" t="str">
        <f t="shared" ref="BB363" si="3457">IF(OR(AND(D363="",I363="",M363="",R363="",W363="",AB363="",AG363=""),AND(D363&lt;&gt;"",OR(I363&lt;&gt;"",M363&lt;&gt;"",R363&lt;&gt;"",W363&lt;&gt;"",AB363&lt;&gt;"",AG363&lt;&gt;""))),"○","×")</f>
        <v>○</v>
      </c>
      <c r="BC363" s="652" t="str">
        <f t="shared" ref="BC363" si="3458">IF(AND(BD363="○",BE363="○",BF363="○",BG363="○",BH363="○",BI363="○"),"○","×")</f>
        <v>○</v>
      </c>
      <c r="BD363" s="653" t="str">
        <f t="shared" ref="BD363" si="3459">IF(AND($I$7=" ",OR(I363&lt;&gt;"",K363&lt;&gt;"",L363&lt;&gt;"")),"×","○")</f>
        <v>○</v>
      </c>
      <c r="BE363" s="653" t="str">
        <f t="shared" ref="BE363" si="3460">IF(AND($M$7=" ",OR(M363&lt;&gt;"",O363&lt;&gt;"",P363&lt;&gt;"",Q363&lt;&gt;"")),"×","○")</f>
        <v>○</v>
      </c>
      <c r="BF363" s="653" t="str">
        <f t="shared" ref="BF363" si="3461">IF(AND($R$7=" ",OR(R363&lt;&gt;"",T363&lt;&gt;"",U363&lt;&gt;"",V363&lt;&gt;"")),"×","○")</f>
        <v>○</v>
      </c>
      <c r="BG363" s="653" t="str">
        <f t="shared" ref="BG363" si="3462">IF(AND($W$7=" ",OR(W363&lt;&gt;"",Y363&lt;&gt;"",Z363&lt;&gt;"",AA363&lt;&gt;"")),"×","○")</f>
        <v>○</v>
      </c>
      <c r="BH363" s="653" t="str">
        <f t="shared" ref="BH363" si="3463">IF(AND($AB$7=" ",OR(AB363&lt;&gt;"",AD363&lt;&gt;"",AE363&lt;&gt;"",AF363&lt;&gt;"")),"×","○")</f>
        <v>○</v>
      </c>
      <c r="BI363" s="653" t="str">
        <f t="shared" ref="BI363" si="3464">IF(AND($AG$7=" ",OR(AG363&lt;&gt;"",AI363&lt;&gt;"",AJ363&lt;&gt;"")),"×","○")</f>
        <v>○</v>
      </c>
      <c r="BJ363" s="2225" t="e">
        <f t="shared" ref="BJ363" si="3465">SUMPRODUCT(1/COUNTIF(I363:AH363,"宿泊"))</f>
        <v>#DIV/0!</v>
      </c>
      <c r="BK363" s="2226" t="e">
        <f t="shared" ref="BK363" si="3466">SUMPRODUCT(1/COUNTIF(I363:AH363,"日帰り"))</f>
        <v>#DIV/0!</v>
      </c>
      <c r="BL363" s="1381">
        <f t="shared" ref="BL363" si="3467">COUNT(BJ363)-COUNT(BK363)</f>
        <v>0</v>
      </c>
      <c r="BM363" s="684"/>
    </row>
    <row r="364" spans="1:65" ht="14.1" customHeight="1" x14ac:dyDescent="0.15">
      <c r="A364" s="652"/>
      <c r="B364" s="2174"/>
      <c r="C364" s="2144"/>
      <c r="D364" s="2007"/>
      <c r="E364" s="2005"/>
      <c r="F364" s="2042"/>
      <c r="G364" s="2119"/>
      <c r="H364" s="2107"/>
      <c r="I364" s="2112"/>
      <c r="J364" s="2113"/>
      <c r="K364" s="2105"/>
      <c r="L364" s="2127"/>
      <c r="M364" s="2112"/>
      <c r="N364" s="2113"/>
      <c r="O364" s="2105"/>
      <c r="P364" s="2105"/>
      <c r="Q364" s="2107"/>
      <c r="R364" s="2112"/>
      <c r="S364" s="2113"/>
      <c r="T364" s="2105"/>
      <c r="U364" s="2105"/>
      <c r="V364" s="2107"/>
      <c r="W364" s="2112"/>
      <c r="X364" s="2113"/>
      <c r="Y364" s="2105"/>
      <c r="Z364" s="2105"/>
      <c r="AA364" s="2107"/>
      <c r="AB364" s="2112"/>
      <c r="AC364" s="2113"/>
      <c r="AD364" s="2105"/>
      <c r="AE364" s="2105"/>
      <c r="AF364" s="2107"/>
      <c r="AG364" s="2112"/>
      <c r="AH364" s="2113"/>
      <c r="AI364" s="2105"/>
      <c r="AJ364" s="2105"/>
      <c r="AK364" s="2011"/>
      <c r="AL364" s="2012"/>
      <c r="AM364" s="2012"/>
      <c r="AN364" s="2013"/>
      <c r="AO364" s="2011"/>
      <c r="AP364" s="2012"/>
      <c r="AQ364" s="2012"/>
      <c r="AR364" s="2013"/>
      <c r="AS364" s="651"/>
      <c r="AT364" s="652"/>
      <c r="AU364" s="1983"/>
      <c r="AV364" s="1983"/>
      <c r="AW364" s="1983"/>
      <c r="AX364" s="1983"/>
      <c r="AY364" s="1983"/>
      <c r="AZ364" s="1983"/>
      <c r="BA364" s="1983"/>
      <c r="BB364" s="654"/>
      <c r="BC364" s="654"/>
      <c r="BD364" s="652"/>
      <c r="BE364" s="652"/>
      <c r="BF364" s="652"/>
      <c r="BG364" s="652"/>
      <c r="BH364" s="652"/>
      <c r="BI364" s="652"/>
      <c r="BJ364" s="2225"/>
      <c r="BK364" s="2226"/>
      <c r="BL364" s="1381"/>
      <c r="BM364" s="684"/>
    </row>
    <row r="365" spans="1:65" ht="14.1" customHeight="1" x14ac:dyDescent="0.15">
      <c r="A365" s="652" t="str">
        <f t="shared" ref="A365" si="3468">IF(AND(D365="",D367&lt;&gt;""),"×","○")</f>
        <v>○</v>
      </c>
      <c r="B365" s="2174" t="str">
        <f t="shared" ref="B365" si="3469">IF(AND(AT365="○",BB365="○",BC365="○",A365="○"),"○","×")</f>
        <v>○</v>
      </c>
      <c r="C365" s="2145">
        <v>176</v>
      </c>
      <c r="D365" s="2006"/>
      <c r="E365" s="2004"/>
      <c r="F365" s="2041"/>
      <c r="G365" s="2123"/>
      <c r="H365" s="2109"/>
      <c r="I365" s="2141"/>
      <c r="J365" s="2142"/>
      <c r="K365" s="2104"/>
      <c r="L365" s="2140"/>
      <c r="M365" s="2110"/>
      <c r="N365" s="2111"/>
      <c r="O365" s="2108"/>
      <c r="P365" s="2108"/>
      <c r="Q365" s="2109"/>
      <c r="R365" s="2110"/>
      <c r="S365" s="2111"/>
      <c r="T365" s="2108"/>
      <c r="U365" s="2108"/>
      <c r="V365" s="2109"/>
      <c r="W365" s="2110"/>
      <c r="X365" s="2111"/>
      <c r="Y365" s="2108"/>
      <c r="Z365" s="2108"/>
      <c r="AA365" s="2109"/>
      <c r="AB365" s="2110"/>
      <c r="AC365" s="2111"/>
      <c r="AD365" s="2108"/>
      <c r="AE365" s="2108"/>
      <c r="AF365" s="2109"/>
      <c r="AG365" s="2110"/>
      <c r="AH365" s="2111"/>
      <c r="AI365" s="2108"/>
      <c r="AJ365" s="2108"/>
      <c r="AK365" s="2038"/>
      <c r="AL365" s="2039"/>
      <c r="AM365" s="2039"/>
      <c r="AN365" s="2040"/>
      <c r="AO365" s="2008"/>
      <c r="AP365" s="2009"/>
      <c r="AQ365" s="2009"/>
      <c r="AR365" s="2010"/>
      <c r="AS365" s="651"/>
      <c r="AT365" s="652" t="str">
        <f t="shared" ref="AT365" si="3470">IF(OR(AND(D365&lt;&gt;"",OR(AND(E365&lt;&gt;"",F365&lt;&gt;"",OR(G365&lt;&gt;"",H365&lt;&gt;"")),AND(E365="",F365="バス・カメラマン等"))),AND(D365="",E365="",F365="",OR(G365="",H365=""))),"○","×")</f>
        <v>○</v>
      </c>
      <c r="AU365" s="1983" t="str">
        <f t="shared" ref="AU365" si="3471">IF(AND(E365&lt;&gt;"",E365&lt;=2),"2歳児以下","")</f>
        <v/>
      </c>
      <c r="AV365" s="1983" t="str">
        <f t="shared" ref="AV365" si="3472">IF(OR(AND(3&lt;=E365,E365&lt;=6),COUNTIF(E365, "幼*"),COUNTIF(E365, "年少"),COUNTIF(E365, "年中"),COUNTIF(E365, "年長")),"3歳-学齢前","")</f>
        <v/>
      </c>
      <c r="AW365" s="1983" t="str">
        <f t="shared" ref="AW365" si="3473">IF(OR(AND(6&lt;=E365,E365&lt;=12),COUNTIF(E365, "小*")),"小学生","")</f>
        <v/>
      </c>
      <c r="AX365" s="1983" t="str">
        <f t="shared" ref="AX365" si="3474">IF(OR(AND(12&lt;=E365,E365&lt;=15),COUNTIF(E365, "中*")),"中学生","")</f>
        <v/>
      </c>
      <c r="AY365" s="1983" t="str">
        <f t="shared" ref="AY365" si="3475">IF(OR(AND(15&lt;=E365,E365&lt;=18),COUNTIF(E365, "高*")),"高校生(～18歳)","")</f>
        <v/>
      </c>
      <c r="AZ365" s="1983" t="str">
        <f t="shared" ref="AZ365" si="3476">IF(OR(19&lt;=E365,COUNTIF(E365, "大*"),COUNTIF(E365, "*院*"),COUNTIF(E365, "*専*")),"一般(19歳～)","")</f>
        <v/>
      </c>
      <c r="BA365" s="1983" t="s">
        <v>475</v>
      </c>
      <c r="BB365" s="652" t="str">
        <f t="shared" ref="BB365" si="3477">IF(OR(AND(D365="",I365="",M365="",R365="",W365="",AB365="",AG365=""),AND(D365&lt;&gt;"",OR(I365&lt;&gt;"",M365&lt;&gt;"",R365&lt;&gt;"",W365&lt;&gt;"",AB365&lt;&gt;"",AG365&lt;&gt;""))),"○","×")</f>
        <v>○</v>
      </c>
      <c r="BC365" s="652" t="str">
        <f t="shared" ref="BC365" si="3478">IF(AND(BD365="○",BE365="○",BF365="○",BG365="○",BH365="○",BI365="○"),"○","×")</f>
        <v>○</v>
      </c>
      <c r="BD365" s="653" t="str">
        <f t="shared" ref="BD365" si="3479">IF(AND($I$7=" ",OR(I365&lt;&gt;"",K365&lt;&gt;"",L365&lt;&gt;"")),"×","○")</f>
        <v>○</v>
      </c>
      <c r="BE365" s="653" t="str">
        <f t="shared" ref="BE365" si="3480">IF(AND($M$7=" ",OR(M365&lt;&gt;"",O365&lt;&gt;"",P365&lt;&gt;"",Q365&lt;&gt;"")),"×","○")</f>
        <v>○</v>
      </c>
      <c r="BF365" s="653" t="str">
        <f t="shared" ref="BF365" si="3481">IF(AND($R$7=" ",OR(R365&lt;&gt;"",T365&lt;&gt;"",U365&lt;&gt;"",V365&lt;&gt;"")),"×","○")</f>
        <v>○</v>
      </c>
      <c r="BG365" s="653" t="str">
        <f t="shared" ref="BG365" si="3482">IF(AND($W$7=" ",OR(W365&lt;&gt;"",Y365&lt;&gt;"",Z365&lt;&gt;"",AA365&lt;&gt;"")),"×","○")</f>
        <v>○</v>
      </c>
      <c r="BH365" s="653" t="str">
        <f t="shared" ref="BH365" si="3483">IF(AND($AB$7=" ",OR(AB365&lt;&gt;"",AD365&lt;&gt;"",AE365&lt;&gt;"",AF365&lt;&gt;"")),"×","○")</f>
        <v>○</v>
      </c>
      <c r="BI365" s="653" t="str">
        <f t="shared" ref="BI365" si="3484">IF(AND($AG$7=" ",OR(AG365&lt;&gt;"",AI365&lt;&gt;"",AJ365&lt;&gt;"")),"×","○")</f>
        <v>○</v>
      </c>
      <c r="BJ365" s="2225" t="e">
        <f t="shared" ref="BJ365" si="3485">SUMPRODUCT(1/COUNTIF(I365:AH365,"宿泊"))</f>
        <v>#DIV/0!</v>
      </c>
      <c r="BK365" s="2226" t="e">
        <f t="shared" ref="BK365" si="3486">SUMPRODUCT(1/COUNTIF(I365:AH365,"日帰り"))</f>
        <v>#DIV/0!</v>
      </c>
      <c r="BL365" s="1381">
        <f t="shared" ref="BL365" si="3487">COUNT(BJ365)-COUNT(BK365)</f>
        <v>0</v>
      </c>
      <c r="BM365" s="684"/>
    </row>
    <row r="366" spans="1:65" ht="14.1" customHeight="1" x14ac:dyDescent="0.15">
      <c r="A366" s="652"/>
      <c r="B366" s="2174"/>
      <c r="C366" s="2144"/>
      <c r="D366" s="2007"/>
      <c r="E366" s="2005"/>
      <c r="F366" s="2042"/>
      <c r="G366" s="2119"/>
      <c r="H366" s="2107"/>
      <c r="I366" s="2112"/>
      <c r="J366" s="2113"/>
      <c r="K366" s="2105"/>
      <c r="L366" s="2127"/>
      <c r="M366" s="2112"/>
      <c r="N366" s="2113"/>
      <c r="O366" s="2105"/>
      <c r="P366" s="2105"/>
      <c r="Q366" s="2107"/>
      <c r="R366" s="2112"/>
      <c r="S366" s="2113"/>
      <c r="T366" s="2105"/>
      <c r="U366" s="2105"/>
      <c r="V366" s="2107"/>
      <c r="W366" s="2112"/>
      <c r="X366" s="2113"/>
      <c r="Y366" s="2105"/>
      <c r="Z366" s="2105"/>
      <c r="AA366" s="2107"/>
      <c r="AB366" s="2112"/>
      <c r="AC366" s="2113"/>
      <c r="AD366" s="2105"/>
      <c r="AE366" s="2105"/>
      <c r="AF366" s="2107"/>
      <c r="AG366" s="2112"/>
      <c r="AH366" s="2113"/>
      <c r="AI366" s="2105"/>
      <c r="AJ366" s="2105"/>
      <c r="AK366" s="2011"/>
      <c r="AL366" s="2012"/>
      <c r="AM366" s="2012"/>
      <c r="AN366" s="2013"/>
      <c r="AO366" s="2011"/>
      <c r="AP366" s="2012"/>
      <c r="AQ366" s="2012"/>
      <c r="AR366" s="2013"/>
      <c r="AS366" s="651"/>
      <c r="AT366" s="652"/>
      <c r="AU366" s="1983"/>
      <c r="AV366" s="1983"/>
      <c r="AW366" s="1983"/>
      <c r="AX366" s="1983"/>
      <c r="AY366" s="1983"/>
      <c r="AZ366" s="1983"/>
      <c r="BA366" s="1983"/>
      <c r="BB366" s="654"/>
      <c r="BC366" s="654"/>
      <c r="BD366" s="652"/>
      <c r="BE366" s="652"/>
      <c r="BF366" s="652"/>
      <c r="BG366" s="652"/>
      <c r="BH366" s="652"/>
      <c r="BI366" s="652"/>
      <c r="BJ366" s="2225"/>
      <c r="BK366" s="2226"/>
      <c r="BL366" s="1381"/>
      <c r="BM366" s="684"/>
    </row>
    <row r="367" spans="1:65" ht="14.1" customHeight="1" x14ac:dyDescent="0.15">
      <c r="A367" s="652" t="str">
        <f t="shared" ref="A367" si="3488">IF(AND(D367="",D369&lt;&gt;""),"×","○")</f>
        <v>○</v>
      </c>
      <c r="B367" s="2174" t="str">
        <f t="shared" ref="B367" si="3489">IF(AND(AT367="○",BB367="○",BC367="○",A367="○"),"○","×")</f>
        <v>○</v>
      </c>
      <c r="C367" s="2143">
        <v>177</v>
      </c>
      <c r="D367" s="2006"/>
      <c r="E367" s="2004"/>
      <c r="F367" s="2041"/>
      <c r="G367" s="2118"/>
      <c r="H367" s="2106"/>
      <c r="I367" s="2141"/>
      <c r="J367" s="2142"/>
      <c r="K367" s="2104"/>
      <c r="L367" s="2140"/>
      <c r="M367" s="2110"/>
      <c r="N367" s="2111"/>
      <c r="O367" s="2104"/>
      <c r="P367" s="2104"/>
      <c r="Q367" s="2106"/>
      <c r="R367" s="2110"/>
      <c r="S367" s="2111"/>
      <c r="T367" s="2104"/>
      <c r="U367" s="2104"/>
      <c r="V367" s="2106"/>
      <c r="W367" s="2110"/>
      <c r="X367" s="2111"/>
      <c r="Y367" s="2104"/>
      <c r="Z367" s="2104"/>
      <c r="AA367" s="2106"/>
      <c r="AB367" s="2110"/>
      <c r="AC367" s="2111"/>
      <c r="AD367" s="2104"/>
      <c r="AE367" s="2104"/>
      <c r="AF367" s="2106"/>
      <c r="AG367" s="2110"/>
      <c r="AH367" s="2111"/>
      <c r="AI367" s="2104"/>
      <c r="AJ367" s="2104"/>
      <c r="AK367" s="2038"/>
      <c r="AL367" s="2039"/>
      <c r="AM367" s="2039"/>
      <c r="AN367" s="2040"/>
      <c r="AO367" s="2008"/>
      <c r="AP367" s="2009"/>
      <c r="AQ367" s="2009"/>
      <c r="AR367" s="2010"/>
      <c r="AS367" s="651"/>
      <c r="AT367" s="652" t="str">
        <f t="shared" ref="AT367" si="3490">IF(OR(AND(D367&lt;&gt;"",OR(AND(E367&lt;&gt;"",F367&lt;&gt;"",OR(G367&lt;&gt;"",H367&lt;&gt;"")),AND(E367="",F367="バス・カメラマン等"))),AND(D367="",E367="",F367="",OR(G367="",H367=""))),"○","×")</f>
        <v>○</v>
      </c>
      <c r="AU367" s="1983" t="str">
        <f t="shared" ref="AU367" si="3491">IF(AND(E367&lt;&gt;"",E367&lt;=2),"2歳児以下","")</f>
        <v/>
      </c>
      <c r="AV367" s="1983" t="str">
        <f t="shared" ref="AV367" si="3492">IF(OR(AND(3&lt;=E367,E367&lt;=6),COUNTIF(E367, "幼*"),COUNTIF(E367, "年少"),COUNTIF(E367, "年中"),COUNTIF(E367, "年長")),"3歳-学齢前","")</f>
        <v/>
      </c>
      <c r="AW367" s="1983" t="str">
        <f t="shared" ref="AW367" si="3493">IF(OR(AND(6&lt;=E367,E367&lt;=12),COUNTIF(E367, "小*")),"小学生","")</f>
        <v/>
      </c>
      <c r="AX367" s="1983" t="str">
        <f t="shared" ref="AX367" si="3494">IF(OR(AND(12&lt;=E367,E367&lt;=15),COUNTIF(E367, "中*")),"中学生","")</f>
        <v/>
      </c>
      <c r="AY367" s="1983" t="str">
        <f t="shared" ref="AY367" si="3495">IF(OR(AND(15&lt;=E367,E367&lt;=18),COUNTIF(E367, "高*")),"高校生(～18歳)","")</f>
        <v/>
      </c>
      <c r="AZ367" s="1983" t="str">
        <f t="shared" ref="AZ367" si="3496">IF(OR(19&lt;=E367,COUNTIF(E367, "大*"),COUNTIF(E367, "*院*"),COUNTIF(E367, "*専*")),"一般(19歳～)","")</f>
        <v/>
      </c>
      <c r="BA367" s="1983" t="s">
        <v>475</v>
      </c>
      <c r="BB367" s="652" t="str">
        <f t="shared" ref="BB367" si="3497">IF(OR(AND(D367="",I367="",M367="",R367="",W367="",AB367="",AG367=""),AND(D367&lt;&gt;"",OR(I367&lt;&gt;"",M367&lt;&gt;"",R367&lt;&gt;"",W367&lt;&gt;"",AB367&lt;&gt;"",AG367&lt;&gt;""))),"○","×")</f>
        <v>○</v>
      </c>
      <c r="BC367" s="652" t="str">
        <f t="shared" ref="BC367" si="3498">IF(AND(BD367="○",BE367="○",BF367="○",BG367="○",BH367="○",BI367="○"),"○","×")</f>
        <v>○</v>
      </c>
      <c r="BD367" s="653" t="str">
        <f t="shared" ref="BD367" si="3499">IF(AND($I$7=" ",OR(I367&lt;&gt;"",K367&lt;&gt;"",L367&lt;&gt;"")),"×","○")</f>
        <v>○</v>
      </c>
      <c r="BE367" s="653" t="str">
        <f t="shared" ref="BE367" si="3500">IF(AND($M$7=" ",OR(M367&lt;&gt;"",O367&lt;&gt;"",P367&lt;&gt;"",Q367&lt;&gt;"")),"×","○")</f>
        <v>○</v>
      </c>
      <c r="BF367" s="653" t="str">
        <f t="shared" ref="BF367" si="3501">IF(AND($R$7=" ",OR(R367&lt;&gt;"",T367&lt;&gt;"",U367&lt;&gt;"",V367&lt;&gt;"")),"×","○")</f>
        <v>○</v>
      </c>
      <c r="BG367" s="653" t="str">
        <f t="shared" ref="BG367" si="3502">IF(AND($W$7=" ",OR(W367&lt;&gt;"",Y367&lt;&gt;"",Z367&lt;&gt;"",AA367&lt;&gt;"")),"×","○")</f>
        <v>○</v>
      </c>
      <c r="BH367" s="653" t="str">
        <f t="shared" ref="BH367" si="3503">IF(AND($AB$7=" ",OR(AB367&lt;&gt;"",AD367&lt;&gt;"",AE367&lt;&gt;"",AF367&lt;&gt;"")),"×","○")</f>
        <v>○</v>
      </c>
      <c r="BI367" s="653" t="str">
        <f t="shared" ref="BI367" si="3504">IF(AND($AG$7=" ",OR(AG367&lt;&gt;"",AI367&lt;&gt;"",AJ367&lt;&gt;"")),"×","○")</f>
        <v>○</v>
      </c>
      <c r="BJ367" s="2225" t="e">
        <f t="shared" ref="BJ367" si="3505">SUMPRODUCT(1/COUNTIF(I367:AH367,"宿泊"))</f>
        <v>#DIV/0!</v>
      </c>
      <c r="BK367" s="2226" t="e">
        <f t="shared" ref="BK367" si="3506">SUMPRODUCT(1/COUNTIF(I367:AH367,"日帰り"))</f>
        <v>#DIV/0!</v>
      </c>
      <c r="BL367" s="1381">
        <f t="shared" ref="BL367" si="3507">COUNT(BJ367)-COUNT(BK367)</f>
        <v>0</v>
      </c>
      <c r="BM367" s="684"/>
    </row>
    <row r="368" spans="1:65" ht="14.1" customHeight="1" x14ac:dyDescent="0.15">
      <c r="A368" s="652"/>
      <c r="B368" s="2174"/>
      <c r="C368" s="2144"/>
      <c r="D368" s="2007"/>
      <c r="E368" s="2005"/>
      <c r="F368" s="2042"/>
      <c r="G368" s="2119"/>
      <c r="H368" s="2107"/>
      <c r="I368" s="2112"/>
      <c r="J368" s="2113"/>
      <c r="K368" s="2105"/>
      <c r="L368" s="2127"/>
      <c r="M368" s="2112"/>
      <c r="N368" s="2113"/>
      <c r="O368" s="2105"/>
      <c r="P368" s="2105"/>
      <c r="Q368" s="2107"/>
      <c r="R368" s="2112"/>
      <c r="S368" s="2113"/>
      <c r="T368" s="2105"/>
      <c r="U368" s="2105"/>
      <c r="V368" s="2107"/>
      <c r="W368" s="2112"/>
      <c r="X368" s="2113"/>
      <c r="Y368" s="2105"/>
      <c r="Z368" s="2105"/>
      <c r="AA368" s="2107"/>
      <c r="AB368" s="2112"/>
      <c r="AC368" s="2113"/>
      <c r="AD368" s="2105"/>
      <c r="AE368" s="2105"/>
      <c r="AF368" s="2107"/>
      <c r="AG368" s="2112"/>
      <c r="AH368" s="2113"/>
      <c r="AI368" s="2105"/>
      <c r="AJ368" s="2105"/>
      <c r="AK368" s="2011"/>
      <c r="AL368" s="2012"/>
      <c r="AM368" s="2012"/>
      <c r="AN368" s="2013"/>
      <c r="AO368" s="2011"/>
      <c r="AP368" s="2012"/>
      <c r="AQ368" s="2012"/>
      <c r="AR368" s="2013"/>
      <c r="AS368" s="651"/>
      <c r="AT368" s="652"/>
      <c r="AU368" s="1983"/>
      <c r="AV368" s="1983"/>
      <c r="AW368" s="1983"/>
      <c r="AX368" s="1983"/>
      <c r="AY368" s="1983"/>
      <c r="AZ368" s="1983"/>
      <c r="BA368" s="1983"/>
      <c r="BB368" s="654"/>
      <c r="BC368" s="654"/>
      <c r="BD368" s="652"/>
      <c r="BE368" s="652"/>
      <c r="BF368" s="652"/>
      <c r="BG368" s="652"/>
      <c r="BH368" s="652"/>
      <c r="BI368" s="652"/>
      <c r="BJ368" s="2225"/>
      <c r="BK368" s="2226"/>
      <c r="BL368" s="1381"/>
      <c r="BM368" s="684"/>
    </row>
    <row r="369" spans="1:66" ht="14.1" customHeight="1" x14ac:dyDescent="0.15">
      <c r="A369" s="652" t="str">
        <f t="shared" ref="A369" si="3508">IF(AND(D369="",D371&lt;&gt;""),"×","○")</f>
        <v>○</v>
      </c>
      <c r="B369" s="2174" t="str">
        <f t="shared" ref="B369" si="3509">IF(AND(AT369="○",BB369="○",BC369="○",A369="○"),"○","×")</f>
        <v>○</v>
      </c>
      <c r="C369" s="2143">
        <v>178</v>
      </c>
      <c r="D369" s="2006"/>
      <c r="E369" s="2004"/>
      <c r="F369" s="2041"/>
      <c r="G369" s="2118"/>
      <c r="H369" s="2106"/>
      <c r="I369" s="2141"/>
      <c r="J369" s="2142"/>
      <c r="K369" s="2104"/>
      <c r="L369" s="2140"/>
      <c r="M369" s="2110"/>
      <c r="N369" s="2111"/>
      <c r="O369" s="2104"/>
      <c r="P369" s="2104"/>
      <c r="Q369" s="2106"/>
      <c r="R369" s="2110"/>
      <c r="S369" s="2111"/>
      <c r="T369" s="2104"/>
      <c r="U369" s="2104"/>
      <c r="V369" s="2106"/>
      <c r="W369" s="2110"/>
      <c r="X369" s="2111"/>
      <c r="Y369" s="2104"/>
      <c r="Z369" s="2104"/>
      <c r="AA369" s="2106"/>
      <c r="AB369" s="2110"/>
      <c r="AC369" s="2111"/>
      <c r="AD369" s="2104"/>
      <c r="AE369" s="2104"/>
      <c r="AF369" s="2106"/>
      <c r="AG369" s="2110"/>
      <c r="AH369" s="2111"/>
      <c r="AI369" s="2104"/>
      <c r="AJ369" s="2104"/>
      <c r="AK369" s="2038"/>
      <c r="AL369" s="2039"/>
      <c r="AM369" s="2039"/>
      <c r="AN369" s="2040"/>
      <c r="AO369" s="2008"/>
      <c r="AP369" s="2009"/>
      <c r="AQ369" s="2009"/>
      <c r="AR369" s="2010"/>
      <c r="AS369" s="651"/>
      <c r="AT369" s="652" t="str">
        <f t="shared" ref="AT369" si="3510">IF(OR(AND(D369&lt;&gt;"",OR(AND(E369&lt;&gt;"",F369&lt;&gt;"",OR(G369&lt;&gt;"",H369&lt;&gt;"")),AND(E369="",F369="バス・カメラマン等"))),AND(D369="",E369="",F369="",OR(G369="",H369=""))),"○","×")</f>
        <v>○</v>
      </c>
      <c r="AU369" s="1983" t="str">
        <f t="shared" ref="AU369" si="3511">IF(AND(E369&lt;&gt;"",E369&lt;=2),"2歳児以下","")</f>
        <v/>
      </c>
      <c r="AV369" s="1983" t="str">
        <f t="shared" ref="AV369" si="3512">IF(OR(AND(3&lt;=E369,E369&lt;=6),COUNTIF(E369, "幼*"),COUNTIF(E369, "年少"),COUNTIF(E369, "年中"),COUNTIF(E369, "年長")),"3歳-学齢前","")</f>
        <v/>
      </c>
      <c r="AW369" s="1983" t="str">
        <f t="shared" ref="AW369" si="3513">IF(OR(AND(6&lt;=E369,E369&lt;=12),COUNTIF(E369, "小*")),"小学生","")</f>
        <v/>
      </c>
      <c r="AX369" s="1983" t="str">
        <f t="shared" ref="AX369" si="3514">IF(OR(AND(12&lt;=E369,E369&lt;=15),COUNTIF(E369, "中*")),"中学生","")</f>
        <v/>
      </c>
      <c r="AY369" s="1983" t="str">
        <f t="shared" ref="AY369" si="3515">IF(OR(AND(15&lt;=E369,E369&lt;=18),COUNTIF(E369, "高*")),"高校生(～18歳)","")</f>
        <v/>
      </c>
      <c r="AZ369" s="1983" t="str">
        <f t="shared" ref="AZ369" si="3516">IF(OR(19&lt;=E369,COUNTIF(E369, "大*"),COUNTIF(E369, "*院*"),COUNTIF(E369, "*専*")),"一般(19歳～)","")</f>
        <v/>
      </c>
      <c r="BA369" s="1983" t="s">
        <v>475</v>
      </c>
      <c r="BB369" s="652" t="str">
        <f t="shared" ref="BB369" si="3517">IF(OR(AND(D369="",I369="",M369="",R369="",W369="",AB369="",AG369=""),AND(D369&lt;&gt;"",OR(I369&lt;&gt;"",M369&lt;&gt;"",R369&lt;&gt;"",W369&lt;&gt;"",AB369&lt;&gt;"",AG369&lt;&gt;""))),"○","×")</f>
        <v>○</v>
      </c>
      <c r="BC369" s="652" t="str">
        <f t="shared" ref="BC369" si="3518">IF(AND(BD369="○",BE369="○",BF369="○",BG369="○",BH369="○",BI369="○"),"○","×")</f>
        <v>○</v>
      </c>
      <c r="BD369" s="653" t="str">
        <f t="shared" ref="BD369" si="3519">IF(AND($I$7=" ",OR(I369&lt;&gt;"",K369&lt;&gt;"",L369&lt;&gt;"")),"×","○")</f>
        <v>○</v>
      </c>
      <c r="BE369" s="653" t="str">
        <f t="shared" ref="BE369" si="3520">IF(AND($M$7=" ",OR(M369&lt;&gt;"",O369&lt;&gt;"",P369&lt;&gt;"",Q369&lt;&gt;"")),"×","○")</f>
        <v>○</v>
      </c>
      <c r="BF369" s="653" t="str">
        <f t="shared" ref="BF369" si="3521">IF(AND($R$7=" ",OR(R369&lt;&gt;"",T369&lt;&gt;"",U369&lt;&gt;"",V369&lt;&gt;"")),"×","○")</f>
        <v>○</v>
      </c>
      <c r="BG369" s="653" t="str">
        <f t="shared" ref="BG369" si="3522">IF(AND($W$7=" ",OR(W369&lt;&gt;"",Y369&lt;&gt;"",Z369&lt;&gt;"",AA369&lt;&gt;"")),"×","○")</f>
        <v>○</v>
      </c>
      <c r="BH369" s="653" t="str">
        <f t="shared" ref="BH369" si="3523">IF(AND($AB$7=" ",OR(AB369&lt;&gt;"",AD369&lt;&gt;"",AE369&lt;&gt;"",AF369&lt;&gt;"")),"×","○")</f>
        <v>○</v>
      </c>
      <c r="BI369" s="653" t="str">
        <f t="shared" ref="BI369" si="3524">IF(AND($AG$7=" ",OR(AG369&lt;&gt;"",AI369&lt;&gt;"",AJ369&lt;&gt;"")),"×","○")</f>
        <v>○</v>
      </c>
      <c r="BJ369" s="2225" t="e">
        <f t="shared" ref="BJ369" si="3525">SUMPRODUCT(1/COUNTIF(I369:AH369,"宿泊"))</f>
        <v>#DIV/0!</v>
      </c>
      <c r="BK369" s="2226" t="e">
        <f t="shared" ref="BK369" si="3526">SUMPRODUCT(1/COUNTIF(I369:AH369,"日帰り"))</f>
        <v>#DIV/0!</v>
      </c>
      <c r="BL369" s="1381">
        <f t="shared" ref="BL369" si="3527">COUNT(BJ369)-COUNT(BK369)</f>
        <v>0</v>
      </c>
      <c r="BM369" s="684"/>
    </row>
    <row r="370" spans="1:66" ht="14.1" customHeight="1" x14ac:dyDescent="0.15">
      <c r="A370" s="652"/>
      <c r="B370" s="2174"/>
      <c r="C370" s="2144"/>
      <c r="D370" s="2007"/>
      <c r="E370" s="2005"/>
      <c r="F370" s="2042"/>
      <c r="G370" s="2119"/>
      <c r="H370" s="2107"/>
      <c r="I370" s="2112"/>
      <c r="J370" s="2113"/>
      <c r="K370" s="2105"/>
      <c r="L370" s="2127"/>
      <c r="M370" s="2112"/>
      <c r="N370" s="2113"/>
      <c r="O370" s="2105"/>
      <c r="P370" s="2105"/>
      <c r="Q370" s="2107"/>
      <c r="R370" s="2112"/>
      <c r="S370" s="2113"/>
      <c r="T370" s="2105"/>
      <c r="U370" s="2105"/>
      <c r="V370" s="2107"/>
      <c r="W370" s="2112"/>
      <c r="X370" s="2113"/>
      <c r="Y370" s="2105"/>
      <c r="Z370" s="2105"/>
      <c r="AA370" s="2107"/>
      <c r="AB370" s="2112"/>
      <c r="AC370" s="2113"/>
      <c r="AD370" s="2105"/>
      <c r="AE370" s="2105"/>
      <c r="AF370" s="2107"/>
      <c r="AG370" s="2112"/>
      <c r="AH370" s="2113"/>
      <c r="AI370" s="2105"/>
      <c r="AJ370" s="2105"/>
      <c r="AK370" s="2011"/>
      <c r="AL370" s="2012"/>
      <c r="AM370" s="2012"/>
      <c r="AN370" s="2013"/>
      <c r="AO370" s="2011"/>
      <c r="AP370" s="2012"/>
      <c r="AQ370" s="2012"/>
      <c r="AR370" s="2013"/>
      <c r="AS370" s="651"/>
      <c r="AT370" s="652"/>
      <c r="AU370" s="1983"/>
      <c r="AV370" s="1983"/>
      <c r="AW370" s="1983"/>
      <c r="AX370" s="1983"/>
      <c r="AY370" s="1983"/>
      <c r="AZ370" s="1983"/>
      <c r="BA370" s="1983"/>
      <c r="BB370" s="654"/>
      <c r="BC370" s="654"/>
      <c r="BD370" s="652"/>
      <c r="BE370" s="652"/>
      <c r="BF370" s="652"/>
      <c r="BG370" s="652"/>
      <c r="BH370" s="652"/>
      <c r="BI370" s="652"/>
      <c r="BJ370" s="2225"/>
      <c r="BK370" s="2226"/>
      <c r="BL370" s="1381"/>
      <c r="BM370" s="684"/>
    </row>
    <row r="371" spans="1:66" ht="14.1" customHeight="1" x14ac:dyDescent="0.15">
      <c r="A371" s="652" t="str">
        <f t="shared" ref="A371" si="3528">IF(AND(D371="",D373&lt;&gt;""),"×","○")</f>
        <v>○</v>
      </c>
      <c r="B371" s="2174" t="str">
        <f t="shared" ref="B371" si="3529">IF(AND(AT371="○",BB371="○",BC371="○",A371="○"),"○","×")</f>
        <v>○</v>
      </c>
      <c r="C371" s="2143">
        <v>179</v>
      </c>
      <c r="D371" s="2006"/>
      <c r="E371" s="2004"/>
      <c r="F371" s="2041"/>
      <c r="G371" s="2118"/>
      <c r="H371" s="2106"/>
      <c r="I371" s="2141"/>
      <c r="J371" s="2142"/>
      <c r="K371" s="2104"/>
      <c r="L371" s="2140"/>
      <c r="M371" s="2110"/>
      <c r="N371" s="2111"/>
      <c r="O371" s="2104"/>
      <c r="P371" s="2104"/>
      <c r="Q371" s="2106"/>
      <c r="R371" s="2110"/>
      <c r="S371" s="2111"/>
      <c r="T371" s="2104"/>
      <c r="U371" s="2104"/>
      <c r="V371" s="2106"/>
      <c r="W371" s="2110"/>
      <c r="X371" s="2111"/>
      <c r="Y371" s="2104"/>
      <c r="Z371" s="2104"/>
      <c r="AA371" s="2106"/>
      <c r="AB371" s="2110"/>
      <c r="AC371" s="2111"/>
      <c r="AD371" s="2104"/>
      <c r="AE371" s="2104"/>
      <c r="AF371" s="2106"/>
      <c r="AG371" s="2110"/>
      <c r="AH371" s="2111"/>
      <c r="AI371" s="2104"/>
      <c r="AJ371" s="2104"/>
      <c r="AK371" s="2038"/>
      <c r="AL371" s="2039"/>
      <c r="AM371" s="2039"/>
      <c r="AN371" s="2040"/>
      <c r="AO371" s="2008"/>
      <c r="AP371" s="2009"/>
      <c r="AQ371" s="2009"/>
      <c r="AR371" s="2010"/>
      <c r="AS371" s="651"/>
      <c r="AT371" s="652" t="str">
        <f t="shared" ref="AT371" si="3530">IF(OR(AND(D371&lt;&gt;"",OR(AND(E371&lt;&gt;"",F371&lt;&gt;"",OR(G371&lt;&gt;"",H371&lt;&gt;"")),AND(E371="",F371="バス・カメラマン等"))),AND(D371="",E371="",F371="",OR(G371="",H371=""))),"○","×")</f>
        <v>○</v>
      </c>
      <c r="AU371" s="1983" t="str">
        <f t="shared" ref="AU371" si="3531">IF(AND(E371&lt;&gt;"",E371&lt;=2),"2歳児以下","")</f>
        <v/>
      </c>
      <c r="AV371" s="1983" t="str">
        <f t="shared" ref="AV371" si="3532">IF(OR(AND(3&lt;=E371,E371&lt;=6),COUNTIF(E371, "幼*"),COUNTIF(E371, "年少"),COUNTIF(E371, "年中"),COUNTIF(E371, "年長")),"3歳-学齢前","")</f>
        <v/>
      </c>
      <c r="AW371" s="1983" t="str">
        <f t="shared" ref="AW371" si="3533">IF(OR(AND(6&lt;=E371,E371&lt;=12),COUNTIF(E371, "小*")),"小学生","")</f>
        <v/>
      </c>
      <c r="AX371" s="1983" t="str">
        <f t="shared" ref="AX371" si="3534">IF(OR(AND(12&lt;=E371,E371&lt;=15),COUNTIF(E371, "中*")),"中学生","")</f>
        <v/>
      </c>
      <c r="AY371" s="1983" t="str">
        <f t="shared" ref="AY371" si="3535">IF(OR(AND(15&lt;=E371,E371&lt;=18),COUNTIF(E371, "高*")),"高校生(～18歳)","")</f>
        <v/>
      </c>
      <c r="AZ371" s="1983" t="str">
        <f t="shared" ref="AZ371" si="3536">IF(OR(19&lt;=E371,COUNTIF(E371, "大*"),COUNTIF(E371, "*院*"),COUNTIF(E371, "*専*")),"一般(19歳～)","")</f>
        <v/>
      </c>
      <c r="BA371" s="1983" t="s">
        <v>475</v>
      </c>
      <c r="BB371" s="652" t="str">
        <f t="shared" ref="BB371" si="3537">IF(OR(AND(D371="",I371="",M371="",R371="",W371="",AB371="",AG371=""),AND(D371&lt;&gt;"",OR(I371&lt;&gt;"",M371&lt;&gt;"",R371&lt;&gt;"",W371&lt;&gt;"",AB371&lt;&gt;"",AG371&lt;&gt;""))),"○","×")</f>
        <v>○</v>
      </c>
      <c r="BC371" s="652" t="str">
        <f t="shared" ref="BC371" si="3538">IF(AND(BD371="○",BE371="○",BF371="○",BG371="○",BH371="○",BI371="○"),"○","×")</f>
        <v>○</v>
      </c>
      <c r="BD371" s="653" t="str">
        <f t="shared" ref="BD371" si="3539">IF(AND($I$7=" ",OR(I371&lt;&gt;"",K371&lt;&gt;"",L371&lt;&gt;"")),"×","○")</f>
        <v>○</v>
      </c>
      <c r="BE371" s="653" t="str">
        <f t="shared" ref="BE371" si="3540">IF(AND($M$7=" ",OR(M371&lt;&gt;"",O371&lt;&gt;"",P371&lt;&gt;"",Q371&lt;&gt;"")),"×","○")</f>
        <v>○</v>
      </c>
      <c r="BF371" s="653" t="str">
        <f t="shared" ref="BF371" si="3541">IF(AND($R$7=" ",OR(R371&lt;&gt;"",T371&lt;&gt;"",U371&lt;&gt;"",V371&lt;&gt;"")),"×","○")</f>
        <v>○</v>
      </c>
      <c r="BG371" s="653" t="str">
        <f t="shared" ref="BG371" si="3542">IF(AND($W$7=" ",OR(W371&lt;&gt;"",Y371&lt;&gt;"",Z371&lt;&gt;"",AA371&lt;&gt;"")),"×","○")</f>
        <v>○</v>
      </c>
      <c r="BH371" s="653" t="str">
        <f t="shared" ref="BH371" si="3543">IF(AND($AB$7=" ",OR(AB371&lt;&gt;"",AD371&lt;&gt;"",AE371&lt;&gt;"",AF371&lt;&gt;"")),"×","○")</f>
        <v>○</v>
      </c>
      <c r="BI371" s="653" t="str">
        <f t="shared" ref="BI371" si="3544">IF(AND($AG$7=" ",OR(AG371&lt;&gt;"",AI371&lt;&gt;"",AJ371&lt;&gt;"")),"×","○")</f>
        <v>○</v>
      </c>
      <c r="BJ371" s="2225" t="e">
        <f t="shared" ref="BJ371" si="3545">SUMPRODUCT(1/COUNTIF(I371:AH371,"宿泊"))</f>
        <v>#DIV/0!</v>
      </c>
      <c r="BK371" s="2226" t="e">
        <f t="shared" ref="BK371" si="3546">SUMPRODUCT(1/COUNTIF(I371:AH371,"日帰り"))</f>
        <v>#DIV/0!</v>
      </c>
      <c r="BL371" s="1381">
        <f t="shared" ref="BL371" si="3547">COUNT(BJ371)-COUNT(BK371)</f>
        <v>0</v>
      </c>
      <c r="BM371" s="684"/>
    </row>
    <row r="372" spans="1:66" ht="14.1" customHeight="1" x14ac:dyDescent="0.15">
      <c r="A372" s="652"/>
      <c r="B372" s="2174"/>
      <c r="C372" s="2144"/>
      <c r="D372" s="2007"/>
      <c r="E372" s="2005"/>
      <c r="F372" s="2042"/>
      <c r="G372" s="2119"/>
      <c r="H372" s="2107"/>
      <c r="I372" s="2112"/>
      <c r="J372" s="2113"/>
      <c r="K372" s="2105"/>
      <c r="L372" s="2127"/>
      <c r="M372" s="2112"/>
      <c r="N372" s="2113"/>
      <c r="O372" s="2105"/>
      <c r="P372" s="2105"/>
      <c r="Q372" s="2107"/>
      <c r="R372" s="2112"/>
      <c r="S372" s="2113"/>
      <c r="T372" s="2105"/>
      <c r="U372" s="2105"/>
      <c r="V372" s="2107"/>
      <c r="W372" s="2112"/>
      <c r="X372" s="2113"/>
      <c r="Y372" s="2105"/>
      <c r="Z372" s="2105"/>
      <c r="AA372" s="2107"/>
      <c r="AB372" s="2112"/>
      <c r="AC372" s="2113"/>
      <c r="AD372" s="2105"/>
      <c r="AE372" s="2105"/>
      <c r="AF372" s="2107"/>
      <c r="AG372" s="2112"/>
      <c r="AH372" s="2113"/>
      <c r="AI372" s="2105"/>
      <c r="AJ372" s="2105"/>
      <c r="AK372" s="2011"/>
      <c r="AL372" s="2012"/>
      <c r="AM372" s="2012"/>
      <c r="AN372" s="2013"/>
      <c r="AO372" s="2011"/>
      <c r="AP372" s="2012"/>
      <c r="AQ372" s="2012"/>
      <c r="AR372" s="2013"/>
      <c r="AS372" s="651"/>
      <c r="AT372" s="652"/>
      <c r="AU372" s="1983"/>
      <c r="AV372" s="1983"/>
      <c r="AW372" s="1983"/>
      <c r="AX372" s="1983"/>
      <c r="AY372" s="1983"/>
      <c r="AZ372" s="1983"/>
      <c r="BA372" s="1983"/>
      <c r="BB372" s="654"/>
      <c r="BC372" s="654"/>
      <c r="BD372" s="652"/>
      <c r="BE372" s="652"/>
      <c r="BF372" s="652"/>
      <c r="BG372" s="652"/>
      <c r="BH372" s="652"/>
      <c r="BI372" s="652"/>
      <c r="BJ372" s="2225"/>
      <c r="BK372" s="2226"/>
      <c r="BL372" s="1381"/>
      <c r="BM372" s="684"/>
    </row>
    <row r="373" spans="1:66" ht="14.1" customHeight="1" x14ac:dyDescent="0.15">
      <c r="A373" s="652" t="str">
        <f t="shared" ref="A373" si="3548">IF(AND(D373="",D375&lt;&gt;""),"×","○")</f>
        <v>○</v>
      </c>
      <c r="B373" s="2174" t="str">
        <f t="shared" ref="B373" si="3549">IF(AND(AT373="○",BB373="○",BC373="○",A373="○"),"○","×")</f>
        <v>○</v>
      </c>
      <c r="C373" s="2143">
        <v>180</v>
      </c>
      <c r="D373" s="2006"/>
      <c r="E373" s="2004"/>
      <c r="F373" s="2041"/>
      <c r="G373" s="2118"/>
      <c r="H373" s="2106"/>
      <c r="I373" s="2141"/>
      <c r="J373" s="2142"/>
      <c r="K373" s="2104"/>
      <c r="L373" s="2140"/>
      <c r="M373" s="2110"/>
      <c r="N373" s="2111"/>
      <c r="O373" s="2104"/>
      <c r="P373" s="2104"/>
      <c r="Q373" s="2106"/>
      <c r="R373" s="2110"/>
      <c r="S373" s="2111"/>
      <c r="T373" s="2104"/>
      <c r="U373" s="2104"/>
      <c r="V373" s="2106"/>
      <c r="W373" s="2110"/>
      <c r="X373" s="2111"/>
      <c r="Y373" s="2104"/>
      <c r="Z373" s="2104"/>
      <c r="AA373" s="2106"/>
      <c r="AB373" s="2110"/>
      <c r="AC373" s="2111"/>
      <c r="AD373" s="2104"/>
      <c r="AE373" s="2104"/>
      <c r="AF373" s="2106"/>
      <c r="AG373" s="2110"/>
      <c r="AH373" s="2111"/>
      <c r="AI373" s="2104"/>
      <c r="AJ373" s="2104"/>
      <c r="AK373" s="2038"/>
      <c r="AL373" s="2039"/>
      <c r="AM373" s="2039"/>
      <c r="AN373" s="2040"/>
      <c r="AO373" s="2008"/>
      <c r="AP373" s="2009"/>
      <c r="AQ373" s="2009"/>
      <c r="AR373" s="2010"/>
      <c r="AS373" s="651"/>
      <c r="AT373" s="652" t="str">
        <f t="shared" ref="AT373" si="3550">IF(OR(AND(D373&lt;&gt;"",OR(AND(E373&lt;&gt;"",F373&lt;&gt;"",OR(G373&lt;&gt;"",H373&lt;&gt;"")),AND(E373="",F373="バス・カメラマン等"))),AND(D373="",E373="",F373="",OR(G373="",H373=""))),"○","×")</f>
        <v>○</v>
      </c>
      <c r="AU373" s="1983" t="str">
        <f t="shared" ref="AU373" si="3551">IF(AND(E373&lt;&gt;"",E373&lt;=2),"2歳児以下","")</f>
        <v/>
      </c>
      <c r="AV373" s="1983" t="str">
        <f t="shared" ref="AV373" si="3552">IF(OR(AND(3&lt;=E373,E373&lt;=6),COUNTIF(E373, "幼*"),COUNTIF(E373, "年少"),COUNTIF(E373, "年中"),COUNTIF(E373, "年長")),"3歳-学齢前","")</f>
        <v/>
      </c>
      <c r="AW373" s="1983" t="str">
        <f t="shared" ref="AW373" si="3553">IF(OR(AND(6&lt;=E373,E373&lt;=12),COUNTIF(E373, "小*")),"小学生","")</f>
        <v/>
      </c>
      <c r="AX373" s="1983" t="str">
        <f t="shared" ref="AX373" si="3554">IF(OR(AND(12&lt;=E373,E373&lt;=15),COUNTIF(E373, "中*")),"中学生","")</f>
        <v/>
      </c>
      <c r="AY373" s="1983" t="str">
        <f t="shared" ref="AY373" si="3555">IF(OR(AND(15&lt;=E373,E373&lt;=18),COUNTIF(E373, "高*")),"高校生(～18歳)","")</f>
        <v/>
      </c>
      <c r="AZ373" s="1983" t="str">
        <f t="shared" ref="AZ373" si="3556">IF(OR(19&lt;=E373,COUNTIF(E373, "大*"),COUNTIF(E373, "*院*"),COUNTIF(E373, "*専*")),"一般(19歳～)","")</f>
        <v/>
      </c>
      <c r="BA373" s="1983" t="s">
        <v>475</v>
      </c>
      <c r="BB373" s="652" t="str">
        <f t="shared" ref="BB373" si="3557">IF(OR(AND(D373="",I373="",M373="",R373="",W373="",AB373="",AG373=""),AND(D373&lt;&gt;"",OR(I373&lt;&gt;"",M373&lt;&gt;"",R373&lt;&gt;"",W373&lt;&gt;"",AB373&lt;&gt;"",AG373&lt;&gt;""))),"○","×")</f>
        <v>○</v>
      </c>
      <c r="BC373" s="652" t="str">
        <f t="shared" ref="BC373" si="3558">IF(AND(BD373="○",BE373="○",BF373="○",BG373="○",BH373="○",BI373="○"),"○","×")</f>
        <v>○</v>
      </c>
      <c r="BD373" s="653" t="str">
        <f t="shared" ref="BD373" si="3559">IF(AND($I$7=" ",OR(I373&lt;&gt;"",K373&lt;&gt;"",L373&lt;&gt;"")),"×","○")</f>
        <v>○</v>
      </c>
      <c r="BE373" s="653" t="str">
        <f t="shared" ref="BE373" si="3560">IF(AND($M$7=" ",OR(M373&lt;&gt;"",O373&lt;&gt;"",P373&lt;&gt;"",Q373&lt;&gt;"")),"×","○")</f>
        <v>○</v>
      </c>
      <c r="BF373" s="653" t="str">
        <f t="shared" ref="BF373" si="3561">IF(AND($R$7=" ",OR(R373&lt;&gt;"",T373&lt;&gt;"",U373&lt;&gt;"",V373&lt;&gt;"")),"×","○")</f>
        <v>○</v>
      </c>
      <c r="BG373" s="653" t="str">
        <f t="shared" ref="BG373" si="3562">IF(AND($W$7=" ",OR(W373&lt;&gt;"",Y373&lt;&gt;"",Z373&lt;&gt;"",AA373&lt;&gt;"")),"×","○")</f>
        <v>○</v>
      </c>
      <c r="BH373" s="653" t="str">
        <f t="shared" ref="BH373" si="3563">IF(AND($AB$7=" ",OR(AB373&lt;&gt;"",AD373&lt;&gt;"",AE373&lt;&gt;"",AF373&lt;&gt;"")),"×","○")</f>
        <v>○</v>
      </c>
      <c r="BI373" s="653" t="str">
        <f t="shared" ref="BI373" si="3564">IF(AND($AG$7=" ",OR(AG373&lt;&gt;"",AI373&lt;&gt;"",AJ373&lt;&gt;"")),"×","○")</f>
        <v>○</v>
      </c>
      <c r="BJ373" s="2225" t="e">
        <f t="shared" ref="BJ373" si="3565">SUMPRODUCT(1/COUNTIF(I373:AH373,"宿泊"))</f>
        <v>#DIV/0!</v>
      </c>
      <c r="BK373" s="2226" t="e">
        <f t="shared" ref="BK373" si="3566">SUMPRODUCT(1/COUNTIF(I373:AH373,"日帰り"))</f>
        <v>#DIV/0!</v>
      </c>
      <c r="BL373" s="1381">
        <f t="shared" ref="BL373" si="3567">COUNT(BJ373)-COUNT(BK373)</f>
        <v>0</v>
      </c>
      <c r="BM373" s="684"/>
      <c r="BN373" s="113"/>
    </row>
    <row r="374" spans="1:66" ht="14.1" customHeight="1" x14ac:dyDescent="0.15">
      <c r="A374" s="652"/>
      <c r="B374" s="2174"/>
      <c r="C374" s="2144"/>
      <c r="D374" s="2007"/>
      <c r="E374" s="2005"/>
      <c r="F374" s="2042"/>
      <c r="G374" s="2119"/>
      <c r="H374" s="2107"/>
      <c r="I374" s="2112"/>
      <c r="J374" s="2113"/>
      <c r="K374" s="2105"/>
      <c r="L374" s="2127"/>
      <c r="M374" s="2112"/>
      <c r="N374" s="2113"/>
      <c r="O374" s="2105"/>
      <c r="P374" s="2105"/>
      <c r="Q374" s="2107"/>
      <c r="R374" s="2112"/>
      <c r="S374" s="2113"/>
      <c r="T374" s="2105"/>
      <c r="U374" s="2105"/>
      <c r="V374" s="2107"/>
      <c r="W374" s="2112"/>
      <c r="X374" s="2113"/>
      <c r="Y374" s="2105"/>
      <c r="Z374" s="2105"/>
      <c r="AA374" s="2107"/>
      <c r="AB374" s="2112"/>
      <c r="AC374" s="2113"/>
      <c r="AD374" s="2105"/>
      <c r="AE374" s="2105"/>
      <c r="AF374" s="2107"/>
      <c r="AG374" s="2112"/>
      <c r="AH374" s="2113"/>
      <c r="AI374" s="2105"/>
      <c r="AJ374" s="2105"/>
      <c r="AK374" s="2011"/>
      <c r="AL374" s="2012"/>
      <c r="AM374" s="2012"/>
      <c r="AN374" s="2013"/>
      <c r="AO374" s="2011"/>
      <c r="AP374" s="2012"/>
      <c r="AQ374" s="2012"/>
      <c r="AR374" s="2013"/>
      <c r="AS374" s="651"/>
      <c r="AT374" s="652"/>
      <c r="AU374" s="1983"/>
      <c r="AV374" s="1983"/>
      <c r="AW374" s="1983"/>
      <c r="AX374" s="1983"/>
      <c r="AY374" s="1983"/>
      <c r="AZ374" s="1983"/>
      <c r="BA374" s="1983"/>
      <c r="BB374" s="654"/>
      <c r="BC374" s="654"/>
      <c r="BD374" s="652"/>
      <c r="BE374" s="652"/>
      <c r="BF374" s="652"/>
      <c r="BG374" s="652"/>
      <c r="BH374" s="652"/>
      <c r="BI374" s="652"/>
      <c r="BJ374" s="2225"/>
      <c r="BK374" s="2226"/>
      <c r="BL374" s="1381"/>
      <c r="BM374" s="684"/>
      <c r="BN374" s="113"/>
    </row>
    <row r="375" spans="1:66" ht="14.1" customHeight="1" x14ac:dyDescent="0.15">
      <c r="A375" s="652" t="str">
        <f t="shared" ref="A375" si="3568">IF(AND(D375="",D377&lt;&gt;""),"×","○")</f>
        <v>○</v>
      </c>
      <c r="B375" s="2174" t="str">
        <f t="shared" ref="B375" si="3569">IF(AND(AT375="○",BB375="○",BC375="○",A375="○"),"○","×")</f>
        <v>○</v>
      </c>
      <c r="C375" s="2116">
        <v>181</v>
      </c>
      <c r="D375" s="2006"/>
      <c r="E375" s="2004"/>
      <c r="F375" s="2041"/>
      <c r="G375" s="2118"/>
      <c r="H375" s="2106"/>
      <c r="I375" s="2141"/>
      <c r="J375" s="2142"/>
      <c r="K375" s="2104"/>
      <c r="L375" s="2140"/>
      <c r="M375" s="2110"/>
      <c r="N375" s="2111"/>
      <c r="O375" s="2104"/>
      <c r="P375" s="2104"/>
      <c r="Q375" s="2106"/>
      <c r="R375" s="2110"/>
      <c r="S375" s="2111"/>
      <c r="T375" s="2104"/>
      <c r="U375" s="2104"/>
      <c r="V375" s="2106"/>
      <c r="W375" s="2110"/>
      <c r="X375" s="2111"/>
      <c r="Y375" s="2104"/>
      <c r="Z375" s="2104"/>
      <c r="AA375" s="2106"/>
      <c r="AB375" s="2110"/>
      <c r="AC375" s="2111"/>
      <c r="AD375" s="2104"/>
      <c r="AE375" s="2104"/>
      <c r="AF375" s="2106"/>
      <c r="AG375" s="2110"/>
      <c r="AH375" s="2111"/>
      <c r="AI375" s="2104"/>
      <c r="AJ375" s="2104"/>
      <c r="AK375" s="2038"/>
      <c r="AL375" s="2039"/>
      <c r="AM375" s="2039"/>
      <c r="AN375" s="2040"/>
      <c r="AO375" s="2008"/>
      <c r="AP375" s="2009"/>
      <c r="AQ375" s="2009"/>
      <c r="AR375" s="2010"/>
      <c r="AS375" s="651"/>
      <c r="AT375" s="652" t="str">
        <f t="shared" ref="AT375" si="3570">IF(OR(AND(D375&lt;&gt;"",OR(AND(E375&lt;&gt;"",F375&lt;&gt;"",OR(G375&lt;&gt;"",H375&lt;&gt;"")),AND(E375="",F375="バス・カメラマン等"))),AND(D375="",E375="",F375="",OR(G375="",H375=""))),"○","×")</f>
        <v>○</v>
      </c>
      <c r="AU375" s="1983" t="str">
        <f t="shared" ref="AU375" si="3571">IF(AND(E375&lt;&gt;"",E375&lt;=2),"2歳児以下","")</f>
        <v/>
      </c>
      <c r="AV375" s="1983" t="str">
        <f t="shared" ref="AV375" si="3572">IF(OR(AND(3&lt;=E375,E375&lt;=6),COUNTIF(E375, "幼*"),COUNTIF(E375, "年少"),COUNTIF(E375, "年中"),COUNTIF(E375, "年長")),"3歳-学齢前","")</f>
        <v/>
      </c>
      <c r="AW375" s="1983" t="str">
        <f t="shared" ref="AW375" si="3573">IF(OR(AND(6&lt;=E375,E375&lt;=12),COUNTIF(E375, "小*")),"小学生","")</f>
        <v/>
      </c>
      <c r="AX375" s="1983" t="str">
        <f t="shared" ref="AX375" si="3574">IF(OR(AND(12&lt;=E375,E375&lt;=15),COUNTIF(E375, "中*")),"中学生","")</f>
        <v/>
      </c>
      <c r="AY375" s="1983" t="str">
        <f t="shared" ref="AY375" si="3575">IF(OR(AND(15&lt;=E375,E375&lt;=18),COUNTIF(E375, "高*")),"高校生(～18歳)","")</f>
        <v/>
      </c>
      <c r="AZ375" s="1983" t="str">
        <f t="shared" ref="AZ375" si="3576">IF(OR(19&lt;=E375,COUNTIF(E375, "大*"),COUNTIF(E375, "*院*"),COUNTIF(E375, "*専*")),"一般(19歳～)","")</f>
        <v/>
      </c>
      <c r="BA375" s="1983" t="s">
        <v>475</v>
      </c>
      <c r="BB375" s="652" t="str">
        <f t="shared" ref="BB375" si="3577">IF(OR(AND(D375="",I375="",M375="",R375="",W375="",AB375="",AG375=""),AND(D375&lt;&gt;"",OR(I375&lt;&gt;"",M375&lt;&gt;"",R375&lt;&gt;"",W375&lt;&gt;"",AB375&lt;&gt;"",AG375&lt;&gt;""))),"○","×")</f>
        <v>○</v>
      </c>
      <c r="BC375" s="652" t="str">
        <f t="shared" ref="BC375" si="3578">IF(AND(BD375="○",BE375="○",BF375="○",BG375="○",BH375="○",BI375="○"),"○","×")</f>
        <v>○</v>
      </c>
      <c r="BD375" s="653" t="str">
        <f t="shared" ref="BD375" si="3579">IF(AND($I$7=" ",OR(I375&lt;&gt;"",K375&lt;&gt;"",L375&lt;&gt;"")),"×","○")</f>
        <v>○</v>
      </c>
      <c r="BE375" s="653" t="str">
        <f t="shared" ref="BE375" si="3580">IF(AND($M$7=" ",OR(M375&lt;&gt;"",O375&lt;&gt;"",P375&lt;&gt;"",Q375&lt;&gt;"")),"×","○")</f>
        <v>○</v>
      </c>
      <c r="BF375" s="653" t="str">
        <f t="shared" ref="BF375" si="3581">IF(AND($R$7=" ",OR(R375&lt;&gt;"",T375&lt;&gt;"",U375&lt;&gt;"",V375&lt;&gt;"")),"×","○")</f>
        <v>○</v>
      </c>
      <c r="BG375" s="653" t="str">
        <f t="shared" ref="BG375" si="3582">IF(AND($W$7=" ",OR(W375&lt;&gt;"",Y375&lt;&gt;"",Z375&lt;&gt;"",AA375&lt;&gt;"")),"×","○")</f>
        <v>○</v>
      </c>
      <c r="BH375" s="653" t="str">
        <f t="shared" ref="BH375" si="3583">IF(AND($AB$7=" ",OR(AB375&lt;&gt;"",AD375&lt;&gt;"",AE375&lt;&gt;"",AF375&lt;&gt;"")),"×","○")</f>
        <v>○</v>
      </c>
      <c r="BI375" s="653" t="str">
        <f t="shared" ref="BI375" si="3584">IF(AND($AG$7=" ",OR(AG375&lt;&gt;"",AI375&lt;&gt;"",AJ375&lt;&gt;"")),"×","○")</f>
        <v>○</v>
      </c>
      <c r="BJ375" s="2225" t="e">
        <f t="shared" ref="BJ375" si="3585">SUMPRODUCT(1/COUNTIF(I375:AH375,"宿泊"))</f>
        <v>#DIV/0!</v>
      </c>
      <c r="BK375" s="2226" t="e">
        <f t="shared" ref="BK375" si="3586">SUMPRODUCT(1/COUNTIF(I375:AH375,"日帰り"))</f>
        <v>#DIV/0!</v>
      </c>
      <c r="BL375" s="1381">
        <f t="shared" ref="BL375" si="3587">COUNT(BJ375)-COUNT(BK375)</f>
        <v>0</v>
      </c>
      <c r="BM375" s="684"/>
      <c r="BN375" s="113"/>
    </row>
    <row r="376" spans="1:66" ht="14.1" customHeight="1" x14ac:dyDescent="0.15">
      <c r="A376" s="652"/>
      <c r="B376" s="2174"/>
      <c r="C376" s="2117"/>
      <c r="D376" s="2007"/>
      <c r="E376" s="2005"/>
      <c r="F376" s="2042"/>
      <c r="G376" s="2119"/>
      <c r="H376" s="2107"/>
      <c r="I376" s="2112"/>
      <c r="J376" s="2113"/>
      <c r="K376" s="2105"/>
      <c r="L376" s="2127"/>
      <c r="M376" s="2112"/>
      <c r="N376" s="2113"/>
      <c r="O376" s="2105"/>
      <c r="P376" s="2105"/>
      <c r="Q376" s="2107"/>
      <c r="R376" s="2112"/>
      <c r="S376" s="2113"/>
      <c r="T376" s="2105"/>
      <c r="U376" s="2105"/>
      <c r="V376" s="2107"/>
      <c r="W376" s="2112"/>
      <c r="X376" s="2113"/>
      <c r="Y376" s="2105"/>
      <c r="Z376" s="2105"/>
      <c r="AA376" s="2107"/>
      <c r="AB376" s="2112"/>
      <c r="AC376" s="2113"/>
      <c r="AD376" s="2105"/>
      <c r="AE376" s="2105"/>
      <c r="AF376" s="2107"/>
      <c r="AG376" s="2112"/>
      <c r="AH376" s="2113"/>
      <c r="AI376" s="2105"/>
      <c r="AJ376" s="2105"/>
      <c r="AK376" s="2011"/>
      <c r="AL376" s="2012"/>
      <c r="AM376" s="2012"/>
      <c r="AN376" s="2013"/>
      <c r="AO376" s="2011"/>
      <c r="AP376" s="2012"/>
      <c r="AQ376" s="2012"/>
      <c r="AR376" s="2013"/>
      <c r="AS376" s="651"/>
      <c r="AT376" s="652"/>
      <c r="AU376" s="1983"/>
      <c r="AV376" s="1983"/>
      <c r="AW376" s="1983"/>
      <c r="AX376" s="1983"/>
      <c r="AY376" s="1983"/>
      <c r="AZ376" s="1983"/>
      <c r="BA376" s="1983"/>
      <c r="BB376" s="654"/>
      <c r="BC376" s="654"/>
      <c r="BD376" s="652"/>
      <c r="BE376" s="652"/>
      <c r="BF376" s="652"/>
      <c r="BG376" s="652"/>
      <c r="BH376" s="652"/>
      <c r="BI376" s="652"/>
      <c r="BJ376" s="2225"/>
      <c r="BK376" s="2226"/>
      <c r="BL376" s="1381"/>
      <c r="BM376" s="684"/>
      <c r="BN376" s="113"/>
    </row>
    <row r="377" spans="1:66" ht="14.1" customHeight="1" x14ac:dyDescent="0.15">
      <c r="A377" s="652" t="str">
        <f t="shared" ref="A377" si="3588">IF(AND(D377="",D379&lt;&gt;""),"×","○")</f>
        <v>○</v>
      </c>
      <c r="B377" s="2174" t="str">
        <f t="shared" ref="B377" si="3589">IF(AND(AT377="○",BB377="○",BC377="○",A377="○"),"○","×")</f>
        <v>○</v>
      </c>
      <c r="C377" s="2116">
        <v>182</v>
      </c>
      <c r="D377" s="2006"/>
      <c r="E377" s="2004"/>
      <c r="F377" s="2041"/>
      <c r="G377" s="2118"/>
      <c r="H377" s="2106"/>
      <c r="I377" s="2141"/>
      <c r="J377" s="2142"/>
      <c r="K377" s="2104"/>
      <c r="L377" s="2140"/>
      <c r="M377" s="2110"/>
      <c r="N377" s="2111"/>
      <c r="O377" s="2104"/>
      <c r="P377" s="2104"/>
      <c r="Q377" s="2106"/>
      <c r="R377" s="2110"/>
      <c r="S377" s="2111"/>
      <c r="T377" s="2104"/>
      <c r="U377" s="2104"/>
      <c r="V377" s="2106"/>
      <c r="W377" s="2110"/>
      <c r="X377" s="2111"/>
      <c r="Y377" s="2104"/>
      <c r="Z377" s="2104"/>
      <c r="AA377" s="2106"/>
      <c r="AB377" s="2110"/>
      <c r="AC377" s="2111"/>
      <c r="AD377" s="2104"/>
      <c r="AE377" s="2104"/>
      <c r="AF377" s="2106"/>
      <c r="AG377" s="2110"/>
      <c r="AH377" s="2111"/>
      <c r="AI377" s="2104"/>
      <c r="AJ377" s="2104"/>
      <c r="AK377" s="2038"/>
      <c r="AL377" s="2039"/>
      <c r="AM377" s="2039"/>
      <c r="AN377" s="2040"/>
      <c r="AO377" s="2008"/>
      <c r="AP377" s="2009"/>
      <c r="AQ377" s="2009"/>
      <c r="AR377" s="2010"/>
      <c r="AS377" s="651"/>
      <c r="AT377" s="652" t="str">
        <f t="shared" ref="AT377" si="3590">IF(OR(AND(D377&lt;&gt;"",OR(AND(E377&lt;&gt;"",F377&lt;&gt;"",OR(G377&lt;&gt;"",H377&lt;&gt;"")),AND(E377="",F377="バス・カメラマン等"))),AND(D377="",E377="",F377="",OR(G377="",H377=""))),"○","×")</f>
        <v>○</v>
      </c>
      <c r="AU377" s="1983" t="str">
        <f t="shared" ref="AU377" si="3591">IF(AND(E377&lt;&gt;"",E377&lt;=2),"2歳児以下","")</f>
        <v/>
      </c>
      <c r="AV377" s="1983" t="str">
        <f t="shared" ref="AV377" si="3592">IF(OR(AND(3&lt;=E377,E377&lt;=6),COUNTIF(E377, "幼*"),COUNTIF(E377, "年少"),COUNTIF(E377, "年中"),COUNTIF(E377, "年長")),"3歳-学齢前","")</f>
        <v/>
      </c>
      <c r="AW377" s="1983" t="str">
        <f t="shared" ref="AW377" si="3593">IF(OR(AND(6&lt;=E377,E377&lt;=12),COUNTIF(E377, "小*")),"小学生","")</f>
        <v/>
      </c>
      <c r="AX377" s="1983" t="str">
        <f t="shared" ref="AX377" si="3594">IF(OR(AND(12&lt;=E377,E377&lt;=15),COUNTIF(E377, "中*")),"中学生","")</f>
        <v/>
      </c>
      <c r="AY377" s="1983" t="str">
        <f t="shared" ref="AY377" si="3595">IF(OR(AND(15&lt;=E377,E377&lt;=18),COUNTIF(E377, "高*")),"高校生(～18歳)","")</f>
        <v/>
      </c>
      <c r="AZ377" s="1983" t="str">
        <f t="shared" ref="AZ377" si="3596">IF(OR(19&lt;=E377,COUNTIF(E377, "大*"),COUNTIF(E377, "*院*"),COUNTIF(E377, "*専*")),"一般(19歳～)","")</f>
        <v/>
      </c>
      <c r="BA377" s="1983" t="s">
        <v>475</v>
      </c>
      <c r="BB377" s="652" t="str">
        <f t="shared" ref="BB377" si="3597">IF(OR(AND(D377="",I377="",M377="",R377="",W377="",AB377="",AG377=""),AND(D377&lt;&gt;"",OR(I377&lt;&gt;"",M377&lt;&gt;"",R377&lt;&gt;"",W377&lt;&gt;"",AB377&lt;&gt;"",AG377&lt;&gt;""))),"○","×")</f>
        <v>○</v>
      </c>
      <c r="BC377" s="652" t="str">
        <f t="shared" ref="BC377" si="3598">IF(AND(BD377="○",BE377="○",BF377="○",BG377="○",BH377="○",BI377="○"),"○","×")</f>
        <v>○</v>
      </c>
      <c r="BD377" s="653" t="str">
        <f t="shared" ref="BD377" si="3599">IF(AND($I$7=" ",OR(I377&lt;&gt;"",K377&lt;&gt;"",L377&lt;&gt;"")),"×","○")</f>
        <v>○</v>
      </c>
      <c r="BE377" s="653" t="str">
        <f t="shared" ref="BE377" si="3600">IF(AND($M$7=" ",OR(M377&lt;&gt;"",O377&lt;&gt;"",P377&lt;&gt;"",Q377&lt;&gt;"")),"×","○")</f>
        <v>○</v>
      </c>
      <c r="BF377" s="653" t="str">
        <f t="shared" ref="BF377" si="3601">IF(AND($R$7=" ",OR(R377&lt;&gt;"",T377&lt;&gt;"",U377&lt;&gt;"",V377&lt;&gt;"")),"×","○")</f>
        <v>○</v>
      </c>
      <c r="BG377" s="653" t="str">
        <f t="shared" ref="BG377" si="3602">IF(AND($W$7=" ",OR(W377&lt;&gt;"",Y377&lt;&gt;"",Z377&lt;&gt;"",AA377&lt;&gt;"")),"×","○")</f>
        <v>○</v>
      </c>
      <c r="BH377" s="653" t="str">
        <f t="shared" ref="BH377" si="3603">IF(AND($AB$7=" ",OR(AB377&lt;&gt;"",AD377&lt;&gt;"",AE377&lt;&gt;"",AF377&lt;&gt;"")),"×","○")</f>
        <v>○</v>
      </c>
      <c r="BI377" s="653" t="str">
        <f t="shared" ref="BI377" si="3604">IF(AND($AG$7=" ",OR(AG377&lt;&gt;"",AI377&lt;&gt;"",AJ377&lt;&gt;"")),"×","○")</f>
        <v>○</v>
      </c>
      <c r="BJ377" s="2225" t="e">
        <f t="shared" ref="BJ377" si="3605">SUMPRODUCT(1/COUNTIF(I377:AH377,"宿泊"))</f>
        <v>#DIV/0!</v>
      </c>
      <c r="BK377" s="2226" t="e">
        <f t="shared" ref="BK377" si="3606">SUMPRODUCT(1/COUNTIF(I377:AH377,"日帰り"))</f>
        <v>#DIV/0!</v>
      </c>
      <c r="BL377" s="1381">
        <f t="shared" ref="BL377" si="3607">COUNT(BJ377)-COUNT(BK377)</f>
        <v>0</v>
      </c>
      <c r="BM377" s="684"/>
      <c r="BN377" s="113"/>
    </row>
    <row r="378" spans="1:66" ht="14.1" customHeight="1" x14ac:dyDescent="0.15">
      <c r="A378" s="652"/>
      <c r="B378" s="2174"/>
      <c r="C378" s="2117"/>
      <c r="D378" s="2007"/>
      <c r="E378" s="2005"/>
      <c r="F378" s="2042"/>
      <c r="G378" s="2119"/>
      <c r="H378" s="2107"/>
      <c r="I378" s="2112"/>
      <c r="J378" s="2113"/>
      <c r="K378" s="2105"/>
      <c r="L378" s="2127"/>
      <c r="M378" s="2112"/>
      <c r="N378" s="2113"/>
      <c r="O378" s="2105"/>
      <c r="P378" s="2105"/>
      <c r="Q378" s="2107"/>
      <c r="R378" s="2112"/>
      <c r="S378" s="2113"/>
      <c r="T378" s="2105"/>
      <c r="U378" s="2105"/>
      <c r="V378" s="2107"/>
      <c r="W378" s="2112"/>
      <c r="X378" s="2113"/>
      <c r="Y378" s="2105"/>
      <c r="Z378" s="2105"/>
      <c r="AA378" s="2107"/>
      <c r="AB378" s="2112"/>
      <c r="AC378" s="2113"/>
      <c r="AD378" s="2105"/>
      <c r="AE378" s="2105"/>
      <c r="AF378" s="2107"/>
      <c r="AG378" s="2112"/>
      <c r="AH378" s="2113"/>
      <c r="AI378" s="2105"/>
      <c r="AJ378" s="2105"/>
      <c r="AK378" s="2011"/>
      <c r="AL378" s="2012"/>
      <c r="AM378" s="2012"/>
      <c r="AN378" s="2013"/>
      <c r="AO378" s="2011"/>
      <c r="AP378" s="2012"/>
      <c r="AQ378" s="2012"/>
      <c r="AR378" s="2013"/>
      <c r="AS378" s="651"/>
      <c r="AT378" s="652"/>
      <c r="AU378" s="1983"/>
      <c r="AV378" s="1983"/>
      <c r="AW378" s="1983"/>
      <c r="AX378" s="1983"/>
      <c r="AY378" s="1983"/>
      <c r="AZ378" s="1983"/>
      <c r="BA378" s="1983"/>
      <c r="BB378" s="654"/>
      <c r="BC378" s="654"/>
      <c r="BD378" s="652"/>
      <c r="BE378" s="652"/>
      <c r="BF378" s="652"/>
      <c r="BG378" s="652"/>
      <c r="BH378" s="652"/>
      <c r="BI378" s="652"/>
      <c r="BJ378" s="2225"/>
      <c r="BK378" s="2226"/>
      <c r="BL378" s="1381"/>
      <c r="BM378" s="684"/>
      <c r="BN378" s="113"/>
    </row>
    <row r="379" spans="1:66" ht="14.1" customHeight="1" x14ac:dyDescent="0.15">
      <c r="A379" s="652" t="str">
        <f t="shared" ref="A379" si="3608">IF(AND(D379="",D381&lt;&gt;""),"×","○")</f>
        <v>○</v>
      </c>
      <c r="B379" s="2174" t="str">
        <f t="shared" ref="B379" si="3609">IF(AND(AT379="○",BB379="○",BC379="○",A379="○"),"○","×")</f>
        <v>○</v>
      </c>
      <c r="C379" s="2116">
        <v>183</v>
      </c>
      <c r="D379" s="2006"/>
      <c r="E379" s="2004"/>
      <c r="F379" s="2041"/>
      <c r="G379" s="2118"/>
      <c r="H379" s="2106"/>
      <c r="I379" s="2141"/>
      <c r="J379" s="2142"/>
      <c r="K379" s="2104"/>
      <c r="L379" s="2140"/>
      <c r="M379" s="2110"/>
      <c r="N379" s="2111"/>
      <c r="O379" s="2104"/>
      <c r="P379" s="2104"/>
      <c r="Q379" s="2106"/>
      <c r="R379" s="2110"/>
      <c r="S379" s="2111"/>
      <c r="T379" s="2104"/>
      <c r="U379" s="2104"/>
      <c r="V379" s="2106"/>
      <c r="W379" s="2110"/>
      <c r="X379" s="2111"/>
      <c r="Y379" s="2104"/>
      <c r="Z379" s="2104"/>
      <c r="AA379" s="2106"/>
      <c r="AB379" s="2110"/>
      <c r="AC379" s="2111"/>
      <c r="AD379" s="2104"/>
      <c r="AE379" s="2104"/>
      <c r="AF379" s="2106"/>
      <c r="AG379" s="2110"/>
      <c r="AH379" s="2111"/>
      <c r="AI379" s="2104"/>
      <c r="AJ379" s="2104"/>
      <c r="AK379" s="2038"/>
      <c r="AL379" s="2039"/>
      <c r="AM379" s="2039"/>
      <c r="AN379" s="2040"/>
      <c r="AO379" s="2008"/>
      <c r="AP379" s="2009"/>
      <c r="AQ379" s="2009"/>
      <c r="AR379" s="2010"/>
      <c r="AS379" s="651"/>
      <c r="AT379" s="652" t="str">
        <f t="shared" ref="AT379" si="3610">IF(OR(AND(D379&lt;&gt;"",OR(AND(E379&lt;&gt;"",F379&lt;&gt;"",OR(G379&lt;&gt;"",H379&lt;&gt;"")),AND(E379="",F379="バス・カメラマン等"))),AND(D379="",E379="",F379="",OR(G379="",H379=""))),"○","×")</f>
        <v>○</v>
      </c>
      <c r="AU379" s="1983" t="str">
        <f t="shared" ref="AU379" si="3611">IF(AND(E379&lt;&gt;"",E379&lt;=2),"2歳児以下","")</f>
        <v/>
      </c>
      <c r="AV379" s="1983" t="str">
        <f t="shared" ref="AV379" si="3612">IF(OR(AND(3&lt;=E379,E379&lt;=6),COUNTIF(E379, "幼*"),COUNTIF(E379, "年少"),COUNTIF(E379, "年中"),COUNTIF(E379, "年長")),"3歳-学齢前","")</f>
        <v/>
      </c>
      <c r="AW379" s="1983" t="str">
        <f t="shared" ref="AW379" si="3613">IF(OR(AND(6&lt;=E379,E379&lt;=12),COUNTIF(E379, "小*")),"小学生","")</f>
        <v/>
      </c>
      <c r="AX379" s="1983" t="str">
        <f t="shared" ref="AX379" si="3614">IF(OR(AND(12&lt;=E379,E379&lt;=15),COUNTIF(E379, "中*")),"中学生","")</f>
        <v/>
      </c>
      <c r="AY379" s="1983" t="str">
        <f t="shared" ref="AY379" si="3615">IF(OR(AND(15&lt;=E379,E379&lt;=18),COUNTIF(E379, "高*")),"高校生(～18歳)","")</f>
        <v/>
      </c>
      <c r="AZ379" s="1983" t="str">
        <f t="shared" ref="AZ379" si="3616">IF(OR(19&lt;=E379,COUNTIF(E379, "大*"),COUNTIF(E379, "*院*"),COUNTIF(E379, "*専*")),"一般(19歳～)","")</f>
        <v/>
      </c>
      <c r="BA379" s="1983" t="s">
        <v>475</v>
      </c>
      <c r="BB379" s="652" t="str">
        <f t="shared" ref="BB379" si="3617">IF(OR(AND(D379="",I379="",M379="",R379="",W379="",AB379="",AG379=""),AND(D379&lt;&gt;"",OR(I379&lt;&gt;"",M379&lt;&gt;"",R379&lt;&gt;"",W379&lt;&gt;"",AB379&lt;&gt;"",AG379&lt;&gt;""))),"○","×")</f>
        <v>○</v>
      </c>
      <c r="BC379" s="652" t="str">
        <f t="shared" ref="BC379" si="3618">IF(AND(BD379="○",BE379="○",BF379="○",BG379="○",BH379="○",BI379="○"),"○","×")</f>
        <v>○</v>
      </c>
      <c r="BD379" s="653" t="str">
        <f t="shared" ref="BD379" si="3619">IF(AND($I$7=" ",OR(I379&lt;&gt;"",K379&lt;&gt;"",L379&lt;&gt;"")),"×","○")</f>
        <v>○</v>
      </c>
      <c r="BE379" s="653" t="str">
        <f t="shared" ref="BE379" si="3620">IF(AND($M$7=" ",OR(M379&lt;&gt;"",O379&lt;&gt;"",P379&lt;&gt;"",Q379&lt;&gt;"")),"×","○")</f>
        <v>○</v>
      </c>
      <c r="BF379" s="653" t="str">
        <f t="shared" ref="BF379" si="3621">IF(AND($R$7=" ",OR(R379&lt;&gt;"",T379&lt;&gt;"",U379&lt;&gt;"",V379&lt;&gt;"")),"×","○")</f>
        <v>○</v>
      </c>
      <c r="BG379" s="653" t="str">
        <f t="shared" ref="BG379" si="3622">IF(AND($W$7=" ",OR(W379&lt;&gt;"",Y379&lt;&gt;"",Z379&lt;&gt;"",AA379&lt;&gt;"")),"×","○")</f>
        <v>○</v>
      </c>
      <c r="BH379" s="653" t="str">
        <f t="shared" ref="BH379" si="3623">IF(AND($AB$7=" ",OR(AB379&lt;&gt;"",AD379&lt;&gt;"",AE379&lt;&gt;"",AF379&lt;&gt;"")),"×","○")</f>
        <v>○</v>
      </c>
      <c r="BI379" s="653" t="str">
        <f t="shared" ref="BI379" si="3624">IF(AND($AG$7=" ",OR(AG379&lt;&gt;"",AI379&lt;&gt;"",AJ379&lt;&gt;"")),"×","○")</f>
        <v>○</v>
      </c>
      <c r="BJ379" s="2225" t="e">
        <f t="shared" ref="BJ379" si="3625">SUMPRODUCT(1/COUNTIF(I379:AH379,"宿泊"))</f>
        <v>#DIV/0!</v>
      </c>
      <c r="BK379" s="2226" t="e">
        <f t="shared" ref="BK379" si="3626">SUMPRODUCT(1/COUNTIF(I379:AH379,"日帰り"))</f>
        <v>#DIV/0!</v>
      </c>
      <c r="BL379" s="1381">
        <f t="shared" ref="BL379" si="3627">COUNT(BJ379)-COUNT(BK379)</f>
        <v>0</v>
      </c>
      <c r="BM379" s="684"/>
      <c r="BN379" s="113"/>
    </row>
    <row r="380" spans="1:66" ht="14.1" customHeight="1" x14ac:dyDescent="0.15">
      <c r="A380" s="652"/>
      <c r="B380" s="2174"/>
      <c r="C380" s="2117"/>
      <c r="D380" s="2007"/>
      <c r="E380" s="2005"/>
      <c r="F380" s="2042"/>
      <c r="G380" s="2119"/>
      <c r="H380" s="2107"/>
      <c r="I380" s="2112"/>
      <c r="J380" s="2113"/>
      <c r="K380" s="2105"/>
      <c r="L380" s="2127"/>
      <c r="M380" s="2112"/>
      <c r="N380" s="2113"/>
      <c r="O380" s="2105"/>
      <c r="P380" s="2105"/>
      <c r="Q380" s="2107"/>
      <c r="R380" s="2112"/>
      <c r="S380" s="2113"/>
      <c r="T380" s="2105"/>
      <c r="U380" s="2105"/>
      <c r="V380" s="2107"/>
      <c r="W380" s="2112"/>
      <c r="X380" s="2113"/>
      <c r="Y380" s="2105"/>
      <c r="Z380" s="2105"/>
      <c r="AA380" s="2107"/>
      <c r="AB380" s="2112"/>
      <c r="AC380" s="2113"/>
      <c r="AD380" s="2105"/>
      <c r="AE380" s="2105"/>
      <c r="AF380" s="2107"/>
      <c r="AG380" s="2112"/>
      <c r="AH380" s="2113"/>
      <c r="AI380" s="2105"/>
      <c r="AJ380" s="2105"/>
      <c r="AK380" s="2011"/>
      <c r="AL380" s="2012"/>
      <c r="AM380" s="2012"/>
      <c r="AN380" s="2013"/>
      <c r="AO380" s="2011"/>
      <c r="AP380" s="2012"/>
      <c r="AQ380" s="2012"/>
      <c r="AR380" s="2013"/>
      <c r="AS380" s="651"/>
      <c r="AT380" s="652"/>
      <c r="AU380" s="1983"/>
      <c r="AV380" s="1983"/>
      <c r="AW380" s="1983"/>
      <c r="AX380" s="1983"/>
      <c r="AY380" s="1983"/>
      <c r="AZ380" s="1983"/>
      <c r="BA380" s="1983"/>
      <c r="BB380" s="654"/>
      <c r="BC380" s="654"/>
      <c r="BD380" s="652"/>
      <c r="BE380" s="652"/>
      <c r="BF380" s="652"/>
      <c r="BG380" s="652"/>
      <c r="BH380" s="652"/>
      <c r="BI380" s="652"/>
      <c r="BJ380" s="2225"/>
      <c r="BK380" s="2226"/>
      <c r="BL380" s="1381"/>
      <c r="BM380" s="684"/>
      <c r="BN380" s="113"/>
    </row>
    <row r="381" spans="1:66" ht="14.1" customHeight="1" x14ac:dyDescent="0.15">
      <c r="A381" s="652" t="str">
        <f t="shared" ref="A381" si="3628">IF(AND(D381="",D383&lt;&gt;""),"×","○")</f>
        <v>○</v>
      </c>
      <c r="B381" s="2174" t="str">
        <f t="shared" ref="B381" si="3629">IF(AND(AT381="○",BB381="○",BC381="○",A381="○"),"○","×")</f>
        <v>○</v>
      </c>
      <c r="C381" s="2116">
        <v>184</v>
      </c>
      <c r="D381" s="2006"/>
      <c r="E381" s="2004"/>
      <c r="F381" s="2041"/>
      <c r="G381" s="2118"/>
      <c r="H381" s="2106"/>
      <c r="I381" s="2141"/>
      <c r="J381" s="2142"/>
      <c r="K381" s="2104"/>
      <c r="L381" s="2140"/>
      <c r="M381" s="2110"/>
      <c r="N381" s="2111"/>
      <c r="O381" s="2104"/>
      <c r="P381" s="2104"/>
      <c r="Q381" s="2106"/>
      <c r="R381" s="2110"/>
      <c r="S381" s="2111"/>
      <c r="T381" s="2104"/>
      <c r="U381" s="2104"/>
      <c r="V381" s="2106"/>
      <c r="W381" s="2110"/>
      <c r="X381" s="2111"/>
      <c r="Y381" s="2104"/>
      <c r="Z381" s="2104"/>
      <c r="AA381" s="2106"/>
      <c r="AB381" s="2110"/>
      <c r="AC381" s="2111"/>
      <c r="AD381" s="2104"/>
      <c r="AE381" s="2104"/>
      <c r="AF381" s="2106"/>
      <c r="AG381" s="2110"/>
      <c r="AH381" s="2111"/>
      <c r="AI381" s="2104"/>
      <c r="AJ381" s="2104"/>
      <c r="AK381" s="2038"/>
      <c r="AL381" s="2039"/>
      <c r="AM381" s="2039"/>
      <c r="AN381" s="2040"/>
      <c r="AO381" s="2008"/>
      <c r="AP381" s="2009"/>
      <c r="AQ381" s="2009"/>
      <c r="AR381" s="2010"/>
      <c r="AS381" s="651"/>
      <c r="AT381" s="652" t="str">
        <f t="shared" ref="AT381" si="3630">IF(OR(AND(D381&lt;&gt;"",OR(AND(E381&lt;&gt;"",F381&lt;&gt;"",OR(G381&lt;&gt;"",H381&lt;&gt;"")),AND(E381="",F381="バス・カメラマン等"))),AND(D381="",E381="",F381="",OR(G381="",H381=""))),"○","×")</f>
        <v>○</v>
      </c>
      <c r="AU381" s="1983" t="str">
        <f t="shared" ref="AU381" si="3631">IF(AND(E381&lt;&gt;"",E381&lt;=2),"2歳児以下","")</f>
        <v/>
      </c>
      <c r="AV381" s="1983" t="str">
        <f t="shared" ref="AV381" si="3632">IF(OR(AND(3&lt;=E381,E381&lt;=6),COUNTIF(E381, "幼*"),COUNTIF(E381, "年少"),COUNTIF(E381, "年中"),COUNTIF(E381, "年長")),"3歳-学齢前","")</f>
        <v/>
      </c>
      <c r="AW381" s="1983" t="str">
        <f t="shared" ref="AW381" si="3633">IF(OR(AND(6&lt;=E381,E381&lt;=12),COUNTIF(E381, "小*")),"小学生","")</f>
        <v/>
      </c>
      <c r="AX381" s="1983" t="str">
        <f t="shared" ref="AX381" si="3634">IF(OR(AND(12&lt;=E381,E381&lt;=15),COUNTIF(E381, "中*")),"中学生","")</f>
        <v/>
      </c>
      <c r="AY381" s="1983" t="str">
        <f t="shared" ref="AY381" si="3635">IF(OR(AND(15&lt;=E381,E381&lt;=18),COUNTIF(E381, "高*")),"高校生(～18歳)","")</f>
        <v/>
      </c>
      <c r="AZ381" s="1983" t="str">
        <f t="shared" ref="AZ381" si="3636">IF(OR(19&lt;=E381,COUNTIF(E381, "大*"),COUNTIF(E381, "*院*"),COUNTIF(E381, "*専*")),"一般(19歳～)","")</f>
        <v/>
      </c>
      <c r="BA381" s="1983" t="s">
        <v>475</v>
      </c>
      <c r="BB381" s="652" t="str">
        <f t="shared" ref="BB381" si="3637">IF(OR(AND(D381="",I381="",M381="",R381="",W381="",AB381="",AG381=""),AND(D381&lt;&gt;"",OR(I381&lt;&gt;"",M381&lt;&gt;"",R381&lt;&gt;"",W381&lt;&gt;"",AB381&lt;&gt;"",AG381&lt;&gt;""))),"○","×")</f>
        <v>○</v>
      </c>
      <c r="BC381" s="652" t="str">
        <f t="shared" ref="BC381" si="3638">IF(AND(BD381="○",BE381="○",BF381="○",BG381="○",BH381="○",BI381="○"),"○","×")</f>
        <v>○</v>
      </c>
      <c r="BD381" s="653" t="str">
        <f t="shared" ref="BD381" si="3639">IF(AND($I$7=" ",OR(I381&lt;&gt;"",K381&lt;&gt;"",L381&lt;&gt;"")),"×","○")</f>
        <v>○</v>
      </c>
      <c r="BE381" s="653" t="str">
        <f t="shared" ref="BE381" si="3640">IF(AND($M$7=" ",OR(M381&lt;&gt;"",O381&lt;&gt;"",P381&lt;&gt;"",Q381&lt;&gt;"")),"×","○")</f>
        <v>○</v>
      </c>
      <c r="BF381" s="653" t="str">
        <f t="shared" ref="BF381" si="3641">IF(AND($R$7=" ",OR(R381&lt;&gt;"",T381&lt;&gt;"",U381&lt;&gt;"",V381&lt;&gt;"")),"×","○")</f>
        <v>○</v>
      </c>
      <c r="BG381" s="653" t="str">
        <f t="shared" ref="BG381" si="3642">IF(AND($W$7=" ",OR(W381&lt;&gt;"",Y381&lt;&gt;"",Z381&lt;&gt;"",AA381&lt;&gt;"")),"×","○")</f>
        <v>○</v>
      </c>
      <c r="BH381" s="653" t="str">
        <f t="shared" ref="BH381" si="3643">IF(AND($AB$7=" ",OR(AB381&lt;&gt;"",AD381&lt;&gt;"",AE381&lt;&gt;"",AF381&lt;&gt;"")),"×","○")</f>
        <v>○</v>
      </c>
      <c r="BI381" s="653" t="str">
        <f t="shared" ref="BI381" si="3644">IF(AND($AG$7=" ",OR(AG381&lt;&gt;"",AI381&lt;&gt;"",AJ381&lt;&gt;"")),"×","○")</f>
        <v>○</v>
      </c>
      <c r="BJ381" s="2225" t="e">
        <f t="shared" ref="BJ381" si="3645">SUMPRODUCT(1/COUNTIF(I381:AH381,"宿泊"))</f>
        <v>#DIV/0!</v>
      </c>
      <c r="BK381" s="2226" t="e">
        <f t="shared" ref="BK381" si="3646">SUMPRODUCT(1/COUNTIF(I381:AH381,"日帰り"))</f>
        <v>#DIV/0!</v>
      </c>
      <c r="BL381" s="1381">
        <f t="shared" ref="BL381" si="3647">COUNT(BJ381)-COUNT(BK381)</f>
        <v>0</v>
      </c>
      <c r="BM381" s="684"/>
      <c r="BN381" s="113"/>
    </row>
    <row r="382" spans="1:66" ht="14.1" customHeight="1" x14ac:dyDescent="0.15">
      <c r="A382" s="652"/>
      <c r="B382" s="2174"/>
      <c r="C382" s="2117"/>
      <c r="D382" s="2007"/>
      <c r="E382" s="2005"/>
      <c r="F382" s="2042"/>
      <c r="G382" s="2119"/>
      <c r="H382" s="2107"/>
      <c r="I382" s="2112"/>
      <c r="J382" s="2113"/>
      <c r="K382" s="2105"/>
      <c r="L382" s="2127"/>
      <c r="M382" s="2112"/>
      <c r="N382" s="2113"/>
      <c r="O382" s="2105"/>
      <c r="P382" s="2105"/>
      <c r="Q382" s="2107"/>
      <c r="R382" s="2112"/>
      <c r="S382" s="2113"/>
      <c r="T382" s="2105"/>
      <c r="U382" s="2105"/>
      <c r="V382" s="2107"/>
      <c r="W382" s="2112"/>
      <c r="X382" s="2113"/>
      <c r="Y382" s="2105"/>
      <c r="Z382" s="2105"/>
      <c r="AA382" s="2107"/>
      <c r="AB382" s="2112"/>
      <c r="AC382" s="2113"/>
      <c r="AD382" s="2105"/>
      <c r="AE382" s="2105"/>
      <c r="AF382" s="2107"/>
      <c r="AG382" s="2112"/>
      <c r="AH382" s="2113"/>
      <c r="AI382" s="2105"/>
      <c r="AJ382" s="2105"/>
      <c r="AK382" s="2011"/>
      <c r="AL382" s="2012"/>
      <c r="AM382" s="2012"/>
      <c r="AN382" s="2013"/>
      <c r="AO382" s="2011"/>
      <c r="AP382" s="2012"/>
      <c r="AQ382" s="2012"/>
      <c r="AR382" s="2013"/>
      <c r="AS382" s="651"/>
      <c r="AT382" s="652"/>
      <c r="AU382" s="1983"/>
      <c r="AV382" s="1983"/>
      <c r="AW382" s="1983"/>
      <c r="AX382" s="1983"/>
      <c r="AY382" s="1983"/>
      <c r="AZ382" s="1983"/>
      <c r="BA382" s="1983"/>
      <c r="BB382" s="654"/>
      <c r="BC382" s="654"/>
      <c r="BD382" s="652"/>
      <c r="BE382" s="652"/>
      <c r="BF382" s="652"/>
      <c r="BG382" s="652"/>
      <c r="BH382" s="652"/>
      <c r="BI382" s="652"/>
      <c r="BJ382" s="2225"/>
      <c r="BK382" s="2226"/>
      <c r="BL382" s="1381"/>
      <c r="BM382" s="684"/>
      <c r="BN382" s="113"/>
    </row>
    <row r="383" spans="1:66" ht="14.1" customHeight="1" x14ac:dyDescent="0.15">
      <c r="A383" s="652" t="str">
        <f t="shared" ref="A383" si="3648">IF(AND(D383="",D385&lt;&gt;""),"×","○")</f>
        <v>○</v>
      </c>
      <c r="B383" s="2174" t="str">
        <f t="shared" ref="B383" si="3649">IF(AND(AT383="○",BB383="○",BC383="○",A383="○"),"○","×")</f>
        <v>○</v>
      </c>
      <c r="C383" s="2116">
        <v>185</v>
      </c>
      <c r="D383" s="2006"/>
      <c r="E383" s="2004"/>
      <c r="F383" s="2041"/>
      <c r="G383" s="2118"/>
      <c r="H383" s="2106"/>
      <c r="I383" s="2141"/>
      <c r="J383" s="2142"/>
      <c r="K383" s="2104"/>
      <c r="L383" s="2140"/>
      <c r="M383" s="2110"/>
      <c r="N383" s="2111"/>
      <c r="O383" s="2104"/>
      <c r="P383" s="2104"/>
      <c r="Q383" s="2106"/>
      <c r="R383" s="2110"/>
      <c r="S383" s="2111"/>
      <c r="T383" s="2104"/>
      <c r="U383" s="2104"/>
      <c r="V383" s="2106"/>
      <c r="W383" s="2110"/>
      <c r="X383" s="2111"/>
      <c r="Y383" s="2104"/>
      <c r="Z383" s="2104"/>
      <c r="AA383" s="2106"/>
      <c r="AB383" s="2110"/>
      <c r="AC383" s="2111"/>
      <c r="AD383" s="2104"/>
      <c r="AE383" s="2104"/>
      <c r="AF383" s="2106"/>
      <c r="AG383" s="2110"/>
      <c r="AH383" s="2111"/>
      <c r="AI383" s="2104"/>
      <c r="AJ383" s="2104"/>
      <c r="AK383" s="2148"/>
      <c r="AL383" s="2149"/>
      <c r="AM383" s="2149"/>
      <c r="AN383" s="2150"/>
      <c r="AO383" s="2008"/>
      <c r="AP383" s="2009"/>
      <c r="AQ383" s="2009"/>
      <c r="AR383" s="2010"/>
      <c r="AS383" s="651"/>
      <c r="AT383" s="652" t="str">
        <f t="shared" ref="AT383" si="3650">IF(OR(AND(D383&lt;&gt;"",OR(AND(E383&lt;&gt;"",F383&lt;&gt;"",OR(G383&lt;&gt;"",H383&lt;&gt;"")),AND(E383="",F383="バス・カメラマン等"))),AND(D383="",E383="",F383="",OR(G383="",H383=""))),"○","×")</f>
        <v>○</v>
      </c>
      <c r="AU383" s="1983" t="str">
        <f t="shared" ref="AU383" si="3651">IF(AND(E383&lt;&gt;"",E383&lt;=2),"2歳児以下","")</f>
        <v/>
      </c>
      <c r="AV383" s="1983" t="str">
        <f t="shared" ref="AV383" si="3652">IF(OR(AND(3&lt;=E383,E383&lt;=6),COUNTIF(E383, "幼*"),COUNTIF(E383, "年少"),COUNTIF(E383, "年中"),COUNTIF(E383, "年長")),"3歳-学齢前","")</f>
        <v/>
      </c>
      <c r="AW383" s="1983" t="str">
        <f t="shared" ref="AW383" si="3653">IF(OR(AND(6&lt;=E383,E383&lt;=12),COUNTIF(E383, "小*")),"小学生","")</f>
        <v/>
      </c>
      <c r="AX383" s="1983" t="str">
        <f t="shared" ref="AX383" si="3654">IF(OR(AND(12&lt;=E383,E383&lt;=15),COUNTIF(E383, "中*")),"中学生","")</f>
        <v/>
      </c>
      <c r="AY383" s="1983" t="str">
        <f t="shared" ref="AY383" si="3655">IF(OR(AND(15&lt;=E383,E383&lt;=18),COUNTIF(E383, "高*")),"高校生(～18歳)","")</f>
        <v/>
      </c>
      <c r="AZ383" s="1983" t="str">
        <f t="shared" ref="AZ383" si="3656">IF(OR(19&lt;=E383,COUNTIF(E383, "大*"),COUNTIF(E383, "*院*"),COUNTIF(E383, "*専*")),"一般(19歳～)","")</f>
        <v/>
      </c>
      <c r="BA383" s="1983" t="s">
        <v>475</v>
      </c>
      <c r="BB383" s="652" t="str">
        <f t="shared" ref="BB383" si="3657">IF(OR(AND(D383="",I383="",M383="",R383="",W383="",AB383="",AG383=""),AND(D383&lt;&gt;"",OR(I383&lt;&gt;"",M383&lt;&gt;"",R383&lt;&gt;"",W383&lt;&gt;"",AB383&lt;&gt;"",AG383&lt;&gt;""))),"○","×")</f>
        <v>○</v>
      </c>
      <c r="BC383" s="652" t="str">
        <f t="shared" ref="BC383" si="3658">IF(AND(BD383="○",BE383="○",BF383="○",BG383="○",BH383="○",BI383="○"),"○","×")</f>
        <v>○</v>
      </c>
      <c r="BD383" s="653" t="str">
        <f t="shared" ref="BD383" si="3659">IF(AND($I$7=" ",OR(I383&lt;&gt;"",K383&lt;&gt;"",L383&lt;&gt;"")),"×","○")</f>
        <v>○</v>
      </c>
      <c r="BE383" s="653" t="str">
        <f t="shared" ref="BE383" si="3660">IF(AND($M$7=" ",OR(M383&lt;&gt;"",O383&lt;&gt;"",P383&lt;&gt;"",Q383&lt;&gt;"")),"×","○")</f>
        <v>○</v>
      </c>
      <c r="BF383" s="653" t="str">
        <f t="shared" ref="BF383" si="3661">IF(AND($R$7=" ",OR(R383&lt;&gt;"",T383&lt;&gt;"",U383&lt;&gt;"",V383&lt;&gt;"")),"×","○")</f>
        <v>○</v>
      </c>
      <c r="BG383" s="653" t="str">
        <f t="shared" ref="BG383" si="3662">IF(AND($W$7=" ",OR(W383&lt;&gt;"",Y383&lt;&gt;"",Z383&lt;&gt;"",AA383&lt;&gt;"")),"×","○")</f>
        <v>○</v>
      </c>
      <c r="BH383" s="653" t="str">
        <f t="shared" ref="BH383" si="3663">IF(AND($AB$7=" ",OR(AB383&lt;&gt;"",AD383&lt;&gt;"",AE383&lt;&gt;"",AF383&lt;&gt;"")),"×","○")</f>
        <v>○</v>
      </c>
      <c r="BI383" s="653" t="str">
        <f t="shared" ref="BI383" si="3664">IF(AND($AG$7=" ",OR(AG383&lt;&gt;"",AI383&lt;&gt;"",AJ383&lt;&gt;"")),"×","○")</f>
        <v>○</v>
      </c>
      <c r="BJ383" s="2225" t="e">
        <f t="shared" ref="BJ383" si="3665">SUMPRODUCT(1/COUNTIF(I383:AH383,"宿泊"))</f>
        <v>#DIV/0!</v>
      </c>
      <c r="BK383" s="2226" t="e">
        <f t="shared" ref="BK383" si="3666">SUMPRODUCT(1/COUNTIF(I383:AH383,"日帰り"))</f>
        <v>#DIV/0!</v>
      </c>
      <c r="BL383" s="1381">
        <f t="shared" ref="BL383" si="3667">COUNT(BJ383)-COUNT(BK383)</f>
        <v>0</v>
      </c>
      <c r="BM383" s="684"/>
      <c r="BN383" s="113"/>
    </row>
    <row r="384" spans="1:66" ht="14.1" customHeight="1" x14ac:dyDescent="0.15">
      <c r="A384" s="652"/>
      <c r="B384" s="2174"/>
      <c r="C384" s="2117"/>
      <c r="D384" s="2007"/>
      <c r="E384" s="2005"/>
      <c r="F384" s="2042"/>
      <c r="G384" s="2119"/>
      <c r="H384" s="2107"/>
      <c r="I384" s="2112"/>
      <c r="J384" s="2113"/>
      <c r="K384" s="2105"/>
      <c r="L384" s="2127"/>
      <c r="M384" s="2112"/>
      <c r="N384" s="2113"/>
      <c r="O384" s="2105"/>
      <c r="P384" s="2105"/>
      <c r="Q384" s="2107"/>
      <c r="R384" s="2112"/>
      <c r="S384" s="2113"/>
      <c r="T384" s="2105"/>
      <c r="U384" s="2105"/>
      <c r="V384" s="2107"/>
      <c r="W384" s="2112"/>
      <c r="X384" s="2113"/>
      <c r="Y384" s="2105"/>
      <c r="Z384" s="2105"/>
      <c r="AA384" s="2107"/>
      <c r="AB384" s="2112"/>
      <c r="AC384" s="2113"/>
      <c r="AD384" s="2105"/>
      <c r="AE384" s="2105"/>
      <c r="AF384" s="2107"/>
      <c r="AG384" s="2112"/>
      <c r="AH384" s="2113"/>
      <c r="AI384" s="2105"/>
      <c r="AJ384" s="2105"/>
      <c r="AK384" s="2151"/>
      <c r="AL384" s="2152"/>
      <c r="AM384" s="2152"/>
      <c r="AN384" s="2153"/>
      <c r="AO384" s="2011"/>
      <c r="AP384" s="2012"/>
      <c r="AQ384" s="2012"/>
      <c r="AR384" s="2013"/>
      <c r="AS384" s="651"/>
      <c r="AT384" s="652"/>
      <c r="AU384" s="1983"/>
      <c r="AV384" s="1983"/>
      <c r="AW384" s="1983"/>
      <c r="AX384" s="1983"/>
      <c r="AY384" s="1983"/>
      <c r="AZ384" s="1983"/>
      <c r="BA384" s="1983"/>
      <c r="BB384" s="654"/>
      <c r="BC384" s="654"/>
      <c r="BD384" s="652"/>
      <c r="BE384" s="652"/>
      <c r="BF384" s="652"/>
      <c r="BG384" s="652"/>
      <c r="BH384" s="652"/>
      <c r="BI384" s="652"/>
      <c r="BJ384" s="2225"/>
      <c r="BK384" s="2226"/>
      <c r="BL384" s="1381"/>
      <c r="BM384" s="684"/>
      <c r="BN384" s="113"/>
    </row>
    <row r="385" spans="1:66" ht="14.1" customHeight="1" x14ac:dyDescent="0.15">
      <c r="A385" s="652" t="str">
        <f t="shared" ref="A385" si="3668">IF(AND(D385="",D387&lt;&gt;""),"×","○")</f>
        <v>○</v>
      </c>
      <c r="B385" s="2174" t="str">
        <f t="shared" ref="B385" si="3669">IF(AND(AT385="○",BB385="○",BC385="○",A385="○"),"○","×")</f>
        <v>○</v>
      </c>
      <c r="C385" s="2116">
        <v>186</v>
      </c>
      <c r="D385" s="2006"/>
      <c r="E385" s="2004"/>
      <c r="F385" s="2041"/>
      <c r="G385" s="2118"/>
      <c r="H385" s="2106"/>
      <c r="I385" s="2141"/>
      <c r="J385" s="2142"/>
      <c r="K385" s="2104"/>
      <c r="L385" s="2140"/>
      <c r="M385" s="2110"/>
      <c r="N385" s="2111"/>
      <c r="O385" s="2104"/>
      <c r="P385" s="2104"/>
      <c r="Q385" s="2106"/>
      <c r="R385" s="2110"/>
      <c r="S385" s="2111"/>
      <c r="T385" s="2104"/>
      <c r="U385" s="2104"/>
      <c r="V385" s="2106"/>
      <c r="W385" s="2110"/>
      <c r="X385" s="2111"/>
      <c r="Y385" s="2104"/>
      <c r="Z385" s="2104"/>
      <c r="AA385" s="2106"/>
      <c r="AB385" s="2110"/>
      <c r="AC385" s="2111"/>
      <c r="AD385" s="2104"/>
      <c r="AE385" s="2104"/>
      <c r="AF385" s="2106"/>
      <c r="AG385" s="2110"/>
      <c r="AH385" s="2111"/>
      <c r="AI385" s="2104"/>
      <c r="AJ385" s="2104"/>
      <c r="AK385" s="2148"/>
      <c r="AL385" s="2149"/>
      <c r="AM385" s="2149"/>
      <c r="AN385" s="2150"/>
      <c r="AO385" s="2008"/>
      <c r="AP385" s="2009"/>
      <c r="AQ385" s="2009"/>
      <c r="AR385" s="2010"/>
      <c r="AS385" s="651"/>
      <c r="AT385" s="652" t="str">
        <f t="shared" ref="AT385" si="3670">IF(OR(AND(D385&lt;&gt;"",OR(AND(E385&lt;&gt;"",F385&lt;&gt;"",OR(G385&lt;&gt;"",H385&lt;&gt;"")),AND(E385="",F385="バス・カメラマン等"))),AND(D385="",E385="",F385="",OR(G385="",H385=""))),"○","×")</f>
        <v>○</v>
      </c>
      <c r="AU385" s="1983" t="str">
        <f t="shared" ref="AU385" si="3671">IF(AND(E385&lt;&gt;"",E385&lt;=2),"2歳児以下","")</f>
        <v/>
      </c>
      <c r="AV385" s="1983" t="str">
        <f t="shared" ref="AV385" si="3672">IF(OR(AND(3&lt;=E385,E385&lt;=6),COUNTIF(E385, "幼*"),COUNTIF(E385, "年少"),COUNTIF(E385, "年中"),COUNTIF(E385, "年長")),"3歳-学齢前","")</f>
        <v/>
      </c>
      <c r="AW385" s="1983" t="str">
        <f t="shared" ref="AW385" si="3673">IF(OR(AND(6&lt;=E385,E385&lt;=12),COUNTIF(E385, "小*")),"小学生","")</f>
        <v/>
      </c>
      <c r="AX385" s="1983" t="str">
        <f t="shared" ref="AX385" si="3674">IF(OR(AND(12&lt;=E385,E385&lt;=15),COUNTIF(E385, "中*")),"中学生","")</f>
        <v/>
      </c>
      <c r="AY385" s="1983" t="str">
        <f t="shared" ref="AY385" si="3675">IF(OR(AND(15&lt;=E385,E385&lt;=18),COUNTIF(E385, "高*")),"高校生(～18歳)","")</f>
        <v/>
      </c>
      <c r="AZ385" s="1983" t="str">
        <f t="shared" ref="AZ385" si="3676">IF(OR(19&lt;=E385,COUNTIF(E385, "大*"),COUNTIF(E385, "*院*"),COUNTIF(E385, "*専*")),"一般(19歳～)","")</f>
        <v/>
      </c>
      <c r="BA385" s="1983" t="s">
        <v>475</v>
      </c>
      <c r="BB385" s="652" t="str">
        <f t="shared" ref="BB385" si="3677">IF(OR(AND(D385="",I385="",M385="",R385="",W385="",AB385="",AG385=""),AND(D385&lt;&gt;"",OR(I385&lt;&gt;"",M385&lt;&gt;"",R385&lt;&gt;"",W385&lt;&gt;"",AB385&lt;&gt;"",AG385&lt;&gt;""))),"○","×")</f>
        <v>○</v>
      </c>
      <c r="BC385" s="652" t="str">
        <f t="shared" ref="BC385" si="3678">IF(AND(BD385="○",BE385="○",BF385="○",BG385="○",BH385="○",BI385="○"),"○","×")</f>
        <v>○</v>
      </c>
      <c r="BD385" s="653" t="str">
        <f t="shared" ref="BD385" si="3679">IF(AND($I$7=" ",OR(I385&lt;&gt;"",K385&lt;&gt;"",L385&lt;&gt;"")),"×","○")</f>
        <v>○</v>
      </c>
      <c r="BE385" s="653" t="str">
        <f t="shared" ref="BE385" si="3680">IF(AND($M$7=" ",OR(M385&lt;&gt;"",O385&lt;&gt;"",P385&lt;&gt;"",Q385&lt;&gt;"")),"×","○")</f>
        <v>○</v>
      </c>
      <c r="BF385" s="653" t="str">
        <f t="shared" ref="BF385" si="3681">IF(AND($R$7=" ",OR(R385&lt;&gt;"",T385&lt;&gt;"",U385&lt;&gt;"",V385&lt;&gt;"")),"×","○")</f>
        <v>○</v>
      </c>
      <c r="BG385" s="653" t="str">
        <f t="shared" ref="BG385" si="3682">IF(AND($W$7=" ",OR(W385&lt;&gt;"",Y385&lt;&gt;"",Z385&lt;&gt;"",AA385&lt;&gt;"")),"×","○")</f>
        <v>○</v>
      </c>
      <c r="BH385" s="653" t="str">
        <f t="shared" ref="BH385" si="3683">IF(AND($AB$7=" ",OR(AB385&lt;&gt;"",AD385&lt;&gt;"",AE385&lt;&gt;"",AF385&lt;&gt;"")),"×","○")</f>
        <v>○</v>
      </c>
      <c r="BI385" s="653" t="str">
        <f t="shared" ref="BI385" si="3684">IF(AND($AG$7=" ",OR(AG385&lt;&gt;"",AI385&lt;&gt;"",AJ385&lt;&gt;"")),"×","○")</f>
        <v>○</v>
      </c>
      <c r="BJ385" s="2225" t="e">
        <f t="shared" ref="BJ385" si="3685">SUMPRODUCT(1/COUNTIF(I385:AH385,"宿泊"))</f>
        <v>#DIV/0!</v>
      </c>
      <c r="BK385" s="2226" t="e">
        <f t="shared" ref="BK385" si="3686">SUMPRODUCT(1/COUNTIF(I385:AH385,"日帰り"))</f>
        <v>#DIV/0!</v>
      </c>
      <c r="BL385" s="1381">
        <f t="shared" ref="BL385" si="3687">COUNT(BJ385)-COUNT(BK385)</f>
        <v>0</v>
      </c>
      <c r="BM385" s="684"/>
      <c r="BN385" s="113"/>
    </row>
    <row r="386" spans="1:66" ht="14.1" customHeight="1" x14ac:dyDescent="0.15">
      <c r="A386" s="652"/>
      <c r="B386" s="2174"/>
      <c r="C386" s="2117"/>
      <c r="D386" s="2007"/>
      <c r="E386" s="2005"/>
      <c r="F386" s="2042"/>
      <c r="G386" s="2119"/>
      <c r="H386" s="2107"/>
      <c r="I386" s="2112"/>
      <c r="J386" s="2113"/>
      <c r="K386" s="2105"/>
      <c r="L386" s="2127"/>
      <c r="M386" s="2112"/>
      <c r="N386" s="2113"/>
      <c r="O386" s="2105"/>
      <c r="P386" s="2105"/>
      <c r="Q386" s="2107"/>
      <c r="R386" s="2112"/>
      <c r="S386" s="2113"/>
      <c r="T386" s="2105"/>
      <c r="U386" s="2105"/>
      <c r="V386" s="2107"/>
      <c r="W386" s="2112"/>
      <c r="X386" s="2113"/>
      <c r="Y386" s="2105"/>
      <c r="Z386" s="2105"/>
      <c r="AA386" s="2107"/>
      <c r="AB386" s="2112"/>
      <c r="AC386" s="2113"/>
      <c r="AD386" s="2105"/>
      <c r="AE386" s="2105"/>
      <c r="AF386" s="2107"/>
      <c r="AG386" s="2112"/>
      <c r="AH386" s="2113"/>
      <c r="AI386" s="2105"/>
      <c r="AJ386" s="2105"/>
      <c r="AK386" s="2148"/>
      <c r="AL386" s="2149"/>
      <c r="AM386" s="2149"/>
      <c r="AN386" s="2150"/>
      <c r="AO386" s="2011"/>
      <c r="AP386" s="2012"/>
      <c r="AQ386" s="2012"/>
      <c r="AR386" s="2013"/>
      <c r="AS386" s="651"/>
      <c r="AT386" s="652"/>
      <c r="AU386" s="1983"/>
      <c r="AV386" s="1983"/>
      <c r="AW386" s="1983"/>
      <c r="AX386" s="1983"/>
      <c r="AY386" s="1983"/>
      <c r="AZ386" s="1983"/>
      <c r="BA386" s="1983"/>
      <c r="BB386" s="654"/>
      <c r="BC386" s="654"/>
      <c r="BD386" s="652"/>
      <c r="BE386" s="652"/>
      <c r="BF386" s="652"/>
      <c r="BG386" s="652"/>
      <c r="BH386" s="652"/>
      <c r="BI386" s="652"/>
      <c r="BJ386" s="2225"/>
      <c r="BK386" s="2226"/>
      <c r="BL386" s="1381"/>
      <c r="BM386" s="684"/>
    </row>
    <row r="387" spans="1:66" ht="14.1" customHeight="1" x14ac:dyDescent="0.15">
      <c r="A387" s="652" t="str">
        <f t="shared" ref="A387" si="3688">IF(AND(D387="",D389&lt;&gt;""),"×","○")</f>
        <v>○</v>
      </c>
      <c r="B387" s="2174" t="str">
        <f t="shared" ref="B387" si="3689">IF(AND(AT387="○",BB387="○",BC387="○",A387="○"),"○","×")</f>
        <v>○</v>
      </c>
      <c r="C387" s="2116">
        <v>187</v>
      </c>
      <c r="D387" s="2006"/>
      <c r="E387" s="2004"/>
      <c r="F387" s="2041"/>
      <c r="G387" s="2118"/>
      <c r="H387" s="2106"/>
      <c r="I387" s="2141"/>
      <c r="J387" s="2142"/>
      <c r="K387" s="2104"/>
      <c r="L387" s="2140"/>
      <c r="M387" s="2110"/>
      <c r="N387" s="2111"/>
      <c r="O387" s="2104"/>
      <c r="P387" s="2104"/>
      <c r="Q387" s="2106"/>
      <c r="R387" s="2110"/>
      <c r="S387" s="2111"/>
      <c r="T387" s="2104"/>
      <c r="U387" s="2104"/>
      <c r="V387" s="2106"/>
      <c r="W387" s="2110"/>
      <c r="X387" s="2111"/>
      <c r="Y387" s="2104"/>
      <c r="Z387" s="2104"/>
      <c r="AA387" s="2106"/>
      <c r="AB387" s="2110"/>
      <c r="AC387" s="2111"/>
      <c r="AD387" s="2104"/>
      <c r="AE387" s="2104"/>
      <c r="AF387" s="2106"/>
      <c r="AG387" s="2110"/>
      <c r="AH387" s="2111"/>
      <c r="AI387" s="2104"/>
      <c r="AJ387" s="2104"/>
      <c r="AK387" s="2154"/>
      <c r="AL387" s="2155"/>
      <c r="AM387" s="2155"/>
      <c r="AN387" s="2156"/>
      <c r="AO387" s="2008"/>
      <c r="AP387" s="2009"/>
      <c r="AQ387" s="2009"/>
      <c r="AR387" s="2010"/>
      <c r="AS387" s="651"/>
      <c r="AT387" s="652" t="str">
        <f t="shared" ref="AT387" si="3690">IF(OR(AND(D387&lt;&gt;"",OR(AND(E387&lt;&gt;"",F387&lt;&gt;"",OR(G387&lt;&gt;"",H387&lt;&gt;"")),AND(E387="",F387="バス・カメラマン等"))),AND(D387="",E387="",F387="",OR(G387="",H387=""))),"○","×")</f>
        <v>○</v>
      </c>
      <c r="AU387" s="1983" t="str">
        <f t="shared" ref="AU387" si="3691">IF(AND(E387&lt;&gt;"",E387&lt;=2),"2歳児以下","")</f>
        <v/>
      </c>
      <c r="AV387" s="1983" t="str">
        <f t="shared" ref="AV387" si="3692">IF(OR(AND(3&lt;=E387,E387&lt;=6),COUNTIF(E387, "幼*"),COUNTIF(E387, "年少"),COUNTIF(E387, "年中"),COUNTIF(E387, "年長")),"3歳-学齢前","")</f>
        <v/>
      </c>
      <c r="AW387" s="1983" t="str">
        <f t="shared" ref="AW387" si="3693">IF(OR(AND(6&lt;=E387,E387&lt;=12),COUNTIF(E387, "小*")),"小学生","")</f>
        <v/>
      </c>
      <c r="AX387" s="1983" t="str">
        <f t="shared" ref="AX387" si="3694">IF(OR(AND(12&lt;=E387,E387&lt;=15),COUNTIF(E387, "中*")),"中学生","")</f>
        <v/>
      </c>
      <c r="AY387" s="1983" t="str">
        <f t="shared" ref="AY387" si="3695">IF(OR(AND(15&lt;=E387,E387&lt;=18),COUNTIF(E387, "高*")),"高校生(～18歳)","")</f>
        <v/>
      </c>
      <c r="AZ387" s="1983" t="str">
        <f t="shared" ref="AZ387" si="3696">IF(OR(19&lt;=E387,COUNTIF(E387, "大*"),COUNTIF(E387, "*院*"),COUNTIF(E387, "*専*")),"一般(19歳～)","")</f>
        <v/>
      </c>
      <c r="BA387" s="1983" t="s">
        <v>475</v>
      </c>
      <c r="BB387" s="652" t="str">
        <f t="shared" ref="BB387" si="3697">IF(OR(AND(D387="",I387="",M387="",R387="",W387="",AB387="",AG387=""),AND(D387&lt;&gt;"",OR(I387&lt;&gt;"",M387&lt;&gt;"",R387&lt;&gt;"",W387&lt;&gt;"",AB387&lt;&gt;"",AG387&lt;&gt;""))),"○","×")</f>
        <v>○</v>
      </c>
      <c r="BC387" s="652" t="str">
        <f t="shared" ref="BC387" si="3698">IF(AND(BD387="○",BE387="○",BF387="○",BG387="○",BH387="○",BI387="○"),"○","×")</f>
        <v>○</v>
      </c>
      <c r="BD387" s="653" t="str">
        <f t="shared" ref="BD387" si="3699">IF(AND($I$7=" ",OR(I387&lt;&gt;"",K387&lt;&gt;"",L387&lt;&gt;"")),"×","○")</f>
        <v>○</v>
      </c>
      <c r="BE387" s="653" t="str">
        <f t="shared" ref="BE387" si="3700">IF(AND($M$7=" ",OR(M387&lt;&gt;"",O387&lt;&gt;"",P387&lt;&gt;"",Q387&lt;&gt;"")),"×","○")</f>
        <v>○</v>
      </c>
      <c r="BF387" s="653" t="str">
        <f t="shared" ref="BF387" si="3701">IF(AND($R$7=" ",OR(R387&lt;&gt;"",T387&lt;&gt;"",U387&lt;&gt;"",V387&lt;&gt;"")),"×","○")</f>
        <v>○</v>
      </c>
      <c r="BG387" s="653" t="str">
        <f t="shared" ref="BG387" si="3702">IF(AND($W$7=" ",OR(W387&lt;&gt;"",Y387&lt;&gt;"",Z387&lt;&gt;"",AA387&lt;&gt;"")),"×","○")</f>
        <v>○</v>
      </c>
      <c r="BH387" s="653" t="str">
        <f t="shared" ref="BH387" si="3703">IF(AND($AB$7=" ",OR(AB387&lt;&gt;"",AD387&lt;&gt;"",AE387&lt;&gt;"",AF387&lt;&gt;"")),"×","○")</f>
        <v>○</v>
      </c>
      <c r="BI387" s="653" t="str">
        <f t="shared" ref="BI387" si="3704">IF(AND($AG$7=" ",OR(AG387&lt;&gt;"",AI387&lt;&gt;"",AJ387&lt;&gt;"")),"×","○")</f>
        <v>○</v>
      </c>
      <c r="BJ387" s="2225" t="e">
        <f t="shared" ref="BJ387" si="3705">SUMPRODUCT(1/COUNTIF(I387:AH387,"宿泊"))</f>
        <v>#DIV/0!</v>
      </c>
      <c r="BK387" s="2226" t="e">
        <f t="shared" ref="BK387" si="3706">SUMPRODUCT(1/COUNTIF(I387:AH387,"日帰り"))</f>
        <v>#DIV/0!</v>
      </c>
      <c r="BL387" s="1381">
        <f t="shared" ref="BL387" si="3707">COUNT(BJ387)-COUNT(BK387)</f>
        <v>0</v>
      </c>
      <c r="BM387" s="684"/>
    </row>
    <row r="388" spans="1:66" ht="14.1" customHeight="1" x14ac:dyDescent="0.15">
      <c r="A388" s="652"/>
      <c r="B388" s="2174"/>
      <c r="C388" s="2117"/>
      <c r="D388" s="2007"/>
      <c r="E388" s="2005"/>
      <c r="F388" s="2042"/>
      <c r="G388" s="2119"/>
      <c r="H388" s="2107"/>
      <c r="I388" s="2112"/>
      <c r="J388" s="2113"/>
      <c r="K388" s="2105"/>
      <c r="L388" s="2127"/>
      <c r="M388" s="2112"/>
      <c r="N388" s="2113"/>
      <c r="O388" s="2105"/>
      <c r="P388" s="2105"/>
      <c r="Q388" s="2107"/>
      <c r="R388" s="2112"/>
      <c r="S388" s="2113"/>
      <c r="T388" s="2105"/>
      <c r="U388" s="2105"/>
      <c r="V388" s="2107"/>
      <c r="W388" s="2112"/>
      <c r="X388" s="2113"/>
      <c r="Y388" s="2105"/>
      <c r="Z388" s="2105"/>
      <c r="AA388" s="2107"/>
      <c r="AB388" s="2112"/>
      <c r="AC388" s="2113"/>
      <c r="AD388" s="2105"/>
      <c r="AE388" s="2105"/>
      <c r="AF388" s="2107"/>
      <c r="AG388" s="2112"/>
      <c r="AH388" s="2113"/>
      <c r="AI388" s="2105"/>
      <c r="AJ388" s="2105"/>
      <c r="AK388" s="2151"/>
      <c r="AL388" s="2152"/>
      <c r="AM388" s="2152"/>
      <c r="AN388" s="2153"/>
      <c r="AO388" s="2011"/>
      <c r="AP388" s="2012"/>
      <c r="AQ388" s="2012"/>
      <c r="AR388" s="2013"/>
      <c r="AS388" s="651"/>
      <c r="AT388" s="652"/>
      <c r="AU388" s="1983"/>
      <c r="AV388" s="1983"/>
      <c r="AW388" s="1983"/>
      <c r="AX388" s="1983"/>
      <c r="AY388" s="1983"/>
      <c r="AZ388" s="1983"/>
      <c r="BA388" s="1983"/>
      <c r="BB388" s="654"/>
      <c r="BC388" s="654"/>
      <c r="BD388" s="652"/>
      <c r="BE388" s="652"/>
      <c r="BF388" s="652"/>
      <c r="BG388" s="652"/>
      <c r="BH388" s="652"/>
      <c r="BI388" s="652"/>
      <c r="BJ388" s="2225"/>
      <c r="BK388" s="2226"/>
      <c r="BL388" s="1381"/>
      <c r="BM388" s="684"/>
    </row>
    <row r="389" spans="1:66" ht="14.1" customHeight="1" x14ac:dyDescent="0.15">
      <c r="A389" s="652" t="str">
        <f t="shared" ref="A389" si="3708">IF(AND(D389="",D391&lt;&gt;""),"×","○")</f>
        <v>○</v>
      </c>
      <c r="B389" s="2174" t="str">
        <f t="shared" ref="B389" si="3709">IF(AND(AT389="○",BB389="○",BC389="○",A389="○"),"○","×")</f>
        <v>○</v>
      </c>
      <c r="C389" s="2116">
        <v>188</v>
      </c>
      <c r="D389" s="2006"/>
      <c r="E389" s="2004"/>
      <c r="F389" s="2041"/>
      <c r="G389" s="2118"/>
      <c r="H389" s="2106"/>
      <c r="I389" s="2141"/>
      <c r="J389" s="2142"/>
      <c r="K389" s="2104"/>
      <c r="L389" s="2140"/>
      <c r="M389" s="2110"/>
      <c r="N389" s="2111"/>
      <c r="O389" s="2104"/>
      <c r="P389" s="2104"/>
      <c r="Q389" s="2106"/>
      <c r="R389" s="2110"/>
      <c r="S389" s="2111"/>
      <c r="T389" s="2104"/>
      <c r="U389" s="2104"/>
      <c r="V389" s="2106"/>
      <c r="W389" s="2110"/>
      <c r="X389" s="2111"/>
      <c r="Y389" s="2104"/>
      <c r="Z389" s="2104"/>
      <c r="AA389" s="2106"/>
      <c r="AB389" s="2110"/>
      <c r="AC389" s="2111"/>
      <c r="AD389" s="2104"/>
      <c r="AE389" s="2104"/>
      <c r="AF389" s="2106"/>
      <c r="AG389" s="2110"/>
      <c r="AH389" s="2111"/>
      <c r="AI389" s="2104"/>
      <c r="AJ389" s="2104"/>
      <c r="AK389" s="2148"/>
      <c r="AL389" s="2149"/>
      <c r="AM389" s="2149"/>
      <c r="AN389" s="2150"/>
      <c r="AO389" s="2008"/>
      <c r="AP389" s="2009"/>
      <c r="AQ389" s="2009"/>
      <c r="AR389" s="2010"/>
      <c r="AS389" s="651"/>
      <c r="AT389" s="652" t="str">
        <f t="shared" ref="AT389" si="3710">IF(OR(AND(D389&lt;&gt;"",OR(AND(E389&lt;&gt;"",F389&lt;&gt;"",OR(G389&lt;&gt;"",H389&lt;&gt;"")),AND(E389="",F389="バス・カメラマン等"))),AND(D389="",E389="",F389="",OR(G389="",H389=""))),"○","×")</f>
        <v>○</v>
      </c>
      <c r="AU389" s="1983" t="str">
        <f t="shared" ref="AU389" si="3711">IF(AND(E389&lt;&gt;"",E389&lt;=2),"2歳児以下","")</f>
        <v/>
      </c>
      <c r="AV389" s="1983" t="str">
        <f t="shared" ref="AV389" si="3712">IF(OR(AND(3&lt;=E389,E389&lt;=6),COUNTIF(E389, "幼*"),COUNTIF(E389, "年少"),COUNTIF(E389, "年中"),COUNTIF(E389, "年長")),"3歳-学齢前","")</f>
        <v/>
      </c>
      <c r="AW389" s="1983" t="str">
        <f t="shared" ref="AW389" si="3713">IF(OR(AND(6&lt;=E389,E389&lt;=12),COUNTIF(E389, "小*")),"小学生","")</f>
        <v/>
      </c>
      <c r="AX389" s="1983" t="str">
        <f t="shared" ref="AX389" si="3714">IF(OR(AND(12&lt;=E389,E389&lt;=15),COUNTIF(E389, "中*")),"中学生","")</f>
        <v/>
      </c>
      <c r="AY389" s="1983" t="str">
        <f t="shared" ref="AY389" si="3715">IF(OR(AND(15&lt;=E389,E389&lt;=18),COUNTIF(E389, "高*")),"高校生(～18歳)","")</f>
        <v/>
      </c>
      <c r="AZ389" s="1983" t="str">
        <f t="shared" ref="AZ389" si="3716">IF(OR(19&lt;=E389,COUNTIF(E389, "大*"),COUNTIF(E389, "*院*"),COUNTIF(E389, "*専*")),"一般(19歳～)","")</f>
        <v/>
      </c>
      <c r="BA389" s="1983" t="s">
        <v>475</v>
      </c>
      <c r="BB389" s="652" t="str">
        <f t="shared" ref="BB389" si="3717">IF(OR(AND(D389="",I389="",M389="",R389="",W389="",AB389="",AG389=""),AND(D389&lt;&gt;"",OR(I389&lt;&gt;"",M389&lt;&gt;"",R389&lt;&gt;"",W389&lt;&gt;"",AB389&lt;&gt;"",AG389&lt;&gt;""))),"○","×")</f>
        <v>○</v>
      </c>
      <c r="BC389" s="652" t="str">
        <f t="shared" ref="BC389" si="3718">IF(AND(BD389="○",BE389="○",BF389="○",BG389="○",BH389="○",BI389="○"),"○","×")</f>
        <v>○</v>
      </c>
      <c r="BD389" s="653" t="str">
        <f t="shared" ref="BD389" si="3719">IF(AND($I$7=" ",OR(I389&lt;&gt;"",K389&lt;&gt;"",L389&lt;&gt;"")),"×","○")</f>
        <v>○</v>
      </c>
      <c r="BE389" s="653" t="str">
        <f t="shared" ref="BE389" si="3720">IF(AND($M$7=" ",OR(M389&lt;&gt;"",O389&lt;&gt;"",P389&lt;&gt;"",Q389&lt;&gt;"")),"×","○")</f>
        <v>○</v>
      </c>
      <c r="BF389" s="653" t="str">
        <f t="shared" ref="BF389" si="3721">IF(AND($R$7=" ",OR(R389&lt;&gt;"",T389&lt;&gt;"",U389&lt;&gt;"",V389&lt;&gt;"")),"×","○")</f>
        <v>○</v>
      </c>
      <c r="BG389" s="653" t="str">
        <f t="shared" ref="BG389" si="3722">IF(AND($W$7=" ",OR(W389&lt;&gt;"",Y389&lt;&gt;"",Z389&lt;&gt;"",AA389&lt;&gt;"")),"×","○")</f>
        <v>○</v>
      </c>
      <c r="BH389" s="653" t="str">
        <f t="shared" ref="BH389" si="3723">IF(AND($AB$7=" ",OR(AB389&lt;&gt;"",AD389&lt;&gt;"",AE389&lt;&gt;"",AF389&lt;&gt;"")),"×","○")</f>
        <v>○</v>
      </c>
      <c r="BI389" s="653" t="str">
        <f t="shared" ref="BI389" si="3724">IF(AND($AG$7=" ",OR(AG389&lt;&gt;"",AI389&lt;&gt;"",AJ389&lt;&gt;"")),"×","○")</f>
        <v>○</v>
      </c>
      <c r="BJ389" s="2225" t="e">
        <f t="shared" ref="BJ389" si="3725">SUMPRODUCT(1/COUNTIF(I389:AH389,"宿泊"))</f>
        <v>#DIV/0!</v>
      </c>
      <c r="BK389" s="2226" t="e">
        <f t="shared" ref="BK389" si="3726">SUMPRODUCT(1/COUNTIF(I389:AH389,"日帰り"))</f>
        <v>#DIV/0!</v>
      </c>
      <c r="BL389" s="1381">
        <f t="shared" ref="BL389" si="3727">COUNT(BJ389)-COUNT(BK389)</f>
        <v>0</v>
      </c>
      <c r="BM389" s="684"/>
    </row>
    <row r="390" spans="1:66" ht="14.1" customHeight="1" x14ac:dyDescent="0.15">
      <c r="A390" s="652"/>
      <c r="B390" s="2174"/>
      <c r="C390" s="2117"/>
      <c r="D390" s="2007"/>
      <c r="E390" s="2005"/>
      <c r="F390" s="2042"/>
      <c r="G390" s="2119"/>
      <c r="H390" s="2107"/>
      <c r="I390" s="2112"/>
      <c r="J390" s="2113"/>
      <c r="K390" s="2105"/>
      <c r="L390" s="2127"/>
      <c r="M390" s="2112"/>
      <c r="N390" s="2113"/>
      <c r="O390" s="2105"/>
      <c r="P390" s="2105"/>
      <c r="Q390" s="2107"/>
      <c r="R390" s="2112"/>
      <c r="S390" s="2113"/>
      <c r="T390" s="2105"/>
      <c r="U390" s="2105"/>
      <c r="V390" s="2107"/>
      <c r="W390" s="2112"/>
      <c r="X390" s="2113"/>
      <c r="Y390" s="2105"/>
      <c r="Z390" s="2105"/>
      <c r="AA390" s="2107"/>
      <c r="AB390" s="2112"/>
      <c r="AC390" s="2113"/>
      <c r="AD390" s="2105"/>
      <c r="AE390" s="2105"/>
      <c r="AF390" s="2107"/>
      <c r="AG390" s="2112"/>
      <c r="AH390" s="2113"/>
      <c r="AI390" s="2105"/>
      <c r="AJ390" s="2105"/>
      <c r="AK390" s="2151"/>
      <c r="AL390" s="2152"/>
      <c r="AM390" s="2152"/>
      <c r="AN390" s="2153"/>
      <c r="AO390" s="2011"/>
      <c r="AP390" s="2012"/>
      <c r="AQ390" s="2012"/>
      <c r="AR390" s="2013"/>
      <c r="AS390" s="651"/>
      <c r="AT390" s="652"/>
      <c r="AU390" s="1983"/>
      <c r="AV390" s="1983"/>
      <c r="AW390" s="1983"/>
      <c r="AX390" s="1983"/>
      <c r="AY390" s="1983"/>
      <c r="AZ390" s="1983"/>
      <c r="BA390" s="1983"/>
      <c r="BB390" s="654"/>
      <c r="BC390" s="654"/>
      <c r="BD390" s="652"/>
      <c r="BE390" s="652"/>
      <c r="BF390" s="652"/>
      <c r="BG390" s="652"/>
      <c r="BH390" s="652"/>
      <c r="BI390" s="652"/>
      <c r="BJ390" s="2225"/>
      <c r="BK390" s="2226"/>
      <c r="BL390" s="1381"/>
      <c r="BM390" s="684"/>
    </row>
    <row r="391" spans="1:66" ht="14.1" customHeight="1" x14ac:dyDescent="0.15">
      <c r="A391" s="652" t="str">
        <f t="shared" ref="A391" si="3728">IF(AND(D391="",D393&lt;&gt;""),"×","○")</f>
        <v>○</v>
      </c>
      <c r="B391" s="2174" t="str">
        <f t="shared" ref="B391" si="3729">IF(AND(AT391="○",BB391="○",BC391="○",A391="○"),"○","×")</f>
        <v>○</v>
      </c>
      <c r="C391" s="2116">
        <v>189</v>
      </c>
      <c r="D391" s="2006"/>
      <c r="E391" s="2004"/>
      <c r="F391" s="2041"/>
      <c r="G391" s="2118"/>
      <c r="H391" s="2106"/>
      <c r="I391" s="2141"/>
      <c r="J391" s="2142"/>
      <c r="K391" s="2104"/>
      <c r="L391" s="2140"/>
      <c r="M391" s="2110"/>
      <c r="N391" s="2111"/>
      <c r="O391" s="2104"/>
      <c r="P391" s="2104"/>
      <c r="Q391" s="2106"/>
      <c r="R391" s="2110"/>
      <c r="S391" s="2111"/>
      <c r="T391" s="2104"/>
      <c r="U391" s="2104"/>
      <c r="V391" s="2106"/>
      <c r="W391" s="2110"/>
      <c r="X391" s="2111"/>
      <c r="Y391" s="2104"/>
      <c r="Z391" s="2104"/>
      <c r="AA391" s="2106"/>
      <c r="AB391" s="2110"/>
      <c r="AC391" s="2111"/>
      <c r="AD391" s="2104"/>
      <c r="AE391" s="2104"/>
      <c r="AF391" s="2106"/>
      <c r="AG391" s="2110"/>
      <c r="AH391" s="2111"/>
      <c r="AI391" s="2104"/>
      <c r="AJ391" s="2104"/>
      <c r="AK391" s="2148"/>
      <c r="AL391" s="2149"/>
      <c r="AM391" s="2149"/>
      <c r="AN391" s="2150"/>
      <c r="AO391" s="2008"/>
      <c r="AP391" s="2009"/>
      <c r="AQ391" s="2009"/>
      <c r="AR391" s="2010"/>
      <c r="AS391" s="651"/>
      <c r="AT391" s="652" t="str">
        <f t="shared" ref="AT391" si="3730">IF(OR(AND(D391&lt;&gt;"",OR(AND(E391&lt;&gt;"",F391&lt;&gt;"",OR(G391&lt;&gt;"",H391&lt;&gt;"")),AND(E391="",F391="バス・カメラマン等"))),AND(D391="",E391="",F391="",OR(G391="",H391=""))),"○","×")</f>
        <v>○</v>
      </c>
      <c r="AU391" s="1983" t="str">
        <f t="shared" ref="AU391" si="3731">IF(AND(E391&lt;&gt;"",E391&lt;=2),"2歳児以下","")</f>
        <v/>
      </c>
      <c r="AV391" s="1983" t="str">
        <f t="shared" ref="AV391" si="3732">IF(OR(AND(3&lt;=E391,E391&lt;=6),COUNTIF(E391, "幼*"),COUNTIF(E391, "年少"),COUNTIF(E391, "年中"),COUNTIF(E391, "年長")),"3歳-学齢前","")</f>
        <v/>
      </c>
      <c r="AW391" s="1983" t="str">
        <f t="shared" ref="AW391" si="3733">IF(OR(AND(6&lt;=E391,E391&lt;=12),COUNTIF(E391, "小*")),"小学生","")</f>
        <v/>
      </c>
      <c r="AX391" s="1983" t="str">
        <f t="shared" ref="AX391" si="3734">IF(OR(AND(12&lt;=E391,E391&lt;=15),COUNTIF(E391, "中*")),"中学生","")</f>
        <v/>
      </c>
      <c r="AY391" s="1983" t="str">
        <f t="shared" ref="AY391" si="3735">IF(OR(AND(15&lt;=E391,E391&lt;=18),COUNTIF(E391, "高*")),"高校生(～18歳)","")</f>
        <v/>
      </c>
      <c r="AZ391" s="1983" t="str">
        <f t="shared" ref="AZ391" si="3736">IF(OR(19&lt;=E391,COUNTIF(E391, "大*"),COUNTIF(E391, "*院*"),COUNTIF(E391, "*専*")),"一般(19歳～)","")</f>
        <v/>
      </c>
      <c r="BA391" s="1983" t="s">
        <v>475</v>
      </c>
      <c r="BB391" s="652" t="str">
        <f t="shared" ref="BB391" si="3737">IF(OR(AND(D391="",I391="",M391="",R391="",W391="",AB391="",AG391=""),AND(D391&lt;&gt;"",OR(I391&lt;&gt;"",M391&lt;&gt;"",R391&lt;&gt;"",W391&lt;&gt;"",AB391&lt;&gt;"",AG391&lt;&gt;""))),"○","×")</f>
        <v>○</v>
      </c>
      <c r="BC391" s="652" t="str">
        <f t="shared" ref="BC391" si="3738">IF(AND(BD391="○",BE391="○",BF391="○",BG391="○",BH391="○",BI391="○"),"○","×")</f>
        <v>○</v>
      </c>
      <c r="BD391" s="653" t="str">
        <f t="shared" ref="BD391" si="3739">IF(AND($I$7=" ",OR(I391&lt;&gt;"",K391&lt;&gt;"",L391&lt;&gt;"")),"×","○")</f>
        <v>○</v>
      </c>
      <c r="BE391" s="653" t="str">
        <f t="shared" ref="BE391" si="3740">IF(AND($M$7=" ",OR(M391&lt;&gt;"",O391&lt;&gt;"",P391&lt;&gt;"",Q391&lt;&gt;"")),"×","○")</f>
        <v>○</v>
      </c>
      <c r="BF391" s="653" t="str">
        <f t="shared" ref="BF391" si="3741">IF(AND($R$7=" ",OR(R391&lt;&gt;"",T391&lt;&gt;"",U391&lt;&gt;"",V391&lt;&gt;"")),"×","○")</f>
        <v>○</v>
      </c>
      <c r="BG391" s="653" t="str">
        <f t="shared" ref="BG391" si="3742">IF(AND($W$7=" ",OR(W391&lt;&gt;"",Y391&lt;&gt;"",Z391&lt;&gt;"",AA391&lt;&gt;"")),"×","○")</f>
        <v>○</v>
      </c>
      <c r="BH391" s="653" t="str">
        <f t="shared" ref="BH391" si="3743">IF(AND($AB$7=" ",OR(AB391&lt;&gt;"",AD391&lt;&gt;"",AE391&lt;&gt;"",AF391&lt;&gt;"")),"×","○")</f>
        <v>○</v>
      </c>
      <c r="BI391" s="653" t="str">
        <f t="shared" ref="BI391" si="3744">IF(AND($AG$7=" ",OR(AG391&lt;&gt;"",AI391&lt;&gt;"",AJ391&lt;&gt;"")),"×","○")</f>
        <v>○</v>
      </c>
      <c r="BJ391" s="2225" t="e">
        <f t="shared" ref="BJ391" si="3745">SUMPRODUCT(1/COUNTIF(I391:AH391,"宿泊"))</f>
        <v>#DIV/0!</v>
      </c>
      <c r="BK391" s="2226" t="e">
        <f t="shared" ref="BK391" si="3746">SUMPRODUCT(1/COUNTIF(I391:AH391,"日帰り"))</f>
        <v>#DIV/0!</v>
      </c>
      <c r="BL391" s="1381">
        <f t="shared" ref="BL391" si="3747">COUNT(BJ391)-COUNT(BK391)</f>
        <v>0</v>
      </c>
      <c r="BM391" s="684"/>
    </row>
    <row r="392" spans="1:66" ht="14.1" customHeight="1" x14ac:dyDescent="0.15">
      <c r="A392" s="652"/>
      <c r="B392" s="2174"/>
      <c r="C392" s="2117"/>
      <c r="D392" s="2007"/>
      <c r="E392" s="2005"/>
      <c r="F392" s="2042"/>
      <c r="G392" s="2119"/>
      <c r="H392" s="2107"/>
      <c r="I392" s="2112"/>
      <c r="J392" s="2113"/>
      <c r="K392" s="2105"/>
      <c r="L392" s="2127"/>
      <c r="M392" s="2112"/>
      <c r="N392" s="2113"/>
      <c r="O392" s="2105"/>
      <c r="P392" s="2105"/>
      <c r="Q392" s="2107"/>
      <c r="R392" s="2112"/>
      <c r="S392" s="2113"/>
      <c r="T392" s="2105"/>
      <c r="U392" s="2105"/>
      <c r="V392" s="2107"/>
      <c r="W392" s="2112"/>
      <c r="X392" s="2113"/>
      <c r="Y392" s="2105"/>
      <c r="Z392" s="2105"/>
      <c r="AA392" s="2107"/>
      <c r="AB392" s="2112"/>
      <c r="AC392" s="2113"/>
      <c r="AD392" s="2105"/>
      <c r="AE392" s="2105"/>
      <c r="AF392" s="2107"/>
      <c r="AG392" s="2112"/>
      <c r="AH392" s="2113"/>
      <c r="AI392" s="2105"/>
      <c r="AJ392" s="2105"/>
      <c r="AK392" s="2148"/>
      <c r="AL392" s="2149"/>
      <c r="AM392" s="2149"/>
      <c r="AN392" s="2150"/>
      <c r="AO392" s="2011"/>
      <c r="AP392" s="2012"/>
      <c r="AQ392" s="2012"/>
      <c r="AR392" s="2013"/>
      <c r="AS392" s="651"/>
      <c r="AT392" s="652"/>
      <c r="AU392" s="1983"/>
      <c r="AV392" s="1983"/>
      <c r="AW392" s="1983"/>
      <c r="AX392" s="1983"/>
      <c r="AY392" s="1983"/>
      <c r="AZ392" s="1983"/>
      <c r="BA392" s="1983"/>
      <c r="BB392" s="654"/>
      <c r="BC392" s="654"/>
      <c r="BD392" s="652"/>
      <c r="BE392" s="652"/>
      <c r="BF392" s="652"/>
      <c r="BG392" s="652"/>
      <c r="BH392" s="652"/>
      <c r="BI392" s="652"/>
      <c r="BJ392" s="2225"/>
      <c r="BK392" s="2226"/>
      <c r="BL392" s="1381"/>
      <c r="BM392" s="684"/>
    </row>
    <row r="393" spans="1:66" ht="14.1" customHeight="1" x14ac:dyDescent="0.15">
      <c r="A393" s="652" t="str">
        <f t="shared" ref="A393" si="3748">IF(AND(D393="",D395&lt;&gt;""),"×","○")</f>
        <v>○</v>
      </c>
      <c r="B393" s="2174" t="str">
        <f t="shared" ref="B393" si="3749">IF(AND(AT393="○",BB393="○",BC393="○",A393="○"),"○","×")</f>
        <v>○</v>
      </c>
      <c r="C393" s="2116">
        <v>190</v>
      </c>
      <c r="D393" s="2006"/>
      <c r="E393" s="2004"/>
      <c r="F393" s="2041"/>
      <c r="G393" s="2118"/>
      <c r="H393" s="2106"/>
      <c r="I393" s="2141"/>
      <c r="J393" s="2142"/>
      <c r="K393" s="2104"/>
      <c r="L393" s="2140"/>
      <c r="M393" s="2110"/>
      <c r="N393" s="2111"/>
      <c r="O393" s="2104"/>
      <c r="P393" s="2104"/>
      <c r="Q393" s="2106"/>
      <c r="R393" s="2110"/>
      <c r="S393" s="2111"/>
      <c r="T393" s="2104"/>
      <c r="U393" s="2104"/>
      <c r="V393" s="2106"/>
      <c r="W393" s="2110"/>
      <c r="X393" s="2111"/>
      <c r="Y393" s="2104"/>
      <c r="Z393" s="2104"/>
      <c r="AA393" s="2106"/>
      <c r="AB393" s="2110"/>
      <c r="AC393" s="2111"/>
      <c r="AD393" s="2104"/>
      <c r="AE393" s="2104"/>
      <c r="AF393" s="2106"/>
      <c r="AG393" s="2110"/>
      <c r="AH393" s="2111"/>
      <c r="AI393" s="2104"/>
      <c r="AJ393" s="2104"/>
      <c r="AK393" s="2154"/>
      <c r="AL393" s="2155"/>
      <c r="AM393" s="2155"/>
      <c r="AN393" s="2156"/>
      <c r="AO393" s="2008"/>
      <c r="AP393" s="2009"/>
      <c r="AQ393" s="2009"/>
      <c r="AR393" s="2010"/>
      <c r="AS393" s="651"/>
      <c r="AT393" s="652" t="str">
        <f t="shared" ref="AT393" si="3750">IF(OR(AND(D393&lt;&gt;"",OR(AND(E393&lt;&gt;"",F393&lt;&gt;"",OR(G393&lt;&gt;"",H393&lt;&gt;"")),AND(E393="",F393="バス・カメラマン等"))),AND(D393="",E393="",F393="",OR(G393="",H393=""))),"○","×")</f>
        <v>○</v>
      </c>
      <c r="AU393" s="1983" t="str">
        <f t="shared" ref="AU393" si="3751">IF(AND(E393&lt;&gt;"",E393&lt;=2),"2歳児以下","")</f>
        <v/>
      </c>
      <c r="AV393" s="1983" t="str">
        <f t="shared" ref="AV393" si="3752">IF(OR(AND(3&lt;=E393,E393&lt;=6),COUNTIF(E393, "幼*"),COUNTIF(E393, "年少"),COUNTIF(E393, "年中"),COUNTIF(E393, "年長")),"3歳-学齢前","")</f>
        <v/>
      </c>
      <c r="AW393" s="1983" t="str">
        <f t="shared" ref="AW393" si="3753">IF(OR(AND(6&lt;=E393,E393&lt;=12),COUNTIF(E393, "小*")),"小学生","")</f>
        <v/>
      </c>
      <c r="AX393" s="1983" t="str">
        <f t="shared" ref="AX393" si="3754">IF(OR(AND(12&lt;=E393,E393&lt;=15),COUNTIF(E393, "中*")),"中学生","")</f>
        <v/>
      </c>
      <c r="AY393" s="1983" t="str">
        <f t="shared" ref="AY393" si="3755">IF(OR(AND(15&lt;=E393,E393&lt;=18),COUNTIF(E393, "高*")),"高校生(～18歳)","")</f>
        <v/>
      </c>
      <c r="AZ393" s="1983" t="str">
        <f t="shared" ref="AZ393" si="3756">IF(OR(19&lt;=E393,COUNTIF(E393, "大*"),COUNTIF(E393, "*院*"),COUNTIF(E393, "*専*")),"一般(19歳～)","")</f>
        <v/>
      </c>
      <c r="BA393" s="1983" t="s">
        <v>475</v>
      </c>
      <c r="BB393" s="652" t="str">
        <f t="shared" ref="BB393" si="3757">IF(OR(AND(D393="",I393="",M393="",R393="",W393="",AB393="",AG393=""),AND(D393&lt;&gt;"",OR(I393&lt;&gt;"",M393&lt;&gt;"",R393&lt;&gt;"",W393&lt;&gt;"",AB393&lt;&gt;"",AG393&lt;&gt;""))),"○","×")</f>
        <v>○</v>
      </c>
      <c r="BC393" s="652" t="str">
        <f t="shared" ref="BC393" si="3758">IF(AND(BD393="○",BE393="○",BF393="○",BG393="○",BH393="○",BI393="○"),"○","×")</f>
        <v>○</v>
      </c>
      <c r="BD393" s="653" t="str">
        <f t="shared" ref="BD393" si="3759">IF(AND($I$7=" ",OR(I393&lt;&gt;"",K393&lt;&gt;"",L393&lt;&gt;"")),"×","○")</f>
        <v>○</v>
      </c>
      <c r="BE393" s="653" t="str">
        <f t="shared" ref="BE393" si="3760">IF(AND($M$7=" ",OR(M393&lt;&gt;"",O393&lt;&gt;"",P393&lt;&gt;"",Q393&lt;&gt;"")),"×","○")</f>
        <v>○</v>
      </c>
      <c r="BF393" s="653" t="str">
        <f t="shared" ref="BF393" si="3761">IF(AND($R$7=" ",OR(R393&lt;&gt;"",T393&lt;&gt;"",U393&lt;&gt;"",V393&lt;&gt;"")),"×","○")</f>
        <v>○</v>
      </c>
      <c r="BG393" s="653" t="str">
        <f t="shared" ref="BG393" si="3762">IF(AND($W$7=" ",OR(W393&lt;&gt;"",Y393&lt;&gt;"",Z393&lt;&gt;"",AA393&lt;&gt;"")),"×","○")</f>
        <v>○</v>
      </c>
      <c r="BH393" s="653" t="str">
        <f t="shared" ref="BH393" si="3763">IF(AND($AB$7=" ",OR(AB393&lt;&gt;"",AD393&lt;&gt;"",AE393&lt;&gt;"",AF393&lt;&gt;"")),"×","○")</f>
        <v>○</v>
      </c>
      <c r="BI393" s="653" t="str">
        <f t="shared" ref="BI393" si="3764">IF(AND($AG$7=" ",OR(AG393&lt;&gt;"",AI393&lt;&gt;"",AJ393&lt;&gt;"")),"×","○")</f>
        <v>○</v>
      </c>
      <c r="BJ393" s="2225" t="e">
        <f t="shared" ref="BJ393" si="3765">SUMPRODUCT(1/COUNTIF(I393:AH393,"宿泊"))</f>
        <v>#DIV/0!</v>
      </c>
      <c r="BK393" s="2226" t="e">
        <f t="shared" ref="BK393" si="3766">SUMPRODUCT(1/COUNTIF(I393:AH393,"日帰り"))</f>
        <v>#DIV/0!</v>
      </c>
      <c r="BL393" s="1381">
        <f t="shared" ref="BL393" si="3767">COUNT(BJ393)-COUNT(BK393)</f>
        <v>0</v>
      </c>
      <c r="BM393" s="684"/>
    </row>
    <row r="394" spans="1:66" ht="14.1" customHeight="1" x14ac:dyDescent="0.15">
      <c r="A394" s="652"/>
      <c r="B394" s="2174"/>
      <c r="C394" s="2117"/>
      <c r="D394" s="2007"/>
      <c r="E394" s="2005"/>
      <c r="F394" s="2042"/>
      <c r="G394" s="2119"/>
      <c r="H394" s="2107"/>
      <c r="I394" s="2112"/>
      <c r="J394" s="2113"/>
      <c r="K394" s="2105"/>
      <c r="L394" s="2127"/>
      <c r="M394" s="2112"/>
      <c r="N394" s="2113"/>
      <c r="O394" s="2105"/>
      <c r="P394" s="2105"/>
      <c r="Q394" s="2107"/>
      <c r="R394" s="2112"/>
      <c r="S394" s="2113"/>
      <c r="T394" s="2105"/>
      <c r="U394" s="2105"/>
      <c r="V394" s="2107"/>
      <c r="W394" s="2112"/>
      <c r="X394" s="2113"/>
      <c r="Y394" s="2105"/>
      <c r="Z394" s="2105"/>
      <c r="AA394" s="2107"/>
      <c r="AB394" s="2112"/>
      <c r="AC394" s="2113"/>
      <c r="AD394" s="2105"/>
      <c r="AE394" s="2105"/>
      <c r="AF394" s="2107"/>
      <c r="AG394" s="2112"/>
      <c r="AH394" s="2113"/>
      <c r="AI394" s="2105"/>
      <c r="AJ394" s="2105"/>
      <c r="AK394" s="2148"/>
      <c r="AL394" s="2149"/>
      <c r="AM394" s="2149"/>
      <c r="AN394" s="2150"/>
      <c r="AO394" s="2011"/>
      <c r="AP394" s="2012"/>
      <c r="AQ394" s="2012"/>
      <c r="AR394" s="2013"/>
      <c r="AS394" s="651"/>
      <c r="AT394" s="652"/>
      <c r="AU394" s="1983"/>
      <c r="AV394" s="1983"/>
      <c r="AW394" s="1983"/>
      <c r="AX394" s="1983"/>
      <c r="AY394" s="1983"/>
      <c r="AZ394" s="1983"/>
      <c r="BA394" s="1983"/>
      <c r="BB394" s="654"/>
      <c r="BC394" s="654"/>
      <c r="BD394" s="652"/>
      <c r="BE394" s="652"/>
      <c r="BF394" s="652"/>
      <c r="BG394" s="652"/>
      <c r="BH394" s="652"/>
      <c r="BI394" s="652"/>
      <c r="BJ394" s="2225"/>
      <c r="BK394" s="2226"/>
      <c r="BL394" s="1381"/>
      <c r="BM394" s="684"/>
    </row>
    <row r="395" spans="1:66" ht="14.1" customHeight="1" x14ac:dyDescent="0.15">
      <c r="A395" s="652" t="str">
        <f t="shared" ref="A395" si="3768">IF(AND(D395="",D397&lt;&gt;""),"×","○")</f>
        <v>○</v>
      </c>
      <c r="B395" s="2174" t="str">
        <f t="shared" ref="B395" si="3769">IF(AND(AT395="○",BB395="○",BC395="○",A395="○"),"○","×")</f>
        <v>○</v>
      </c>
      <c r="C395" s="2116">
        <v>191</v>
      </c>
      <c r="D395" s="2006"/>
      <c r="E395" s="2004"/>
      <c r="F395" s="2041"/>
      <c r="G395" s="2118"/>
      <c r="H395" s="2106"/>
      <c r="I395" s="2141"/>
      <c r="J395" s="2142"/>
      <c r="K395" s="2104"/>
      <c r="L395" s="2140"/>
      <c r="M395" s="2110"/>
      <c r="N395" s="2111"/>
      <c r="O395" s="2104"/>
      <c r="P395" s="2104"/>
      <c r="Q395" s="2106"/>
      <c r="R395" s="2110"/>
      <c r="S395" s="2111"/>
      <c r="T395" s="2104"/>
      <c r="U395" s="2104"/>
      <c r="V395" s="2106"/>
      <c r="W395" s="2110"/>
      <c r="X395" s="2111"/>
      <c r="Y395" s="2104"/>
      <c r="Z395" s="2104"/>
      <c r="AA395" s="2106"/>
      <c r="AB395" s="2110"/>
      <c r="AC395" s="2111"/>
      <c r="AD395" s="2104"/>
      <c r="AE395" s="2104"/>
      <c r="AF395" s="2106"/>
      <c r="AG395" s="2110"/>
      <c r="AH395" s="2111"/>
      <c r="AI395" s="2104"/>
      <c r="AJ395" s="2104"/>
      <c r="AK395" s="2154"/>
      <c r="AL395" s="2155"/>
      <c r="AM395" s="2155"/>
      <c r="AN395" s="2156"/>
      <c r="AO395" s="2008"/>
      <c r="AP395" s="2009"/>
      <c r="AQ395" s="2009"/>
      <c r="AR395" s="2010"/>
      <c r="AS395" s="651"/>
      <c r="AT395" s="652" t="str">
        <f t="shared" ref="AT395" si="3770">IF(OR(AND(D395&lt;&gt;"",OR(AND(E395&lt;&gt;"",F395&lt;&gt;"",OR(G395&lt;&gt;"",H395&lt;&gt;"")),AND(E395="",F395="バス・カメラマン等"))),AND(D395="",E395="",F395="",OR(G395="",H395=""))),"○","×")</f>
        <v>○</v>
      </c>
      <c r="AU395" s="1983" t="str">
        <f t="shared" ref="AU395" si="3771">IF(AND(E395&lt;&gt;"",E395&lt;=2),"2歳児以下","")</f>
        <v/>
      </c>
      <c r="AV395" s="1983" t="str">
        <f t="shared" ref="AV395" si="3772">IF(OR(AND(3&lt;=E395,E395&lt;=6),COUNTIF(E395, "幼*"),COUNTIF(E395, "年少"),COUNTIF(E395, "年中"),COUNTIF(E395, "年長")),"3歳-学齢前","")</f>
        <v/>
      </c>
      <c r="AW395" s="1983" t="str">
        <f t="shared" ref="AW395" si="3773">IF(OR(AND(6&lt;=E395,E395&lt;=12),COUNTIF(E395, "小*")),"小学生","")</f>
        <v/>
      </c>
      <c r="AX395" s="1983" t="str">
        <f t="shared" ref="AX395" si="3774">IF(OR(AND(12&lt;=E395,E395&lt;=15),COUNTIF(E395, "中*")),"中学生","")</f>
        <v/>
      </c>
      <c r="AY395" s="1983" t="str">
        <f t="shared" ref="AY395" si="3775">IF(OR(AND(15&lt;=E395,E395&lt;=18),COUNTIF(E395, "高*")),"高校生(～18歳)","")</f>
        <v/>
      </c>
      <c r="AZ395" s="1983" t="str">
        <f t="shared" ref="AZ395" si="3776">IF(OR(19&lt;=E395,COUNTIF(E395, "大*"),COUNTIF(E395, "*院*"),COUNTIF(E395, "*専*")),"一般(19歳～)","")</f>
        <v/>
      </c>
      <c r="BA395" s="1983" t="s">
        <v>475</v>
      </c>
      <c r="BB395" s="652" t="str">
        <f t="shared" ref="BB395" si="3777">IF(OR(AND(D395="",I395="",M395="",R395="",W395="",AB395="",AG395=""),AND(D395&lt;&gt;"",OR(I395&lt;&gt;"",M395&lt;&gt;"",R395&lt;&gt;"",W395&lt;&gt;"",AB395&lt;&gt;"",AG395&lt;&gt;""))),"○","×")</f>
        <v>○</v>
      </c>
      <c r="BC395" s="652" t="str">
        <f t="shared" ref="BC395" si="3778">IF(AND(BD395="○",BE395="○",BF395="○",BG395="○",BH395="○",BI395="○"),"○","×")</f>
        <v>○</v>
      </c>
      <c r="BD395" s="653" t="str">
        <f t="shared" ref="BD395" si="3779">IF(AND($I$7=" ",OR(I395&lt;&gt;"",K395&lt;&gt;"",L395&lt;&gt;"")),"×","○")</f>
        <v>○</v>
      </c>
      <c r="BE395" s="653" t="str">
        <f t="shared" ref="BE395" si="3780">IF(AND($M$7=" ",OR(M395&lt;&gt;"",O395&lt;&gt;"",P395&lt;&gt;"",Q395&lt;&gt;"")),"×","○")</f>
        <v>○</v>
      </c>
      <c r="BF395" s="653" t="str">
        <f t="shared" ref="BF395" si="3781">IF(AND($R$7=" ",OR(R395&lt;&gt;"",T395&lt;&gt;"",U395&lt;&gt;"",V395&lt;&gt;"")),"×","○")</f>
        <v>○</v>
      </c>
      <c r="BG395" s="653" t="str">
        <f t="shared" ref="BG395" si="3782">IF(AND($W$7=" ",OR(W395&lt;&gt;"",Y395&lt;&gt;"",Z395&lt;&gt;"",AA395&lt;&gt;"")),"×","○")</f>
        <v>○</v>
      </c>
      <c r="BH395" s="653" t="str">
        <f t="shared" ref="BH395" si="3783">IF(AND($AB$7=" ",OR(AB395&lt;&gt;"",AD395&lt;&gt;"",AE395&lt;&gt;"",AF395&lt;&gt;"")),"×","○")</f>
        <v>○</v>
      </c>
      <c r="BI395" s="653" t="str">
        <f t="shared" ref="BI395" si="3784">IF(AND($AG$7=" ",OR(AG395&lt;&gt;"",AI395&lt;&gt;"",AJ395&lt;&gt;"")),"×","○")</f>
        <v>○</v>
      </c>
      <c r="BJ395" s="2225" t="e">
        <f t="shared" ref="BJ395" si="3785">SUMPRODUCT(1/COUNTIF(I395:AH395,"宿泊"))</f>
        <v>#DIV/0!</v>
      </c>
      <c r="BK395" s="2226" t="e">
        <f t="shared" ref="BK395" si="3786">SUMPRODUCT(1/COUNTIF(I395:AH395,"日帰り"))</f>
        <v>#DIV/0!</v>
      </c>
      <c r="BL395" s="1381">
        <f t="shared" ref="BL395" si="3787">COUNT(BJ395)-COUNT(BK395)</f>
        <v>0</v>
      </c>
      <c r="BM395" s="684"/>
    </row>
    <row r="396" spans="1:66" ht="14.1" customHeight="1" x14ac:dyDescent="0.15">
      <c r="A396" s="652"/>
      <c r="B396" s="2174"/>
      <c r="C396" s="2117"/>
      <c r="D396" s="2007"/>
      <c r="E396" s="2005"/>
      <c r="F396" s="2042"/>
      <c r="G396" s="2119"/>
      <c r="H396" s="2107"/>
      <c r="I396" s="2112"/>
      <c r="J396" s="2113"/>
      <c r="K396" s="2105"/>
      <c r="L396" s="2127"/>
      <c r="M396" s="2112"/>
      <c r="N396" s="2113"/>
      <c r="O396" s="2105"/>
      <c r="P396" s="2105"/>
      <c r="Q396" s="2107"/>
      <c r="R396" s="2112"/>
      <c r="S396" s="2113"/>
      <c r="T396" s="2105"/>
      <c r="U396" s="2105"/>
      <c r="V396" s="2107"/>
      <c r="W396" s="2112"/>
      <c r="X396" s="2113"/>
      <c r="Y396" s="2105"/>
      <c r="Z396" s="2105"/>
      <c r="AA396" s="2107"/>
      <c r="AB396" s="2112"/>
      <c r="AC396" s="2113"/>
      <c r="AD396" s="2105"/>
      <c r="AE396" s="2105"/>
      <c r="AF396" s="2107"/>
      <c r="AG396" s="2112"/>
      <c r="AH396" s="2113"/>
      <c r="AI396" s="2105"/>
      <c r="AJ396" s="2105"/>
      <c r="AK396" s="2148"/>
      <c r="AL396" s="2149"/>
      <c r="AM396" s="2149"/>
      <c r="AN396" s="2150"/>
      <c r="AO396" s="2011"/>
      <c r="AP396" s="2012"/>
      <c r="AQ396" s="2012"/>
      <c r="AR396" s="2013"/>
      <c r="AS396" s="651"/>
      <c r="AT396" s="652"/>
      <c r="AU396" s="1983"/>
      <c r="AV396" s="1983"/>
      <c r="AW396" s="1983"/>
      <c r="AX396" s="1983"/>
      <c r="AY396" s="1983"/>
      <c r="AZ396" s="1983"/>
      <c r="BA396" s="1983"/>
      <c r="BB396" s="654"/>
      <c r="BC396" s="654"/>
      <c r="BD396" s="652"/>
      <c r="BE396" s="652"/>
      <c r="BF396" s="652"/>
      <c r="BG396" s="652"/>
      <c r="BH396" s="652"/>
      <c r="BI396" s="652"/>
      <c r="BJ396" s="2225"/>
      <c r="BK396" s="2226"/>
      <c r="BL396" s="1381"/>
      <c r="BM396" s="684"/>
    </row>
    <row r="397" spans="1:66" ht="14.1" customHeight="1" x14ac:dyDescent="0.15">
      <c r="A397" s="652" t="str">
        <f t="shared" ref="A397" si="3788">IF(AND(D397="",D399&lt;&gt;""),"×","○")</f>
        <v>○</v>
      </c>
      <c r="B397" s="2174" t="str">
        <f t="shared" ref="B397" si="3789">IF(AND(AT397="○",BB397="○",BC397="○",A397="○"),"○","×")</f>
        <v>○</v>
      </c>
      <c r="C397" s="2116">
        <v>192</v>
      </c>
      <c r="D397" s="2006"/>
      <c r="E397" s="2004"/>
      <c r="F397" s="2041"/>
      <c r="G397" s="2118"/>
      <c r="H397" s="2106"/>
      <c r="I397" s="2141"/>
      <c r="J397" s="2142"/>
      <c r="K397" s="2104"/>
      <c r="L397" s="2140"/>
      <c r="M397" s="2110"/>
      <c r="N397" s="2111"/>
      <c r="O397" s="2104"/>
      <c r="P397" s="2104"/>
      <c r="Q397" s="2106"/>
      <c r="R397" s="2110"/>
      <c r="S397" s="2111"/>
      <c r="T397" s="2104"/>
      <c r="U397" s="2104"/>
      <c r="V397" s="2106"/>
      <c r="W397" s="2110"/>
      <c r="X397" s="2111"/>
      <c r="Y397" s="2104"/>
      <c r="Z397" s="2104"/>
      <c r="AA397" s="2106"/>
      <c r="AB397" s="2110"/>
      <c r="AC397" s="2111"/>
      <c r="AD397" s="2104"/>
      <c r="AE397" s="2104"/>
      <c r="AF397" s="2106"/>
      <c r="AG397" s="2110"/>
      <c r="AH397" s="2111"/>
      <c r="AI397" s="2104"/>
      <c r="AJ397" s="2104"/>
      <c r="AK397" s="2154"/>
      <c r="AL397" s="2155"/>
      <c r="AM397" s="2155"/>
      <c r="AN397" s="2156"/>
      <c r="AO397" s="2008"/>
      <c r="AP397" s="2009"/>
      <c r="AQ397" s="2009"/>
      <c r="AR397" s="2010"/>
      <c r="AS397" s="651"/>
      <c r="AT397" s="652" t="str">
        <f t="shared" ref="AT397" si="3790">IF(OR(AND(D397&lt;&gt;"",OR(AND(E397&lt;&gt;"",F397&lt;&gt;"",OR(G397&lt;&gt;"",H397&lt;&gt;"")),AND(E397="",F397="バス・カメラマン等"))),AND(D397="",E397="",F397="",OR(G397="",H397=""))),"○","×")</f>
        <v>○</v>
      </c>
      <c r="AU397" s="1983" t="str">
        <f t="shared" ref="AU397" si="3791">IF(AND(E397&lt;&gt;"",E397&lt;=2),"2歳児以下","")</f>
        <v/>
      </c>
      <c r="AV397" s="1983" t="str">
        <f t="shared" ref="AV397" si="3792">IF(OR(AND(3&lt;=E397,E397&lt;=6),COUNTIF(E397, "幼*"),COUNTIF(E397, "年少"),COUNTIF(E397, "年中"),COUNTIF(E397, "年長")),"3歳-学齢前","")</f>
        <v/>
      </c>
      <c r="AW397" s="1983" t="str">
        <f t="shared" ref="AW397" si="3793">IF(OR(AND(6&lt;=E397,E397&lt;=12),COUNTIF(E397, "小*")),"小学生","")</f>
        <v/>
      </c>
      <c r="AX397" s="1983" t="str">
        <f t="shared" ref="AX397" si="3794">IF(OR(AND(12&lt;=E397,E397&lt;=15),COUNTIF(E397, "中*")),"中学生","")</f>
        <v/>
      </c>
      <c r="AY397" s="1983" t="str">
        <f t="shared" ref="AY397" si="3795">IF(OR(AND(15&lt;=E397,E397&lt;=18),COUNTIF(E397, "高*")),"高校生(～18歳)","")</f>
        <v/>
      </c>
      <c r="AZ397" s="1983" t="str">
        <f t="shared" ref="AZ397" si="3796">IF(OR(19&lt;=E397,COUNTIF(E397, "大*"),COUNTIF(E397, "*院*"),COUNTIF(E397, "*専*")),"一般(19歳～)","")</f>
        <v/>
      </c>
      <c r="BA397" s="1983" t="s">
        <v>475</v>
      </c>
      <c r="BB397" s="652" t="str">
        <f t="shared" ref="BB397" si="3797">IF(OR(AND(D397="",I397="",M397="",R397="",W397="",AB397="",AG397=""),AND(D397&lt;&gt;"",OR(I397&lt;&gt;"",M397&lt;&gt;"",R397&lt;&gt;"",W397&lt;&gt;"",AB397&lt;&gt;"",AG397&lt;&gt;""))),"○","×")</f>
        <v>○</v>
      </c>
      <c r="BC397" s="652" t="str">
        <f t="shared" ref="BC397" si="3798">IF(AND(BD397="○",BE397="○",BF397="○",BG397="○",BH397="○",BI397="○"),"○","×")</f>
        <v>○</v>
      </c>
      <c r="BD397" s="653" t="str">
        <f t="shared" ref="BD397" si="3799">IF(AND($I$7=" ",OR(I397&lt;&gt;"",K397&lt;&gt;"",L397&lt;&gt;"")),"×","○")</f>
        <v>○</v>
      </c>
      <c r="BE397" s="653" t="str">
        <f t="shared" ref="BE397" si="3800">IF(AND($M$7=" ",OR(M397&lt;&gt;"",O397&lt;&gt;"",P397&lt;&gt;"",Q397&lt;&gt;"")),"×","○")</f>
        <v>○</v>
      </c>
      <c r="BF397" s="653" t="str">
        <f t="shared" ref="BF397" si="3801">IF(AND($R$7=" ",OR(R397&lt;&gt;"",T397&lt;&gt;"",U397&lt;&gt;"",V397&lt;&gt;"")),"×","○")</f>
        <v>○</v>
      </c>
      <c r="BG397" s="653" t="str">
        <f t="shared" ref="BG397" si="3802">IF(AND($W$7=" ",OR(W397&lt;&gt;"",Y397&lt;&gt;"",Z397&lt;&gt;"",AA397&lt;&gt;"")),"×","○")</f>
        <v>○</v>
      </c>
      <c r="BH397" s="653" t="str">
        <f t="shared" ref="BH397" si="3803">IF(AND($AB$7=" ",OR(AB397&lt;&gt;"",AD397&lt;&gt;"",AE397&lt;&gt;"",AF397&lt;&gt;"")),"×","○")</f>
        <v>○</v>
      </c>
      <c r="BI397" s="653" t="str">
        <f t="shared" ref="BI397" si="3804">IF(AND($AG$7=" ",OR(AG397&lt;&gt;"",AI397&lt;&gt;"",AJ397&lt;&gt;"")),"×","○")</f>
        <v>○</v>
      </c>
      <c r="BJ397" s="2225" t="e">
        <f t="shared" ref="BJ397" si="3805">SUMPRODUCT(1/COUNTIF(I397:AH397,"宿泊"))</f>
        <v>#DIV/0!</v>
      </c>
      <c r="BK397" s="2226" t="e">
        <f t="shared" ref="BK397" si="3806">SUMPRODUCT(1/COUNTIF(I397:AH397,"日帰り"))</f>
        <v>#DIV/0!</v>
      </c>
      <c r="BL397" s="1381">
        <f t="shared" ref="BL397" si="3807">COUNT(BJ397)-COUNT(BK397)</f>
        <v>0</v>
      </c>
      <c r="BM397" s="684"/>
    </row>
    <row r="398" spans="1:66" ht="14.1" customHeight="1" x14ac:dyDescent="0.15">
      <c r="A398" s="652"/>
      <c r="B398" s="2174"/>
      <c r="C398" s="2117"/>
      <c r="D398" s="2007"/>
      <c r="E398" s="2005"/>
      <c r="F398" s="2042"/>
      <c r="G398" s="2119"/>
      <c r="H398" s="2107"/>
      <c r="I398" s="2112"/>
      <c r="J398" s="2113"/>
      <c r="K398" s="2105"/>
      <c r="L398" s="2127"/>
      <c r="M398" s="2112"/>
      <c r="N398" s="2113"/>
      <c r="O398" s="2105"/>
      <c r="P398" s="2105"/>
      <c r="Q398" s="2107"/>
      <c r="R398" s="2112"/>
      <c r="S398" s="2113"/>
      <c r="T398" s="2105"/>
      <c r="U398" s="2105"/>
      <c r="V398" s="2107"/>
      <c r="W398" s="2112"/>
      <c r="X398" s="2113"/>
      <c r="Y398" s="2105"/>
      <c r="Z398" s="2105"/>
      <c r="AA398" s="2107"/>
      <c r="AB398" s="2112"/>
      <c r="AC398" s="2113"/>
      <c r="AD398" s="2105"/>
      <c r="AE398" s="2105"/>
      <c r="AF398" s="2107"/>
      <c r="AG398" s="2112"/>
      <c r="AH398" s="2113"/>
      <c r="AI398" s="2105"/>
      <c r="AJ398" s="2105"/>
      <c r="AK398" s="2151"/>
      <c r="AL398" s="2152"/>
      <c r="AM398" s="2152"/>
      <c r="AN398" s="2153"/>
      <c r="AO398" s="2011"/>
      <c r="AP398" s="2012"/>
      <c r="AQ398" s="2012"/>
      <c r="AR398" s="2013"/>
      <c r="AS398" s="651"/>
      <c r="AT398" s="652"/>
      <c r="AU398" s="1983"/>
      <c r="AV398" s="1983"/>
      <c r="AW398" s="1983"/>
      <c r="AX398" s="1983"/>
      <c r="AY398" s="1983"/>
      <c r="AZ398" s="1983"/>
      <c r="BA398" s="1983"/>
      <c r="BB398" s="654"/>
      <c r="BC398" s="654"/>
      <c r="BD398" s="652"/>
      <c r="BE398" s="652"/>
      <c r="BF398" s="652"/>
      <c r="BG398" s="652"/>
      <c r="BH398" s="652"/>
      <c r="BI398" s="652"/>
      <c r="BJ398" s="2225"/>
      <c r="BK398" s="2226"/>
      <c r="BL398" s="1381"/>
      <c r="BM398" s="684"/>
    </row>
    <row r="399" spans="1:66" ht="14.1" customHeight="1" x14ac:dyDescent="0.15">
      <c r="A399" s="652" t="str">
        <f t="shared" ref="A399" si="3808">IF(AND(D399="",D401&lt;&gt;""),"×","○")</f>
        <v>○</v>
      </c>
      <c r="B399" s="2174" t="str">
        <f t="shared" ref="B399" si="3809">IF(AND(AT399="○",BB399="○",BC399="○",A399="○"),"○","×")</f>
        <v>○</v>
      </c>
      <c r="C399" s="2116">
        <v>193</v>
      </c>
      <c r="D399" s="2006"/>
      <c r="E399" s="2004"/>
      <c r="F399" s="2041"/>
      <c r="G399" s="2118"/>
      <c r="H399" s="2106"/>
      <c r="I399" s="2141"/>
      <c r="J399" s="2142"/>
      <c r="K399" s="2104"/>
      <c r="L399" s="2140"/>
      <c r="M399" s="2110"/>
      <c r="N399" s="2111"/>
      <c r="O399" s="2104"/>
      <c r="P399" s="2104"/>
      <c r="Q399" s="2106"/>
      <c r="R399" s="2110"/>
      <c r="S399" s="2111"/>
      <c r="T399" s="2104"/>
      <c r="U399" s="2104"/>
      <c r="V399" s="2106"/>
      <c r="W399" s="2110"/>
      <c r="X399" s="2111"/>
      <c r="Y399" s="2104"/>
      <c r="Z399" s="2104"/>
      <c r="AA399" s="2106"/>
      <c r="AB399" s="2110"/>
      <c r="AC399" s="2111"/>
      <c r="AD399" s="2104"/>
      <c r="AE399" s="2104"/>
      <c r="AF399" s="2106"/>
      <c r="AG399" s="2110"/>
      <c r="AH399" s="2111"/>
      <c r="AI399" s="2104"/>
      <c r="AJ399" s="2104"/>
      <c r="AK399" s="2148"/>
      <c r="AL399" s="2149"/>
      <c r="AM399" s="2149"/>
      <c r="AN399" s="2150"/>
      <c r="AO399" s="2008"/>
      <c r="AP399" s="2009"/>
      <c r="AQ399" s="2009"/>
      <c r="AR399" s="2010"/>
      <c r="AS399" s="651"/>
      <c r="AT399" s="652" t="str">
        <f t="shared" ref="AT399" si="3810">IF(OR(AND(D399&lt;&gt;"",OR(AND(E399&lt;&gt;"",F399&lt;&gt;"",OR(G399&lt;&gt;"",H399&lt;&gt;"")),AND(E399="",F399="バス・カメラマン等"))),AND(D399="",E399="",F399="",OR(G399="",H399=""))),"○","×")</f>
        <v>○</v>
      </c>
      <c r="AU399" s="1983" t="str">
        <f t="shared" ref="AU399" si="3811">IF(AND(E399&lt;&gt;"",E399&lt;=2),"2歳児以下","")</f>
        <v/>
      </c>
      <c r="AV399" s="1983" t="str">
        <f t="shared" ref="AV399" si="3812">IF(OR(AND(3&lt;=E399,E399&lt;=6),COUNTIF(E399, "幼*"),COUNTIF(E399, "年少"),COUNTIF(E399, "年中"),COUNTIF(E399, "年長")),"3歳-学齢前","")</f>
        <v/>
      </c>
      <c r="AW399" s="1983" t="str">
        <f t="shared" ref="AW399" si="3813">IF(OR(AND(6&lt;=E399,E399&lt;=12),COUNTIF(E399, "小*")),"小学生","")</f>
        <v/>
      </c>
      <c r="AX399" s="1983" t="str">
        <f t="shared" ref="AX399" si="3814">IF(OR(AND(12&lt;=E399,E399&lt;=15),COUNTIF(E399, "中*")),"中学生","")</f>
        <v/>
      </c>
      <c r="AY399" s="1983" t="str">
        <f t="shared" ref="AY399" si="3815">IF(OR(AND(15&lt;=E399,E399&lt;=18),COUNTIF(E399, "高*")),"高校生(～18歳)","")</f>
        <v/>
      </c>
      <c r="AZ399" s="1983" t="str">
        <f t="shared" ref="AZ399" si="3816">IF(OR(19&lt;=E399,COUNTIF(E399, "大*"),COUNTIF(E399, "*院*"),COUNTIF(E399, "*専*")),"一般(19歳～)","")</f>
        <v/>
      </c>
      <c r="BA399" s="1983" t="s">
        <v>475</v>
      </c>
      <c r="BB399" s="652" t="str">
        <f t="shared" ref="BB399" si="3817">IF(OR(AND(D399="",I399="",M399="",R399="",W399="",AB399="",AG399=""),AND(D399&lt;&gt;"",OR(I399&lt;&gt;"",M399&lt;&gt;"",R399&lt;&gt;"",W399&lt;&gt;"",AB399&lt;&gt;"",AG399&lt;&gt;""))),"○","×")</f>
        <v>○</v>
      </c>
      <c r="BC399" s="652" t="str">
        <f t="shared" ref="BC399" si="3818">IF(AND(BD399="○",BE399="○",BF399="○",BG399="○",BH399="○",BI399="○"),"○","×")</f>
        <v>○</v>
      </c>
      <c r="BD399" s="653" t="str">
        <f t="shared" ref="BD399" si="3819">IF(AND($I$7=" ",OR(I399&lt;&gt;"",K399&lt;&gt;"",L399&lt;&gt;"")),"×","○")</f>
        <v>○</v>
      </c>
      <c r="BE399" s="653" t="str">
        <f t="shared" ref="BE399" si="3820">IF(AND($M$7=" ",OR(M399&lt;&gt;"",O399&lt;&gt;"",P399&lt;&gt;"",Q399&lt;&gt;"")),"×","○")</f>
        <v>○</v>
      </c>
      <c r="BF399" s="653" t="str">
        <f t="shared" ref="BF399" si="3821">IF(AND($R$7=" ",OR(R399&lt;&gt;"",T399&lt;&gt;"",U399&lt;&gt;"",V399&lt;&gt;"")),"×","○")</f>
        <v>○</v>
      </c>
      <c r="BG399" s="653" t="str">
        <f t="shared" ref="BG399" si="3822">IF(AND($W$7=" ",OR(W399&lt;&gt;"",Y399&lt;&gt;"",Z399&lt;&gt;"",AA399&lt;&gt;"")),"×","○")</f>
        <v>○</v>
      </c>
      <c r="BH399" s="653" t="str">
        <f t="shared" ref="BH399" si="3823">IF(AND($AB$7=" ",OR(AB399&lt;&gt;"",AD399&lt;&gt;"",AE399&lt;&gt;"",AF399&lt;&gt;"")),"×","○")</f>
        <v>○</v>
      </c>
      <c r="BI399" s="653" t="str">
        <f t="shared" ref="BI399" si="3824">IF(AND($AG$7=" ",OR(AG399&lt;&gt;"",AI399&lt;&gt;"",AJ399&lt;&gt;"")),"×","○")</f>
        <v>○</v>
      </c>
      <c r="BJ399" s="2225" t="e">
        <f t="shared" ref="BJ399" si="3825">SUMPRODUCT(1/COUNTIF(I399:AH399,"宿泊"))</f>
        <v>#DIV/0!</v>
      </c>
      <c r="BK399" s="2226" t="e">
        <f t="shared" ref="BK399" si="3826">SUMPRODUCT(1/COUNTIF(I399:AH399,"日帰り"))</f>
        <v>#DIV/0!</v>
      </c>
      <c r="BL399" s="1381">
        <f t="shared" ref="BL399" si="3827">COUNT(BJ399)-COUNT(BK399)</f>
        <v>0</v>
      </c>
      <c r="BM399" s="684"/>
    </row>
    <row r="400" spans="1:66" ht="14.1" customHeight="1" x14ac:dyDescent="0.15">
      <c r="A400" s="652"/>
      <c r="B400" s="2174"/>
      <c r="C400" s="2117"/>
      <c r="D400" s="2007"/>
      <c r="E400" s="2005"/>
      <c r="F400" s="2042"/>
      <c r="G400" s="2119"/>
      <c r="H400" s="2107"/>
      <c r="I400" s="2112"/>
      <c r="J400" s="2113"/>
      <c r="K400" s="2105"/>
      <c r="L400" s="2127"/>
      <c r="M400" s="2112"/>
      <c r="N400" s="2113"/>
      <c r="O400" s="2105"/>
      <c r="P400" s="2105"/>
      <c r="Q400" s="2107"/>
      <c r="R400" s="2112"/>
      <c r="S400" s="2113"/>
      <c r="T400" s="2105"/>
      <c r="U400" s="2105"/>
      <c r="V400" s="2107"/>
      <c r="W400" s="2112"/>
      <c r="X400" s="2113"/>
      <c r="Y400" s="2105"/>
      <c r="Z400" s="2105"/>
      <c r="AA400" s="2107"/>
      <c r="AB400" s="2112"/>
      <c r="AC400" s="2113"/>
      <c r="AD400" s="2105"/>
      <c r="AE400" s="2105"/>
      <c r="AF400" s="2107"/>
      <c r="AG400" s="2112"/>
      <c r="AH400" s="2113"/>
      <c r="AI400" s="2105"/>
      <c r="AJ400" s="2105"/>
      <c r="AK400" s="2151"/>
      <c r="AL400" s="2152"/>
      <c r="AM400" s="2152"/>
      <c r="AN400" s="2153"/>
      <c r="AO400" s="2011"/>
      <c r="AP400" s="2012"/>
      <c r="AQ400" s="2012"/>
      <c r="AR400" s="2013"/>
      <c r="AS400" s="651"/>
      <c r="AT400" s="652"/>
      <c r="AU400" s="1983"/>
      <c r="AV400" s="1983"/>
      <c r="AW400" s="1983"/>
      <c r="AX400" s="1983"/>
      <c r="AY400" s="1983"/>
      <c r="AZ400" s="1983"/>
      <c r="BA400" s="1983"/>
      <c r="BB400" s="654"/>
      <c r="BC400" s="654"/>
      <c r="BD400" s="652"/>
      <c r="BE400" s="652"/>
      <c r="BF400" s="652"/>
      <c r="BG400" s="652"/>
      <c r="BH400" s="652"/>
      <c r="BI400" s="652"/>
      <c r="BJ400" s="2225"/>
      <c r="BK400" s="2226"/>
      <c r="BL400" s="1381"/>
      <c r="BM400" s="684"/>
    </row>
    <row r="401" spans="1:65" ht="14.1" customHeight="1" x14ac:dyDescent="0.15">
      <c r="A401" s="652" t="str">
        <f t="shared" ref="A401" si="3828">IF(AND(D401="",D403&lt;&gt;""),"×","○")</f>
        <v>○</v>
      </c>
      <c r="B401" s="2174" t="str">
        <f t="shared" ref="B401" si="3829">IF(AND(AT401="○",BB401="○",BC401="○",A401="○"),"○","×")</f>
        <v>○</v>
      </c>
      <c r="C401" s="2116">
        <v>194</v>
      </c>
      <c r="D401" s="2006"/>
      <c r="E401" s="2004"/>
      <c r="F401" s="2041"/>
      <c r="G401" s="2118"/>
      <c r="H401" s="2106"/>
      <c r="I401" s="2141"/>
      <c r="J401" s="2142"/>
      <c r="K401" s="2104"/>
      <c r="L401" s="2140"/>
      <c r="M401" s="2110"/>
      <c r="N401" s="2111"/>
      <c r="O401" s="2104"/>
      <c r="P401" s="2104"/>
      <c r="Q401" s="2106"/>
      <c r="R401" s="2110"/>
      <c r="S401" s="2111"/>
      <c r="T401" s="2104"/>
      <c r="U401" s="2104"/>
      <c r="V401" s="2106"/>
      <c r="W401" s="2110"/>
      <c r="X401" s="2111"/>
      <c r="Y401" s="2104"/>
      <c r="Z401" s="2104"/>
      <c r="AA401" s="2106"/>
      <c r="AB401" s="2110"/>
      <c r="AC401" s="2111"/>
      <c r="AD401" s="2104"/>
      <c r="AE401" s="2104"/>
      <c r="AF401" s="2106"/>
      <c r="AG401" s="2110"/>
      <c r="AH401" s="2111"/>
      <c r="AI401" s="2104"/>
      <c r="AJ401" s="2104"/>
      <c r="AK401" s="2148"/>
      <c r="AL401" s="2149"/>
      <c r="AM401" s="2149"/>
      <c r="AN401" s="2150"/>
      <c r="AO401" s="2008"/>
      <c r="AP401" s="2009"/>
      <c r="AQ401" s="2009"/>
      <c r="AR401" s="2010"/>
      <c r="AS401" s="651"/>
      <c r="AT401" s="652" t="str">
        <f t="shared" ref="AT401" si="3830">IF(OR(AND(D401&lt;&gt;"",OR(AND(E401&lt;&gt;"",F401&lt;&gt;"",OR(G401&lt;&gt;"",H401&lt;&gt;"")),AND(E401="",F401="バス・カメラマン等"))),AND(D401="",E401="",F401="",OR(G401="",H401=""))),"○","×")</f>
        <v>○</v>
      </c>
      <c r="AU401" s="1983" t="str">
        <f t="shared" ref="AU401" si="3831">IF(AND(E401&lt;&gt;"",E401&lt;=2),"2歳児以下","")</f>
        <v/>
      </c>
      <c r="AV401" s="1983" t="str">
        <f t="shared" ref="AV401" si="3832">IF(OR(AND(3&lt;=E401,E401&lt;=6),COUNTIF(E401, "幼*"),COUNTIF(E401, "年少"),COUNTIF(E401, "年中"),COUNTIF(E401, "年長")),"3歳-学齢前","")</f>
        <v/>
      </c>
      <c r="AW401" s="1983" t="str">
        <f t="shared" ref="AW401" si="3833">IF(OR(AND(6&lt;=E401,E401&lt;=12),COUNTIF(E401, "小*")),"小学生","")</f>
        <v/>
      </c>
      <c r="AX401" s="1983" t="str">
        <f t="shared" ref="AX401" si="3834">IF(OR(AND(12&lt;=E401,E401&lt;=15),COUNTIF(E401, "中*")),"中学生","")</f>
        <v/>
      </c>
      <c r="AY401" s="1983" t="str">
        <f t="shared" ref="AY401" si="3835">IF(OR(AND(15&lt;=E401,E401&lt;=18),COUNTIF(E401, "高*")),"高校生(～18歳)","")</f>
        <v/>
      </c>
      <c r="AZ401" s="1983" t="str">
        <f t="shared" ref="AZ401" si="3836">IF(OR(19&lt;=E401,COUNTIF(E401, "大*"),COUNTIF(E401, "*院*"),COUNTIF(E401, "*専*")),"一般(19歳～)","")</f>
        <v/>
      </c>
      <c r="BA401" s="1983" t="s">
        <v>475</v>
      </c>
      <c r="BB401" s="652" t="str">
        <f t="shared" ref="BB401" si="3837">IF(OR(AND(D401="",I401="",M401="",R401="",W401="",AB401="",AG401=""),AND(D401&lt;&gt;"",OR(I401&lt;&gt;"",M401&lt;&gt;"",R401&lt;&gt;"",W401&lt;&gt;"",AB401&lt;&gt;"",AG401&lt;&gt;""))),"○","×")</f>
        <v>○</v>
      </c>
      <c r="BC401" s="652" t="str">
        <f t="shared" ref="BC401" si="3838">IF(AND(BD401="○",BE401="○",BF401="○",BG401="○",BH401="○",BI401="○"),"○","×")</f>
        <v>○</v>
      </c>
      <c r="BD401" s="653" t="str">
        <f t="shared" ref="BD401" si="3839">IF(AND($I$7=" ",OR(I401&lt;&gt;"",K401&lt;&gt;"",L401&lt;&gt;"")),"×","○")</f>
        <v>○</v>
      </c>
      <c r="BE401" s="653" t="str">
        <f t="shared" ref="BE401" si="3840">IF(AND($M$7=" ",OR(M401&lt;&gt;"",O401&lt;&gt;"",P401&lt;&gt;"",Q401&lt;&gt;"")),"×","○")</f>
        <v>○</v>
      </c>
      <c r="BF401" s="653" t="str">
        <f t="shared" ref="BF401" si="3841">IF(AND($R$7=" ",OR(R401&lt;&gt;"",T401&lt;&gt;"",U401&lt;&gt;"",V401&lt;&gt;"")),"×","○")</f>
        <v>○</v>
      </c>
      <c r="BG401" s="653" t="str">
        <f t="shared" ref="BG401" si="3842">IF(AND($W$7=" ",OR(W401&lt;&gt;"",Y401&lt;&gt;"",Z401&lt;&gt;"",AA401&lt;&gt;"")),"×","○")</f>
        <v>○</v>
      </c>
      <c r="BH401" s="653" t="str">
        <f t="shared" ref="BH401" si="3843">IF(AND($AB$7=" ",OR(AB401&lt;&gt;"",AD401&lt;&gt;"",AE401&lt;&gt;"",AF401&lt;&gt;"")),"×","○")</f>
        <v>○</v>
      </c>
      <c r="BI401" s="653" t="str">
        <f t="shared" ref="BI401" si="3844">IF(AND($AG$7=" ",OR(AG401&lt;&gt;"",AI401&lt;&gt;"",AJ401&lt;&gt;"")),"×","○")</f>
        <v>○</v>
      </c>
      <c r="BJ401" s="2225" t="e">
        <f t="shared" ref="BJ401" si="3845">SUMPRODUCT(1/COUNTIF(I401:AH401,"宿泊"))</f>
        <v>#DIV/0!</v>
      </c>
      <c r="BK401" s="2226" t="e">
        <f t="shared" ref="BK401" si="3846">SUMPRODUCT(1/COUNTIF(I401:AH401,"日帰り"))</f>
        <v>#DIV/0!</v>
      </c>
      <c r="BL401" s="1381">
        <f t="shared" ref="BL401" si="3847">COUNT(BJ401)-COUNT(BK401)</f>
        <v>0</v>
      </c>
      <c r="BM401" s="684"/>
    </row>
    <row r="402" spans="1:65" ht="14.1" customHeight="1" x14ac:dyDescent="0.15">
      <c r="A402" s="652"/>
      <c r="B402" s="2174"/>
      <c r="C402" s="2117"/>
      <c r="D402" s="2007"/>
      <c r="E402" s="2005"/>
      <c r="F402" s="2042"/>
      <c r="G402" s="2119"/>
      <c r="H402" s="2107"/>
      <c r="I402" s="2112"/>
      <c r="J402" s="2113"/>
      <c r="K402" s="2105"/>
      <c r="L402" s="2127"/>
      <c r="M402" s="2112"/>
      <c r="N402" s="2113"/>
      <c r="O402" s="2105"/>
      <c r="P402" s="2105"/>
      <c r="Q402" s="2107"/>
      <c r="R402" s="2112"/>
      <c r="S402" s="2113"/>
      <c r="T402" s="2105"/>
      <c r="U402" s="2105"/>
      <c r="V402" s="2107"/>
      <c r="W402" s="2112"/>
      <c r="X402" s="2113"/>
      <c r="Y402" s="2105"/>
      <c r="Z402" s="2105"/>
      <c r="AA402" s="2107"/>
      <c r="AB402" s="2112"/>
      <c r="AC402" s="2113"/>
      <c r="AD402" s="2105"/>
      <c r="AE402" s="2105"/>
      <c r="AF402" s="2107"/>
      <c r="AG402" s="2112"/>
      <c r="AH402" s="2113"/>
      <c r="AI402" s="2105"/>
      <c r="AJ402" s="2105"/>
      <c r="AK402" s="2151"/>
      <c r="AL402" s="2152"/>
      <c r="AM402" s="2152"/>
      <c r="AN402" s="2153"/>
      <c r="AO402" s="2011"/>
      <c r="AP402" s="2012"/>
      <c r="AQ402" s="2012"/>
      <c r="AR402" s="2013"/>
      <c r="AS402" s="651"/>
      <c r="AT402" s="652"/>
      <c r="AU402" s="1983"/>
      <c r="AV402" s="1983"/>
      <c r="AW402" s="1983"/>
      <c r="AX402" s="1983"/>
      <c r="AY402" s="1983"/>
      <c r="AZ402" s="1983"/>
      <c r="BA402" s="1983"/>
      <c r="BB402" s="654"/>
      <c r="BC402" s="654"/>
      <c r="BD402" s="652"/>
      <c r="BE402" s="652"/>
      <c r="BF402" s="652"/>
      <c r="BG402" s="652"/>
      <c r="BH402" s="652"/>
      <c r="BI402" s="652"/>
      <c r="BJ402" s="2225"/>
      <c r="BK402" s="2226"/>
      <c r="BL402" s="1381"/>
      <c r="BM402" s="684"/>
    </row>
    <row r="403" spans="1:65" ht="14.1" customHeight="1" x14ac:dyDescent="0.15">
      <c r="A403" s="652"/>
      <c r="B403" s="2174" t="str">
        <f>IF(AND(AT403="○",BB403="○",BC403="○"),"○","×")</f>
        <v>○</v>
      </c>
      <c r="C403" s="2116">
        <v>195</v>
      </c>
      <c r="D403" s="2006"/>
      <c r="E403" s="2004"/>
      <c r="F403" s="2169"/>
      <c r="G403" s="2118"/>
      <c r="H403" s="2106"/>
      <c r="I403" s="2141"/>
      <c r="J403" s="2142"/>
      <c r="K403" s="2104"/>
      <c r="L403" s="2140"/>
      <c r="M403" s="2141"/>
      <c r="N403" s="2142"/>
      <c r="O403" s="2104"/>
      <c r="P403" s="2104"/>
      <c r="Q403" s="2106"/>
      <c r="R403" s="2141"/>
      <c r="S403" s="2142"/>
      <c r="T403" s="2104"/>
      <c r="U403" s="2104"/>
      <c r="V403" s="2106"/>
      <c r="W403" s="2141"/>
      <c r="X403" s="2142"/>
      <c r="Y403" s="2104"/>
      <c r="Z403" s="2104"/>
      <c r="AA403" s="2106"/>
      <c r="AB403" s="2141"/>
      <c r="AC403" s="2142"/>
      <c r="AD403" s="2104"/>
      <c r="AE403" s="2104"/>
      <c r="AF403" s="2106"/>
      <c r="AG403" s="2141"/>
      <c r="AH403" s="2142"/>
      <c r="AI403" s="2104"/>
      <c r="AJ403" s="2104"/>
      <c r="AK403" s="2148"/>
      <c r="AL403" s="2149"/>
      <c r="AM403" s="2149"/>
      <c r="AN403" s="2150"/>
      <c r="AO403" s="2008"/>
      <c r="AP403" s="2009"/>
      <c r="AQ403" s="2009"/>
      <c r="AR403" s="2010"/>
      <c r="AS403" s="651"/>
      <c r="AT403" s="652" t="str">
        <f>IF(OR(AND(D403&lt;&gt;"",OR(AND(E403&lt;&gt;"",F403&lt;&gt;"",OR(G403&lt;&gt;"",H403&lt;&gt;"")),AND(E403="",F403="バス・カメラマン等"))),AND(D403="",E403="",F403="",OR(G403="",H403=""))),"○","×")</f>
        <v>○</v>
      </c>
      <c r="AU403" s="1983" t="str">
        <f t="shared" ref="AU403" si="3848">IF(AND(E403&lt;&gt;"",E403&lt;=2),"2歳児以下","")</f>
        <v/>
      </c>
      <c r="AV403" s="1983" t="str">
        <f t="shared" ref="AV403" si="3849">IF(OR(AND(3&lt;=E403,E403&lt;=6),COUNTIF(E403, "幼*"),COUNTIF(E403, "年少"),COUNTIF(E403, "年中"),COUNTIF(E403, "年長")),"3歳-学齢前","")</f>
        <v/>
      </c>
      <c r="AW403" s="1983" t="str">
        <f t="shared" ref="AW403" si="3850">IF(OR(AND(6&lt;=E403,E403&lt;=12),COUNTIF(E403, "小*")),"小学生","")</f>
        <v/>
      </c>
      <c r="AX403" s="1983" t="str">
        <f t="shared" ref="AX403" si="3851">IF(OR(AND(12&lt;=E403,E403&lt;=15),COUNTIF(E403, "中*")),"中学生","")</f>
        <v/>
      </c>
      <c r="AY403" s="1983" t="str">
        <f t="shared" ref="AY403" si="3852">IF(OR(AND(15&lt;=E403,E403&lt;=18),COUNTIF(E403, "高*")),"高校生(～18歳)","")</f>
        <v/>
      </c>
      <c r="AZ403" s="1983" t="str">
        <f>IF(OR(19&lt;=E403,COUNTIF(E403, "大*"),COUNTIF(E403, "*院*"),COUNTIF(E403, "*専*")),"一般(19歳～)","")</f>
        <v/>
      </c>
      <c r="BA403" s="1983" t="s">
        <v>475</v>
      </c>
      <c r="BB403" s="652" t="str">
        <f>IF(OR(AND(D403="",I403="",M403="",R403="",W403="",AB403="",AG403=""),AND(D403&lt;&gt;"",OR(I403&lt;&gt;"",M403&lt;&gt;"",R403&lt;&gt;"",W403&lt;&gt;"",AB403&lt;&gt;"",AG403&lt;&gt;""))),"○","×")</f>
        <v>○</v>
      </c>
      <c r="BC403" s="652" t="str">
        <f>IF(AND(BD403="○",BE403="○",BF403="○",BG403="○",BH403="○",BI403="○"),"○","×")</f>
        <v>○</v>
      </c>
      <c r="BD403" s="653" t="str">
        <f t="shared" ref="BD403" si="3853">IF(AND($I$7=" ",OR(I403&lt;&gt;"",K403&lt;&gt;"",L403&lt;&gt;"")),"×","○")</f>
        <v>○</v>
      </c>
      <c r="BE403" s="653" t="str">
        <f t="shared" ref="BE403" si="3854">IF(AND($M$7=" ",OR(M403&lt;&gt;"",O403&lt;&gt;"",P403&lt;&gt;"",Q403&lt;&gt;"")),"×","○")</f>
        <v>○</v>
      </c>
      <c r="BF403" s="653" t="str">
        <f t="shared" ref="BF403" si="3855">IF(AND($R$7=" ",OR(R403&lt;&gt;"",T403&lt;&gt;"",U403&lt;&gt;"",V403&lt;&gt;"")),"×","○")</f>
        <v>○</v>
      </c>
      <c r="BG403" s="653" t="str">
        <f t="shared" ref="BG403" si="3856">IF(AND($W$7=" ",OR(W403&lt;&gt;"",Y403&lt;&gt;"",Z403&lt;&gt;"",AA403&lt;&gt;"")),"×","○")</f>
        <v>○</v>
      </c>
      <c r="BH403" s="653" t="str">
        <f t="shared" ref="BH403" si="3857">IF(AND($AB$7=" ",OR(AB403&lt;&gt;"",AD403&lt;&gt;"",AE403&lt;&gt;"",AF403&lt;&gt;"")),"×","○")</f>
        <v>○</v>
      </c>
      <c r="BI403" s="653" t="str">
        <f>IF(AND($AG$7=" ",OR(AG403&lt;&gt;"",AI403&lt;&gt;"",AJ403&lt;&gt;"")),"×","○")</f>
        <v>○</v>
      </c>
      <c r="BJ403" s="2225" t="e">
        <f t="shared" ref="BJ403" si="3858">SUMPRODUCT(1/COUNTIF(I403:AH403,"宿泊"))</f>
        <v>#DIV/0!</v>
      </c>
      <c r="BK403" s="2226" t="e">
        <f t="shared" ref="BK403" si="3859">SUMPRODUCT(1/COUNTIF(I403:AH403,"日帰り"))</f>
        <v>#DIV/0!</v>
      </c>
      <c r="BL403" s="1381">
        <f t="shared" ref="BL403" si="3860">COUNT(BJ403)-COUNT(BK403)</f>
        <v>0</v>
      </c>
      <c r="BM403" s="684"/>
    </row>
    <row r="404" spans="1:65" ht="14.1" customHeight="1" thickBot="1" x14ac:dyDescent="0.2">
      <c r="A404" s="652"/>
      <c r="B404" s="2175"/>
      <c r="C404" s="2164"/>
      <c r="D404" s="2165"/>
      <c r="E404" s="2166"/>
      <c r="F404" s="2170"/>
      <c r="G404" s="2167"/>
      <c r="H404" s="2158"/>
      <c r="I404" s="2159"/>
      <c r="J404" s="2160"/>
      <c r="K404" s="2157"/>
      <c r="L404" s="2168"/>
      <c r="M404" s="2159"/>
      <c r="N404" s="2160"/>
      <c r="O404" s="2157"/>
      <c r="P404" s="2157"/>
      <c r="Q404" s="2158"/>
      <c r="R404" s="2159"/>
      <c r="S404" s="2160"/>
      <c r="T404" s="2157"/>
      <c r="U404" s="2157"/>
      <c r="V404" s="2158"/>
      <c r="W404" s="2159"/>
      <c r="X404" s="2160"/>
      <c r="Y404" s="2157"/>
      <c r="Z404" s="2157"/>
      <c r="AA404" s="2158"/>
      <c r="AB404" s="2159"/>
      <c r="AC404" s="2160"/>
      <c r="AD404" s="2157"/>
      <c r="AE404" s="2157"/>
      <c r="AF404" s="2158"/>
      <c r="AG404" s="2159"/>
      <c r="AH404" s="2160"/>
      <c r="AI404" s="2157"/>
      <c r="AJ404" s="2157"/>
      <c r="AK404" s="2161"/>
      <c r="AL404" s="2162"/>
      <c r="AM404" s="2162"/>
      <c r="AN404" s="2163"/>
      <c r="AO404" s="2171"/>
      <c r="AP404" s="2172"/>
      <c r="AQ404" s="2172"/>
      <c r="AR404" s="2173"/>
      <c r="AS404" s="651"/>
      <c r="AT404" s="652"/>
      <c r="AU404" s="1983"/>
      <c r="AV404" s="1983"/>
      <c r="AW404" s="1983"/>
      <c r="AX404" s="1983"/>
      <c r="AY404" s="1983"/>
      <c r="AZ404" s="1983"/>
      <c r="BA404" s="1983"/>
      <c r="BB404" s="654"/>
      <c r="BC404" s="654"/>
      <c r="BD404" s="652"/>
      <c r="BE404" s="652"/>
      <c r="BF404" s="652"/>
      <c r="BG404" s="652"/>
      <c r="BH404" s="652"/>
      <c r="BI404" s="652"/>
      <c r="BJ404" s="2225"/>
      <c r="BK404" s="2226"/>
      <c r="BL404" s="1381"/>
      <c r="BM404" s="684"/>
    </row>
    <row r="405" spans="1:65" x14ac:dyDescent="0.15">
      <c r="B405" s="1097">
        <f>COUNTIF(B15:B404,"×")</f>
        <v>2</v>
      </c>
      <c r="C405" s="1097"/>
      <c r="D405" s="1097"/>
      <c r="E405" s="1097"/>
      <c r="F405" s="1097">
        <f>COUNTIF(F15:F404,"一般(19歳～)")</f>
        <v>0</v>
      </c>
      <c r="G405" s="1097"/>
      <c r="H405" s="1097"/>
      <c r="I405" s="1097"/>
      <c r="J405" s="1097"/>
      <c r="K405" s="1098" t="str">
        <f>IF(入力ページ!AA22="","",IF(入力ページ!L63&lt;&gt;"昼","","1昼"))</f>
        <v/>
      </c>
      <c r="L405" s="1098" t="str">
        <f>IF(入力ページ!AA22="","",IF(入力ページ!F21=0,"","1夕"))</f>
        <v/>
      </c>
      <c r="M405" s="1097"/>
      <c r="N405" s="1097"/>
      <c r="O405" s="1098" t="str">
        <f>IF(入力ページ!AA22="","",IF(入力ページ!H21&lt;=1,"","2朝"))</f>
        <v/>
      </c>
      <c r="P405" s="1098" t="str">
        <f>IF(入力ページ!AA22="","",IF(OR(入力ページ!AA27&lt;&gt;"",AND(入力ページ!O20=入力ページ!K20+1,入力ページ!R20="昼")),"2昼",""))</f>
        <v/>
      </c>
      <c r="Q405" s="1098" t="str">
        <f>IF(入力ページ!AA22="","",IF(OR(入力ページ!F21&lt;=1,入力ページ!M65=""),"","2夕"))</f>
        <v/>
      </c>
      <c r="R405" s="1097"/>
      <c r="S405" s="1097"/>
      <c r="T405" s="1098" t="str">
        <f>IF(入力ページ!AA22="","",IF(入力ページ!H21&lt;=2,"","3朝"))</f>
        <v/>
      </c>
      <c r="U405" s="1098" t="str">
        <f>IF(入力ページ!AA22="","",IF(OR(入力ページ!AB27&lt;&gt;"",AND(入力ページ!O20=入力ページ!K20+2,入力ページ!R20="昼")),"3昼",""))</f>
        <v/>
      </c>
      <c r="V405" s="1098" t="str">
        <f>IF(入力ページ!AA22="","",IF(OR(入力ページ!F21&lt;=2,入力ページ!Q65=""),"","3夕"))</f>
        <v/>
      </c>
      <c r="W405" s="1097"/>
      <c r="X405" s="1097"/>
      <c r="Y405" s="1098" t="str">
        <f>IF(入力ページ!AA22="","",IF(入力ページ!H21&lt;=3,"","4朝"))</f>
        <v/>
      </c>
      <c r="Z405" s="1098" t="str">
        <f>IF(入力ページ!AA22="","",IF(OR(入力ページ!AC27&lt;&gt;"",AND(入力ページ!O20=入力ページ!K20+3,入力ページ!R20="昼")),"4昼",""))</f>
        <v/>
      </c>
      <c r="AA405" s="1098" t="str">
        <f>IF(入力ページ!AA22="","",IF(OR(入力ページ!F21&lt;=3,入力ページ!U65=""),"","4夕"))</f>
        <v/>
      </c>
      <c r="AB405" s="1097"/>
      <c r="AC405" s="1097"/>
      <c r="AD405" s="1098" t="str">
        <f>IF(入力ページ!AA22="","",IF(入力ページ!H21&lt;=4,"","5朝"))</f>
        <v/>
      </c>
      <c r="AE405" s="1098" t="str">
        <f>IF(入力ページ!AA22="","",IF(OR(入力ページ!AD27&lt;&gt;"",AND(入力ページ!O20=入力ページ!K20+4,入力ページ!R20="昼")),"5昼",""))</f>
        <v/>
      </c>
      <c r="AF405" s="1098" t="str">
        <f>IF(入力ページ!AA22="","",IF(OR(入力ページ!F21&lt;=4,入力ページ!U65=""),"","5夕"))</f>
        <v/>
      </c>
      <c r="AG405" s="1097"/>
      <c r="AH405" s="1097"/>
      <c r="AI405" s="1098" t="str">
        <f>IF(入力ページ!AA22="","",IF(入力ページ!H21&lt;=5,"","6朝"))</f>
        <v/>
      </c>
      <c r="AJ405" s="1098" t="str">
        <f>IF(入力ページ!AA22="","",IF(OR(入力ページ!H21&lt;=5,入力ページ!R20&lt;&gt;"昼",入力ページ!AC65=""),"","6昼"))</f>
        <v/>
      </c>
      <c r="AK405" s="1097"/>
      <c r="AL405" s="1097"/>
      <c r="AM405" s="652"/>
      <c r="AN405" s="652"/>
      <c r="AO405" s="652"/>
      <c r="AP405" s="652"/>
      <c r="AQ405" s="652"/>
      <c r="AR405" s="652"/>
      <c r="BK405" s="113"/>
      <c r="BL405" s="113"/>
    </row>
    <row r="406" spans="1:65" x14ac:dyDescent="0.15">
      <c r="B406" s="1097"/>
      <c r="C406" s="1097"/>
      <c r="D406" s="1097"/>
      <c r="E406" s="1097"/>
      <c r="F406" s="1097"/>
      <c r="G406" s="1097"/>
      <c r="H406" s="1097"/>
      <c r="I406" s="1097"/>
      <c r="J406" s="1097"/>
      <c r="K406" s="652" t="str">
        <f>IF(OR(K10=0,AND(COUNTA(K15:K404)=0,K10="")),"○","×")</f>
        <v>○</v>
      </c>
      <c r="L406" s="652" t="str">
        <f>IF(OR(L10=0,AND(COUNTA(L15:L404)=0,L10="")),"○","×")</f>
        <v>○</v>
      </c>
      <c r="M406" s="1097"/>
      <c r="N406" s="1097"/>
      <c r="O406" s="652" t="str">
        <f>IF(OR(O10=0,AND(COUNTA(O15:O404)=0,O10="")),"○","×")</f>
        <v>○</v>
      </c>
      <c r="P406" s="652" t="str">
        <f>IF(OR(P10=0,AND(COUNTA(P15:P404)=0,P10="")),"○","×")</f>
        <v>○</v>
      </c>
      <c r="Q406" s="652" t="str">
        <f>IF(OR(Q10=0,AND(COUNTA(Q15:Q404)=0,Q10="")),"○","×")</f>
        <v>○</v>
      </c>
      <c r="R406" s="1097"/>
      <c r="S406" s="1097"/>
      <c r="T406" s="652" t="str">
        <f>IF(OR(T10=0,AND(COUNTA(T15:T404)=0,T10="")),"○","×")</f>
        <v>○</v>
      </c>
      <c r="U406" s="652" t="str">
        <f>IF(OR(U10=0,AND(COUNTA(U15:U404)=0,U10="")),"○","×")</f>
        <v>○</v>
      </c>
      <c r="V406" s="652" t="str">
        <f>IF(OR(V10=0,AND(COUNTA(V15:V404)=0,V10="")),"○","×")</f>
        <v>○</v>
      </c>
      <c r="W406" s="1097"/>
      <c r="X406" s="1097"/>
      <c r="Y406" s="652" t="str">
        <f>IF(OR(Y10=0,AND(COUNTA(Y15:Y404)=0,Y10="")),"○","×")</f>
        <v>○</v>
      </c>
      <c r="Z406" s="652" t="str">
        <f>IF(OR(Z10=0,AND(COUNTA(Z15:Z404)=0,Z10="")),"○","×")</f>
        <v>○</v>
      </c>
      <c r="AA406" s="652" t="str">
        <f>IF(OR(AA10=0,AND(COUNTA(AA15:AA404)=0,AA10="")),"○","×")</f>
        <v>○</v>
      </c>
      <c r="AB406" s="1097"/>
      <c r="AC406" s="1097"/>
      <c r="AD406" s="652" t="str">
        <f>IF(OR(AD10=0,AND(COUNTA(AD15:AD404)=0,AD10="")),"○","×")</f>
        <v>○</v>
      </c>
      <c r="AE406" s="652" t="str">
        <f>IF(OR(AE10=0,AND(COUNTA(AE15:AE404)=0,AE10="")),"○","×")</f>
        <v>○</v>
      </c>
      <c r="AF406" s="652" t="str">
        <f>IF(OR(AF10=0,AND(COUNTA(AF15:AF404)=0,AF10="")),"○","×")</f>
        <v>○</v>
      </c>
      <c r="AG406" s="1097"/>
      <c r="AH406" s="1097"/>
      <c r="AI406" s="652" t="str">
        <f>IF(OR(AI10=0,AND(COUNTA(AI15:AI404)=0,AI10="")),"○","×")</f>
        <v>○</v>
      </c>
      <c r="AJ406" s="652" t="str">
        <f>IF(OR(AJ10=0,AND(COUNTA(AJ15:AJ404)=0,AJ10="")),"○","×")</f>
        <v>○</v>
      </c>
      <c r="AK406" s="1097"/>
      <c r="AL406" s="1097"/>
      <c r="AM406" s="652"/>
      <c r="AN406" s="652"/>
      <c r="AO406" s="652"/>
      <c r="AP406" s="652"/>
      <c r="AQ406" s="652"/>
      <c r="AR406" s="652"/>
      <c r="BK406" s="113"/>
      <c r="BL406" s="113"/>
    </row>
    <row r="407" spans="1:65" x14ac:dyDescent="0.15">
      <c r="BK407" s="113"/>
      <c r="BL407" s="113"/>
    </row>
    <row r="408" spans="1:65" x14ac:dyDescent="0.15">
      <c r="BK408" s="113"/>
      <c r="BL408" s="113"/>
    </row>
    <row r="409" spans="1:65" x14ac:dyDescent="0.15">
      <c r="BK409" s="113"/>
      <c r="BL409" s="113"/>
    </row>
    <row r="410" spans="1:65" x14ac:dyDescent="0.15">
      <c r="BK410" s="113"/>
      <c r="BL410" s="113"/>
    </row>
    <row r="411" spans="1:65" x14ac:dyDescent="0.15">
      <c r="BK411" s="113"/>
      <c r="BL411" s="113"/>
    </row>
    <row r="412" spans="1:65" x14ac:dyDescent="0.15">
      <c r="BK412" s="113"/>
      <c r="BL412" s="113"/>
    </row>
    <row r="413" spans="1:65" x14ac:dyDescent="0.15">
      <c r="BK413" s="113"/>
      <c r="BL413" s="113"/>
    </row>
    <row r="414" spans="1:65" x14ac:dyDescent="0.15">
      <c r="BK414" s="113"/>
      <c r="BL414" s="113"/>
    </row>
    <row r="415" spans="1:65" x14ac:dyDescent="0.15">
      <c r="BK415" s="113"/>
      <c r="BL415" s="113"/>
    </row>
    <row r="416" spans="1:65" x14ac:dyDescent="0.15">
      <c r="BK416" s="113"/>
      <c r="BL416" s="113"/>
    </row>
    <row r="417" spans="63:64" x14ac:dyDescent="0.15">
      <c r="BK417" s="113"/>
      <c r="BL417" s="113"/>
    </row>
    <row r="418" spans="63:64" x14ac:dyDescent="0.15">
      <c r="BK418" s="113"/>
      <c r="BL418" s="113"/>
    </row>
    <row r="419" spans="63:64" x14ac:dyDescent="0.15">
      <c r="BK419" s="113"/>
      <c r="BL419" s="113"/>
    </row>
    <row r="420" spans="63:64" x14ac:dyDescent="0.15">
      <c r="BK420" s="113"/>
      <c r="BL420" s="113"/>
    </row>
    <row r="421" spans="63:64" x14ac:dyDescent="0.15">
      <c r="BK421" s="113"/>
      <c r="BL421" s="113"/>
    </row>
    <row r="422" spans="63:64" x14ac:dyDescent="0.15">
      <c r="BK422" s="113"/>
      <c r="BL422" s="113"/>
    </row>
    <row r="423" spans="63:64" x14ac:dyDescent="0.15">
      <c r="BK423" s="113"/>
      <c r="BL423" s="113"/>
    </row>
    <row r="424" spans="63:64" x14ac:dyDescent="0.15">
      <c r="BK424" s="113"/>
      <c r="BL424" s="113"/>
    </row>
    <row r="425" spans="63:64" x14ac:dyDescent="0.15">
      <c r="BK425" s="113"/>
      <c r="BL425" s="113"/>
    </row>
    <row r="426" spans="63:64" x14ac:dyDescent="0.15">
      <c r="BK426" s="113"/>
      <c r="BL426" s="113"/>
    </row>
    <row r="427" spans="63:64" x14ac:dyDescent="0.15">
      <c r="BK427" s="113"/>
      <c r="BL427" s="113"/>
    </row>
    <row r="428" spans="63:64" x14ac:dyDescent="0.15">
      <c r="BK428" s="113"/>
      <c r="BL428" s="113"/>
    </row>
    <row r="429" spans="63:64" x14ac:dyDescent="0.15">
      <c r="BK429" s="113"/>
      <c r="BL429" s="113"/>
    </row>
    <row r="430" spans="63:64" x14ac:dyDescent="0.15">
      <c r="BK430" s="113"/>
      <c r="BL430" s="113"/>
    </row>
    <row r="431" spans="63:64" x14ac:dyDescent="0.15">
      <c r="BK431" s="113"/>
      <c r="BL431" s="113"/>
    </row>
    <row r="432" spans="63:64" x14ac:dyDescent="0.15">
      <c r="BK432" s="113"/>
      <c r="BL432" s="113"/>
    </row>
    <row r="433" spans="63:64" x14ac:dyDescent="0.15">
      <c r="BK433" s="113"/>
      <c r="BL433" s="113"/>
    </row>
    <row r="434" spans="63:64" x14ac:dyDescent="0.15">
      <c r="BK434" s="113"/>
      <c r="BL434" s="113"/>
    </row>
    <row r="435" spans="63:64" x14ac:dyDescent="0.15">
      <c r="BK435" s="113"/>
      <c r="BL435" s="113"/>
    </row>
    <row r="436" spans="63:64" x14ac:dyDescent="0.15">
      <c r="BK436" s="113"/>
      <c r="BL436" s="113"/>
    </row>
    <row r="437" spans="63:64" x14ac:dyDescent="0.15">
      <c r="BK437" s="113"/>
      <c r="BL437" s="113"/>
    </row>
    <row r="438" spans="63:64" x14ac:dyDescent="0.15">
      <c r="BK438" s="113"/>
      <c r="BL438" s="113"/>
    </row>
    <row r="439" spans="63:64" x14ac:dyDescent="0.15">
      <c r="BK439" s="113"/>
      <c r="BL439" s="113"/>
    </row>
    <row r="440" spans="63:64" x14ac:dyDescent="0.15">
      <c r="BK440" s="113"/>
      <c r="BL440" s="113"/>
    </row>
    <row r="441" spans="63:64" x14ac:dyDescent="0.15">
      <c r="BK441" s="113"/>
      <c r="BL441" s="113"/>
    </row>
    <row r="442" spans="63:64" x14ac:dyDescent="0.15">
      <c r="BK442" s="113"/>
      <c r="BL442" s="113"/>
    </row>
    <row r="443" spans="63:64" x14ac:dyDescent="0.15">
      <c r="BK443" s="113"/>
      <c r="BL443" s="113"/>
    </row>
    <row r="444" spans="63:64" x14ac:dyDescent="0.15">
      <c r="BK444" s="113"/>
      <c r="BL444" s="113"/>
    </row>
    <row r="445" spans="63:64" x14ac:dyDescent="0.15">
      <c r="BK445" s="113"/>
      <c r="BL445" s="113"/>
    </row>
    <row r="446" spans="63:64" x14ac:dyDescent="0.15">
      <c r="BK446" s="113"/>
      <c r="BL446" s="113"/>
    </row>
    <row r="447" spans="63:64" x14ac:dyDescent="0.15">
      <c r="BK447" s="113"/>
      <c r="BL447" s="113"/>
    </row>
    <row r="448" spans="63:64" x14ac:dyDescent="0.15">
      <c r="BK448" s="113"/>
      <c r="BL448" s="113"/>
    </row>
    <row r="449" spans="63:64" x14ac:dyDescent="0.15">
      <c r="BK449" s="113"/>
      <c r="BL449" s="113"/>
    </row>
    <row r="450" spans="63:64" x14ac:dyDescent="0.15">
      <c r="BK450" s="113"/>
      <c r="BL450" s="113"/>
    </row>
    <row r="451" spans="63:64" x14ac:dyDescent="0.15">
      <c r="BK451" s="113"/>
      <c r="BL451" s="113"/>
    </row>
  </sheetData>
  <sheetProtection algorithmName="SHA-512" hashValue="87xVQtMSdIub3oAx+JVYljYEOfsssVvsLycgQLAHMwFit+rdKgXsb8iL2umBIQmpfCfZAUiMFog3IgJihjLenA==" saltValue="AFAMPnBJLcCl0cUCPYxNdg==" spinCount="100000" sheet="1" selectLockedCells="1"/>
  <dataConsolidate/>
  <mergeCells count="8603">
    <mergeCell ref="BL377:BL378"/>
    <mergeCell ref="BL379:BL380"/>
    <mergeCell ref="BL381:BL382"/>
    <mergeCell ref="BL383:BL384"/>
    <mergeCell ref="BL385:BL386"/>
    <mergeCell ref="BL387:BL388"/>
    <mergeCell ref="BL389:BL390"/>
    <mergeCell ref="BL391:BL392"/>
    <mergeCell ref="BL393:BL394"/>
    <mergeCell ref="BL395:BL396"/>
    <mergeCell ref="BL397:BL398"/>
    <mergeCell ref="BL399:BL400"/>
    <mergeCell ref="BL401:BL402"/>
    <mergeCell ref="BL403:BL404"/>
    <mergeCell ref="BL343:BL344"/>
    <mergeCell ref="BL345:BL346"/>
    <mergeCell ref="BL347:BL348"/>
    <mergeCell ref="BL349:BL350"/>
    <mergeCell ref="BL351:BL352"/>
    <mergeCell ref="BL353:BL354"/>
    <mergeCell ref="BL355:BL356"/>
    <mergeCell ref="BL357:BL358"/>
    <mergeCell ref="BL359:BL360"/>
    <mergeCell ref="BL361:BL362"/>
    <mergeCell ref="BL363:BL364"/>
    <mergeCell ref="BL365:BL366"/>
    <mergeCell ref="BL367:BL368"/>
    <mergeCell ref="BL369:BL370"/>
    <mergeCell ref="BL371:BL372"/>
    <mergeCell ref="BL373:BL374"/>
    <mergeCell ref="BL375:BL376"/>
    <mergeCell ref="BL309:BL310"/>
    <mergeCell ref="BL311:BL312"/>
    <mergeCell ref="BL313:BL314"/>
    <mergeCell ref="BL315:BL316"/>
    <mergeCell ref="BL317:BL318"/>
    <mergeCell ref="BL319:BL320"/>
    <mergeCell ref="BL321:BL322"/>
    <mergeCell ref="BL323:BL324"/>
    <mergeCell ref="BL325:BL326"/>
    <mergeCell ref="BL327:BL328"/>
    <mergeCell ref="BL329:BL330"/>
    <mergeCell ref="BL331:BL332"/>
    <mergeCell ref="BL333:BL334"/>
    <mergeCell ref="BL335:BL336"/>
    <mergeCell ref="BL337:BL338"/>
    <mergeCell ref="BL339:BL340"/>
    <mergeCell ref="BL341:BL342"/>
    <mergeCell ref="BL275:BL276"/>
    <mergeCell ref="BL277:BL278"/>
    <mergeCell ref="BL279:BL280"/>
    <mergeCell ref="BL281:BL282"/>
    <mergeCell ref="BL283:BL284"/>
    <mergeCell ref="BL285:BL286"/>
    <mergeCell ref="BL287:BL288"/>
    <mergeCell ref="BL289:BL290"/>
    <mergeCell ref="BL291:BL292"/>
    <mergeCell ref="BL293:BL294"/>
    <mergeCell ref="BL295:BL296"/>
    <mergeCell ref="BL297:BL298"/>
    <mergeCell ref="BL299:BL300"/>
    <mergeCell ref="BL301:BL302"/>
    <mergeCell ref="BL303:BL304"/>
    <mergeCell ref="BL305:BL306"/>
    <mergeCell ref="BL307:BL308"/>
    <mergeCell ref="BL241:BL242"/>
    <mergeCell ref="BL243:BL244"/>
    <mergeCell ref="BL245:BL246"/>
    <mergeCell ref="BL247:BL248"/>
    <mergeCell ref="BL249:BL250"/>
    <mergeCell ref="BL251:BL252"/>
    <mergeCell ref="BL253:BL254"/>
    <mergeCell ref="BL255:BL256"/>
    <mergeCell ref="BL257:BL258"/>
    <mergeCell ref="BL259:BL260"/>
    <mergeCell ref="BL261:BL262"/>
    <mergeCell ref="BL263:BL264"/>
    <mergeCell ref="BL265:BL266"/>
    <mergeCell ref="BL267:BL268"/>
    <mergeCell ref="BL269:BL270"/>
    <mergeCell ref="BL271:BL272"/>
    <mergeCell ref="BL273:BL274"/>
    <mergeCell ref="BL207:BL208"/>
    <mergeCell ref="BL209:BL210"/>
    <mergeCell ref="BL211:BL212"/>
    <mergeCell ref="BL213:BL214"/>
    <mergeCell ref="BL215:BL216"/>
    <mergeCell ref="BL217:BL218"/>
    <mergeCell ref="BL219:BL220"/>
    <mergeCell ref="BL221:BL222"/>
    <mergeCell ref="BL223:BL224"/>
    <mergeCell ref="BL225:BL226"/>
    <mergeCell ref="BL227:BL228"/>
    <mergeCell ref="BL229:BL230"/>
    <mergeCell ref="BL231:BL232"/>
    <mergeCell ref="BL233:BL234"/>
    <mergeCell ref="BL235:BL236"/>
    <mergeCell ref="BL237:BL238"/>
    <mergeCell ref="BL239:BL240"/>
    <mergeCell ref="BL173:BL174"/>
    <mergeCell ref="BL175:BL176"/>
    <mergeCell ref="BL177:BL178"/>
    <mergeCell ref="BL179:BL180"/>
    <mergeCell ref="BL181:BL182"/>
    <mergeCell ref="BL183:BL184"/>
    <mergeCell ref="BL185:BL186"/>
    <mergeCell ref="BL187:BL188"/>
    <mergeCell ref="BL189:BL190"/>
    <mergeCell ref="BL191:BL192"/>
    <mergeCell ref="BL193:BL194"/>
    <mergeCell ref="BL195:BL196"/>
    <mergeCell ref="BL197:BL198"/>
    <mergeCell ref="BL199:BL200"/>
    <mergeCell ref="BL201:BL202"/>
    <mergeCell ref="BL203:BL204"/>
    <mergeCell ref="BL205:BL206"/>
    <mergeCell ref="BL139:BL140"/>
    <mergeCell ref="BL141:BL142"/>
    <mergeCell ref="BL143:BL144"/>
    <mergeCell ref="BL145:BL146"/>
    <mergeCell ref="BL147:BL148"/>
    <mergeCell ref="BL149:BL150"/>
    <mergeCell ref="BL151:BL152"/>
    <mergeCell ref="BL153:BL154"/>
    <mergeCell ref="BL155:BL156"/>
    <mergeCell ref="BL157:BL158"/>
    <mergeCell ref="BL159:BL160"/>
    <mergeCell ref="BL161:BL162"/>
    <mergeCell ref="BL163:BL164"/>
    <mergeCell ref="BL165:BL166"/>
    <mergeCell ref="BL167:BL168"/>
    <mergeCell ref="BL169:BL170"/>
    <mergeCell ref="BL171:BL172"/>
    <mergeCell ref="BL105:BL106"/>
    <mergeCell ref="BL107:BL108"/>
    <mergeCell ref="BL109:BL110"/>
    <mergeCell ref="BL111:BL112"/>
    <mergeCell ref="BL113:BL114"/>
    <mergeCell ref="BL115:BL116"/>
    <mergeCell ref="BL117:BL118"/>
    <mergeCell ref="BL119:BL120"/>
    <mergeCell ref="BL121:BL122"/>
    <mergeCell ref="BL123:BL124"/>
    <mergeCell ref="BL125:BL126"/>
    <mergeCell ref="BL127:BL128"/>
    <mergeCell ref="BL129:BL130"/>
    <mergeCell ref="BL131:BL132"/>
    <mergeCell ref="BL133:BL134"/>
    <mergeCell ref="BL135:BL136"/>
    <mergeCell ref="BL137:BL138"/>
    <mergeCell ref="BL71:BL72"/>
    <mergeCell ref="BL73:BL74"/>
    <mergeCell ref="BL75:BL76"/>
    <mergeCell ref="BL77:BL78"/>
    <mergeCell ref="BL79:BL80"/>
    <mergeCell ref="BL81:BL82"/>
    <mergeCell ref="BL83:BL84"/>
    <mergeCell ref="BL85:BL86"/>
    <mergeCell ref="BL87:BL88"/>
    <mergeCell ref="BL89:BL90"/>
    <mergeCell ref="BL91:BL92"/>
    <mergeCell ref="BL93:BL94"/>
    <mergeCell ref="BL95:BL96"/>
    <mergeCell ref="BL97:BL98"/>
    <mergeCell ref="BL99:BL100"/>
    <mergeCell ref="BL101:BL102"/>
    <mergeCell ref="BL103:BL104"/>
    <mergeCell ref="BK397:BK398"/>
    <mergeCell ref="BK399:BK400"/>
    <mergeCell ref="BK401:BK402"/>
    <mergeCell ref="BK403:BK404"/>
    <mergeCell ref="BL15:BL16"/>
    <mergeCell ref="BL17:BL18"/>
    <mergeCell ref="BL19:BL20"/>
    <mergeCell ref="BL21:BL22"/>
    <mergeCell ref="BL23:BL24"/>
    <mergeCell ref="BL25:BL26"/>
    <mergeCell ref="BL27:BL28"/>
    <mergeCell ref="BL29:BL30"/>
    <mergeCell ref="BL31:BL32"/>
    <mergeCell ref="BL33:BL34"/>
    <mergeCell ref="BL35:BL36"/>
    <mergeCell ref="BL37:BL38"/>
    <mergeCell ref="BL39:BL40"/>
    <mergeCell ref="BL41:BL42"/>
    <mergeCell ref="BL43:BL44"/>
    <mergeCell ref="BL45:BL46"/>
    <mergeCell ref="BL47:BL48"/>
    <mergeCell ref="BL49:BL50"/>
    <mergeCell ref="BL51:BL52"/>
    <mergeCell ref="BL53:BL54"/>
    <mergeCell ref="BL55:BL56"/>
    <mergeCell ref="BL57:BL58"/>
    <mergeCell ref="BL59:BL60"/>
    <mergeCell ref="BL61:BL62"/>
    <mergeCell ref="BL63:BL64"/>
    <mergeCell ref="BL65:BL66"/>
    <mergeCell ref="BL67:BL68"/>
    <mergeCell ref="BL69:BL70"/>
    <mergeCell ref="BK363:BK364"/>
    <mergeCell ref="BK365:BK366"/>
    <mergeCell ref="BK367:BK368"/>
    <mergeCell ref="BK369:BK370"/>
    <mergeCell ref="BK371:BK372"/>
    <mergeCell ref="BK373:BK374"/>
    <mergeCell ref="BK375:BK376"/>
    <mergeCell ref="BK377:BK378"/>
    <mergeCell ref="BK379:BK380"/>
    <mergeCell ref="BK381:BK382"/>
    <mergeCell ref="BK383:BK384"/>
    <mergeCell ref="BK385:BK386"/>
    <mergeCell ref="BK387:BK388"/>
    <mergeCell ref="BK389:BK390"/>
    <mergeCell ref="BK391:BK392"/>
    <mergeCell ref="BK393:BK394"/>
    <mergeCell ref="BK395:BK396"/>
    <mergeCell ref="BK329:BK330"/>
    <mergeCell ref="BK331:BK332"/>
    <mergeCell ref="BK333:BK334"/>
    <mergeCell ref="BK335:BK336"/>
    <mergeCell ref="BK337:BK338"/>
    <mergeCell ref="BK339:BK340"/>
    <mergeCell ref="BK341:BK342"/>
    <mergeCell ref="BK343:BK344"/>
    <mergeCell ref="BK345:BK346"/>
    <mergeCell ref="BK347:BK348"/>
    <mergeCell ref="BK349:BK350"/>
    <mergeCell ref="BK351:BK352"/>
    <mergeCell ref="BK353:BK354"/>
    <mergeCell ref="BK355:BK356"/>
    <mergeCell ref="BK357:BK358"/>
    <mergeCell ref="BK359:BK360"/>
    <mergeCell ref="BK361:BK362"/>
    <mergeCell ref="BK295:BK296"/>
    <mergeCell ref="BK297:BK298"/>
    <mergeCell ref="BK299:BK300"/>
    <mergeCell ref="BK301:BK302"/>
    <mergeCell ref="BK303:BK304"/>
    <mergeCell ref="BK305:BK306"/>
    <mergeCell ref="BK307:BK308"/>
    <mergeCell ref="BK309:BK310"/>
    <mergeCell ref="BK311:BK312"/>
    <mergeCell ref="BK313:BK314"/>
    <mergeCell ref="BK315:BK316"/>
    <mergeCell ref="BK317:BK318"/>
    <mergeCell ref="BK319:BK320"/>
    <mergeCell ref="BK321:BK322"/>
    <mergeCell ref="BK323:BK324"/>
    <mergeCell ref="BK325:BK326"/>
    <mergeCell ref="BK327:BK328"/>
    <mergeCell ref="BK261:BK262"/>
    <mergeCell ref="BK263:BK264"/>
    <mergeCell ref="BK265:BK266"/>
    <mergeCell ref="BK267:BK268"/>
    <mergeCell ref="BK269:BK270"/>
    <mergeCell ref="BK271:BK272"/>
    <mergeCell ref="BK273:BK274"/>
    <mergeCell ref="BK275:BK276"/>
    <mergeCell ref="BK277:BK278"/>
    <mergeCell ref="BK279:BK280"/>
    <mergeCell ref="BK281:BK282"/>
    <mergeCell ref="BK283:BK284"/>
    <mergeCell ref="BK285:BK286"/>
    <mergeCell ref="BK287:BK288"/>
    <mergeCell ref="BK289:BK290"/>
    <mergeCell ref="BK291:BK292"/>
    <mergeCell ref="BK293:BK294"/>
    <mergeCell ref="BK227:BK228"/>
    <mergeCell ref="BK229:BK230"/>
    <mergeCell ref="BK231:BK232"/>
    <mergeCell ref="BK233:BK234"/>
    <mergeCell ref="BK235:BK236"/>
    <mergeCell ref="BK237:BK238"/>
    <mergeCell ref="BK239:BK240"/>
    <mergeCell ref="BK241:BK242"/>
    <mergeCell ref="BK243:BK244"/>
    <mergeCell ref="BK245:BK246"/>
    <mergeCell ref="BK247:BK248"/>
    <mergeCell ref="BK249:BK250"/>
    <mergeCell ref="BK251:BK252"/>
    <mergeCell ref="BK253:BK254"/>
    <mergeCell ref="BK255:BK256"/>
    <mergeCell ref="BK257:BK258"/>
    <mergeCell ref="BK259:BK260"/>
    <mergeCell ref="BK193:BK194"/>
    <mergeCell ref="BK195:BK196"/>
    <mergeCell ref="BK197:BK198"/>
    <mergeCell ref="BK199:BK200"/>
    <mergeCell ref="BK201:BK202"/>
    <mergeCell ref="BK203:BK204"/>
    <mergeCell ref="BK205:BK206"/>
    <mergeCell ref="BK207:BK208"/>
    <mergeCell ref="BK209:BK210"/>
    <mergeCell ref="BK211:BK212"/>
    <mergeCell ref="BK213:BK214"/>
    <mergeCell ref="BK215:BK216"/>
    <mergeCell ref="BK217:BK218"/>
    <mergeCell ref="BK219:BK220"/>
    <mergeCell ref="BK221:BK222"/>
    <mergeCell ref="BK223:BK224"/>
    <mergeCell ref="BK225:BK226"/>
    <mergeCell ref="BK159:BK160"/>
    <mergeCell ref="BK161:BK162"/>
    <mergeCell ref="BK163:BK164"/>
    <mergeCell ref="BK165:BK166"/>
    <mergeCell ref="BK167:BK168"/>
    <mergeCell ref="BK169:BK170"/>
    <mergeCell ref="BK171:BK172"/>
    <mergeCell ref="BK173:BK174"/>
    <mergeCell ref="BK175:BK176"/>
    <mergeCell ref="BK177:BK178"/>
    <mergeCell ref="BK179:BK180"/>
    <mergeCell ref="BK181:BK182"/>
    <mergeCell ref="BK183:BK184"/>
    <mergeCell ref="BK185:BK186"/>
    <mergeCell ref="BK187:BK188"/>
    <mergeCell ref="BK189:BK190"/>
    <mergeCell ref="BK191:BK192"/>
    <mergeCell ref="BK125:BK126"/>
    <mergeCell ref="BK127:BK128"/>
    <mergeCell ref="BK129:BK130"/>
    <mergeCell ref="BK131:BK132"/>
    <mergeCell ref="BK133:BK134"/>
    <mergeCell ref="BK135:BK136"/>
    <mergeCell ref="BK137:BK138"/>
    <mergeCell ref="BK139:BK140"/>
    <mergeCell ref="BK141:BK142"/>
    <mergeCell ref="BK143:BK144"/>
    <mergeCell ref="BK145:BK146"/>
    <mergeCell ref="BK147:BK148"/>
    <mergeCell ref="BK149:BK150"/>
    <mergeCell ref="BK151:BK152"/>
    <mergeCell ref="BK153:BK154"/>
    <mergeCell ref="BK155:BK156"/>
    <mergeCell ref="BK157:BK158"/>
    <mergeCell ref="BK91:BK92"/>
    <mergeCell ref="BK93:BK94"/>
    <mergeCell ref="BK95:BK96"/>
    <mergeCell ref="BK97:BK98"/>
    <mergeCell ref="BK99:BK100"/>
    <mergeCell ref="BK101:BK102"/>
    <mergeCell ref="BK103:BK104"/>
    <mergeCell ref="BK105:BK106"/>
    <mergeCell ref="BK107:BK108"/>
    <mergeCell ref="BK109:BK110"/>
    <mergeCell ref="BK111:BK112"/>
    <mergeCell ref="BK113:BK114"/>
    <mergeCell ref="BK115:BK116"/>
    <mergeCell ref="BK117:BK118"/>
    <mergeCell ref="BK119:BK120"/>
    <mergeCell ref="BK121:BK122"/>
    <mergeCell ref="BK123:BK124"/>
    <mergeCell ref="BK57:BK58"/>
    <mergeCell ref="BK59:BK60"/>
    <mergeCell ref="BK61:BK62"/>
    <mergeCell ref="BK63:BK64"/>
    <mergeCell ref="BK65:BK66"/>
    <mergeCell ref="BK67:BK68"/>
    <mergeCell ref="BK69:BK70"/>
    <mergeCell ref="BK71:BK72"/>
    <mergeCell ref="BK73:BK74"/>
    <mergeCell ref="BK75:BK76"/>
    <mergeCell ref="BK77:BK78"/>
    <mergeCell ref="BK79:BK80"/>
    <mergeCell ref="BK81:BK82"/>
    <mergeCell ref="BK83:BK84"/>
    <mergeCell ref="BK85:BK86"/>
    <mergeCell ref="BK87:BK88"/>
    <mergeCell ref="BK89:BK90"/>
    <mergeCell ref="BJ383:BJ384"/>
    <mergeCell ref="BJ385:BJ386"/>
    <mergeCell ref="BJ387:BJ388"/>
    <mergeCell ref="BJ389:BJ390"/>
    <mergeCell ref="BJ391:BJ392"/>
    <mergeCell ref="BJ393:BJ394"/>
    <mergeCell ref="BJ395:BJ396"/>
    <mergeCell ref="BJ397:BJ398"/>
    <mergeCell ref="BJ399:BJ400"/>
    <mergeCell ref="BJ401:BJ402"/>
    <mergeCell ref="BJ403:BJ404"/>
    <mergeCell ref="BK15:BK16"/>
    <mergeCell ref="BK17:BK18"/>
    <mergeCell ref="BK19:BK20"/>
    <mergeCell ref="BK21:BK22"/>
    <mergeCell ref="BK23:BK24"/>
    <mergeCell ref="BK25:BK26"/>
    <mergeCell ref="BK27:BK28"/>
    <mergeCell ref="BK29:BK30"/>
    <mergeCell ref="BK31:BK32"/>
    <mergeCell ref="BK33:BK34"/>
    <mergeCell ref="BK35:BK36"/>
    <mergeCell ref="BK37:BK38"/>
    <mergeCell ref="BK39:BK40"/>
    <mergeCell ref="BK41:BK42"/>
    <mergeCell ref="BK43:BK44"/>
    <mergeCell ref="BK45:BK46"/>
    <mergeCell ref="BK47:BK48"/>
    <mergeCell ref="BK49:BK50"/>
    <mergeCell ref="BK51:BK52"/>
    <mergeCell ref="BK53:BK54"/>
    <mergeCell ref="BK55:BK56"/>
    <mergeCell ref="BJ349:BJ350"/>
    <mergeCell ref="BJ351:BJ352"/>
    <mergeCell ref="BJ353:BJ354"/>
    <mergeCell ref="BJ355:BJ356"/>
    <mergeCell ref="BJ357:BJ358"/>
    <mergeCell ref="BJ359:BJ360"/>
    <mergeCell ref="BJ361:BJ362"/>
    <mergeCell ref="BJ363:BJ364"/>
    <mergeCell ref="BJ365:BJ366"/>
    <mergeCell ref="BJ367:BJ368"/>
    <mergeCell ref="BJ369:BJ370"/>
    <mergeCell ref="BJ371:BJ372"/>
    <mergeCell ref="BJ373:BJ374"/>
    <mergeCell ref="BJ375:BJ376"/>
    <mergeCell ref="BJ377:BJ378"/>
    <mergeCell ref="BJ379:BJ380"/>
    <mergeCell ref="BJ381:BJ382"/>
    <mergeCell ref="BJ315:BJ316"/>
    <mergeCell ref="BJ317:BJ318"/>
    <mergeCell ref="BJ319:BJ320"/>
    <mergeCell ref="BJ321:BJ322"/>
    <mergeCell ref="BJ323:BJ324"/>
    <mergeCell ref="BJ325:BJ326"/>
    <mergeCell ref="BJ327:BJ328"/>
    <mergeCell ref="BJ329:BJ330"/>
    <mergeCell ref="BJ331:BJ332"/>
    <mergeCell ref="BJ333:BJ334"/>
    <mergeCell ref="BJ335:BJ336"/>
    <mergeCell ref="BJ337:BJ338"/>
    <mergeCell ref="BJ339:BJ340"/>
    <mergeCell ref="BJ341:BJ342"/>
    <mergeCell ref="BJ343:BJ344"/>
    <mergeCell ref="BJ345:BJ346"/>
    <mergeCell ref="BJ347:BJ348"/>
    <mergeCell ref="BJ281:BJ282"/>
    <mergeCell ref="BJ283:BJ284"/>
    <mergeCell ref="BJ285:BJ286"/>
    <mergeCell ref="BJ287:BJ288"/>
    <mergeCell ref="BJ289:BJ290"/>
    <mergeCell ref="BJ291:BJ292"/>
    <mergeCell ref="BJ293:BJ294"/>
    <mergeCell ref="BJ295:BJ296"/>
    <mergeCell ref="BJ297:BJ298"/>
    <mergeCell ref="BJ299:BJ300"/>
    <mergeCell ref="BJ301:BJ302"/>
    <mergeCell ref="BJ303:BJ304"/>
    <mergeCell ref="BJ305:BJ306"/>
    <mergeCell ref="BJ307:BJ308"/>
    <mergeCell ref="BJ309:BJ310"/>
    <mergeCell ref="BJ311:BJ312"/>
    <mergeCell ref="BJ313:BJ314"/>
    <mergeCell ref="BJ247:BJ248"/>
    <mergeCell ref="BJ249:BJ250"/>
    <mergeCell ref="BJ251:BJ252"/>
    <mergeCell ref="BJ253:BJ254"/>
    <mergeCell ref="BJ255:BJ256"/>
    <mergeCell ref="BJ257:BJ258"/>
    <mergeCell ref="BJ259:BJ260"/>
    <mergeCell ref="BJ261:BJ262"/>
    <mergeCell ref="BJ263:BJ264"/>
    <mergeCell ref="BJ265:BJ266"/>
    <mergeCell ref="BJ267:BJ268"/>
    <mergeCell ref="BJ269:BJ270"/>
    <mergeCell ref="BJ271:BJ272"/>
    <mergeCell ref="BJ273:BJ274"/>
    <mergeCell ref="BJ275:BJ276"/>
    <mergeCell ref="BJ277:BJ278"/>
    <mergeCell ref="BJ279:BJ280"/>
    <mergeCell ref="BJ213:BJ214"/>
    <mergeCell ref="BJ215:BJ216"/>
    <mergeCell ref="BJ217:BJ218"/>
    <mergeCell ref="BJ219:BJ220"/>
    <mergeCell ref="BJ221:BJ222"/>
    <mergeCell ref="BJ223:BJ224"/>
    <mergeCell ref="BJ225:BJ226"/>
    <mergeCell ref="BJ227:BJ228"/>
    <mergeCell ref="BJ229:BJ230"/>
    <mergeCell ref="BJ231:BJ232"/>
    <mergeCell ref="BJ233:BJ234"/>
    <mergeCell ref="BJ235:BJ236"/>
    <mergeCell ref="BJ237:BJ238"/>
    <mergeCell ref="BJ239:BJ240"/>
    <mergeCell ref="BJ241:BJ242"/>
    <mergeCell ref="BJ243:BJ244"/>
    <mergeCell ref="BJ245:BJ246"/>
    <mergeCell ref="BJ179:BJ180"/>
    <mergeCell ref="BJ181:BJ182"/>
    <mergeCell ref="BJ183:BJ184"/>
    <mergeCell ref="BJ185:BJ186"/>
    <mergeCell ref="BJ187:BJ188"/>
    <mergeCell ref="BJ189:BJ190"/>
    <mergeCell ref="BJ191:BJ192"/>
    <mergeCell ref="BJ193:BJ194"/>
    <mergeCell ref="BJ195:BJ196"/>
    <mergeCell ref="BJ197:BJ198"/>
    <mergeCell ref="BJ199:BJ200"/>
    <mergeCell ref="BJ201:BJ202"/>
    <mergeCell ref="BJ203:BJ204"/>
    <mergeCell ref="BJ205:BJ206"/>
    <mergeCell ref="BJ207:BJ208"/>
    <mergeCell ref="BJ209:BJ210"/>
    <mergeCell ref="BJ211:BJ212"/>
    <mergeCell ref="BJ145:BJ146"/>
    <mergeCell ref="BJ147:BJ148"/>
    <mergeCell ref="BJ149:BJ150"/>
    <mergeCell ref="BJ151:BJ152"/>
    <mergeCell ref="BJ153:BJ154"/>
    <mergeCell ref="BJ155:BJ156"/>
    <mergeCell ref="BJ157:BJ158"/>
    <mergeCell ref="BJ159:BJ160"/>
    <mergeCell ref="BJ161:BJ162"/>
    <mergeCell ref="BJ163:BJ164"/>
    <mergeCell ref="BJ165:BJ166"/>
    <mergeCell ref="BJ167:BJ168"/>
    <mergeCell ref="BJ169:BJ170"/>
    <mergeCell ref="BJ171:BJ172"/>
    <mergeCell ref="BJ173:BJ174"/>
    <mergeCell ref="BJ175:BJ176"/>
    <mergeCell ref="BJ177:BJ178"/>
    <mergeCell ref="BJ111:BJ112"/>
    <mergeCell ref="BJ113:BJ114"/>
    <mergeCell ref="BJ115:BJ116"/>
    <mergeCell ref="BJ117:BJ118"/>
    <mergeCell ref="BJ119:BJ120"/>
    <mergeCell ref="BJ121:BJ122"/>
    <mergeCell ref="BJ123:BJ124"/>
    <mergeCell ref="BJ125:BJ126"/>
    <mergeCell ref="BJ127:BJ128"/>
    <mergeCell ref="BJ129:BJ130"/>
    <mergeCell ref="BJ131:BJ132"/>
    <mergeCell ref="BJ133:BJ134"/>
    <mergeCell ref="BJ135:BJ136"/>
    <mergeCell ref="BJ137:BJ138"/>
    <mergeCell ref="BJ139:BJ140"/>
    <mergeCell ref="BJ141:BJ142"/>
    <mergeCell ref="BJ143:BJ144"/>
    <mergeCell ref="BJ77:BJ78"/>
    <mergeCell ref="BJ79:BJ80"/>
    <mergeCell ref="BJ81:BJ82"/>
    <mergeCell ref="BJ83:BJ84"/>
    <mergeCell ref="BJ85:BJ86"/>
    <mergeCell ref="BJ87:BJ88"/>
    <mergeCell ref="BJ89:BJ90"/>
    <mergeCell ref="BJ91:BJ92"/>
    <mergeCell ref="BJ93:BJ94"/>
    <mergeCell ref="BJ95:BJ96"/>
    <mergeCell ref="BJ97:BJ98"/>
    <mergeCell ref="BJ99:BJ100"/>
    <mergeCell ref="BJ101:BJ102"/>
    <mergeCell ref="BJ103:BJ104"/>
    <mergeCell ref="BJ105:BJ106"/>
    <mergeCell ref="BJ107:BJ108"/>
    <mergeCell ref="BJ109:BJ110"/>
    <mergeCell ref="BJ43:BJ44"/>
    <mergeCell ref="BJ45:BJ46"/>
    <mergeCell ref="BJ47:BJ48"/>
    <mergeCell ref="BJ49:BJ50"/>
    <mergeCell ref="BJ51:BJ52"/>
    <mergeCell ref="BJ53:BJ54"/>
    <mergeCell ref="BJ55:BJ56"/>
    <mergeCell ref="BJ57:BJ58"/>
    <mergeCell ref="BJ59:BJ60"/>
    <mergeCell ref="BJ61:BJ62"/>
    <mergeCell ref="BJ63:BJ64"/>
    <mergeCell ref="BJ65:BJ66"/>
    <mergeCell ref="BJ67:BJ68"/>
    <mergeCell ref="BJ69:BJ70"/>
    <mergeCell ref="BJ71:BJ72"/>
    <mergeCell ref="BJ73:BJ74"/>
    <mergeCell ref="BJ75:BJ76"/>
    <mergeCell ref="BO40:BR40"/>
    <mergeCell ref="BO41:BR41"/>
    <mergeCell ref="BO42:BR42"/>
    <mergeCell ref="BN15:BR15"/>
    <mergeCell ref="BO34:BR34"/>
    <mergeCell ref="BS3:BV3"/>
    <mergeCell ref="BS5:BT5"/>
    <mergeCell ref="BS6:BT6"/>
    <mergeCell ref="BS7:BT7"/>
    <mergeCell ref="BS8:BT8"/>
    <mergeCell ref="BS9:BT9"/>
    <mergeCell ref="BS10:BT10"/>
    <mergeCell ref="BS11:BT11"/>
    <mergeCell ref="BJ15:BJ16"/>
    <mergeCell ref="BJ17:BJ18"/>
    <mergeCell ref="BJ19:BJ20"/>
    <mergeCell ref="BJ21:BJ22"/>
    <mergeCell ref="BJ23:BJ24"/>
    <mergeCell ref="BJ25:BJ26"/>
    <mergeCell ref="BJ27:BJ28"/>
    <mergeCell ref="BJ29:BJ30"/>
    <mergeCell ref="BJ31:BJ32"/>
    <mergeCell ref="BJ33:BJ34"/>
    <mergeCell ref="BJ35:BJ36"/>
    <mergeCell ref="BJ37:BJ38"/>
    <mergeCell ref="BJ39:BJ40"/>
    <mergeCell ref="BJ41:BJ42"/>
    <mergeCell ref="BO25:BR25"/>
    <mergeCell ref="BO26:BR26"/>
    <mergeCell ref="BO27:BR27"/>
    <mergeCell ref="BO28:BR28"/>
    <mergeCell ref="BO29:BR29"/>
    <mergeCell ref="BO35:BR35"/>
    <mergeCell ref="BO36:BR36"/>
    <mergeCell ref="BO37:BR37"/>
    <mergeCell ref="BO38:BR38"/>
    <mergeCell ref="BO39:BR39"/>
    <mergeCell ref="N2:O2"/>
    <mergeCell ref="J2:M2"/>
    <mergeCell ref="J3:M3"/>
    <mergeCell ref="N3:O3"/>
    <mergeCell ref="E2:E3"/>
    <mergeCell ref="B2:C3"/>
    <mergeCell ref="D2:D3"/>
    <mergeCell ref="W2:AB3"/>
    <mergeCell ref="AC2:AE3"/>
    <mergeCell ref="AH2:AH3"/>
    <mergeCell ref="AI2:AK3"/>
    <mergeCell ref="AL2:AM3"/>
    <mergeCell ref="AN2:AN3"/>
    <mergeCell ref="U4:AL5"/>
    <mergeCell ref="AO2:AR2"/>
    <mergeCell ref="B17:B18"/>
    <mergeCell ref="B19:B20"/>
    <mergeCell ref="B21:B22"/>
    <mergeCell ref="B23:B24"/>
    <mergeCell ref="B25:B26"/>
    <mergeCell ref="B27:B28"/>
    <mergeCell ref="B29:B30"/>
    <mergeCell ref="B31:B32"/>
    <mergeCell ref="B33:B34"/>
    <mergeCell ref="B35:B36"/>
    <mergeCell ref="B37:B38"/>
    <mergeCell ref="B39:B40"/>
    <mergeCell ref="B391:B392"/>
    <mergeCell ref="B393:B394"/>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289:B290"/>
    <mergeCell ref="B291:B292"/>
    <mergeCell ref="B293:B294"/>
    <mergeCell ref="B295:B296"/>
    <mergeCell ref="B297:B298"/>
    <mergeCell ref="B299:B300"/>
    <mergeCell ref="B301:B302"/>
    <mergeCell ref="B303:B304"/>
    <mergeCell ref="B305:B306"/>
    <mergeCell ref="B307:B308"/>
    <mergeCell ref="B309:B310"/>
    <mergeCell ref="B311:B312"/>
    <mergeCell ref="B313:B314"/>
    <mergeCell ref="B315:B316"/>
    <mergeCell ref="B317:B318"/>
    <mergeCell ref="B319:B320"/>
    <mergeCell ref="B395:B396"/>
    <mergeCell ref="B397:B398"/>
    <mergeCell ref="B399:B400"/>
    <mergeCell ref="B401:B402"/>
    <mergeCell ref="B403:B404"/>
    <mergeCell ref="B6:C10"/>
    <mergeCell ref="B11:C12"/>
    <mergeCell ref="B13:C14"/>
    <mergeCell ref="F2:G2"/>
    <mergeCell ref="F3:G3"/>
    <mergeCell ref="H2:I2"/>
    <mergeCell ref="H3:I3"/>
    <mergeCell ref="B357:B358"/>
    <mergeCell ref="B359:B360"/>
    <mergeCell ref="B361:B362"/>
    <mergeCell ref="B363:B364"/>
    <mergeCell ref="B365:B366"/>
    <mergeCell ref="B367:B368"/>
    <mergeCell ref="B369:B370"/>
    <mergeCell ref="B371:B372"/>
    <mergeCell ref="B373:B374"/>
    <mergeCell ref="B375:B376"/>
    <mergeCell ref="B377:B378"/>
    <mergeCell ref="B379:B380"/>
    <mergeCell ref="B381:B382"/>
    <mergeCell ref="B383:B384"/>
    <mergeCell ref="B385:B386"/>
    <mergeCell ref="B387:B388"/>
    <mergeCell ref="B389:B390"/>
    <mergeCell ref="B323:B324"/>
    <mergeCell ref="B325:B326"/>
    <mergeCell ref="B327:B328"/>
    <mergeCell ref="B321:B322"/>
    <mergeCell ref="B255:B256"/>
    <mergeCell ref="B257:B258"/>
    <mergeCell ref="B259:B260"/>
    <mergeCell ref="B261:B262"/>
    <mergeCell ref="B263:B264"/>
    <mergeCell ref="B265:B266"/>
    <mergeCell ref="B267:B268"/>
    <mergeCell ref="B269:B270"/>
    <mergeCell ref="B271:B272"/>
    <mergeCell ref="B273:B274"/>
    <mergeCell ref="B275:B276"/>
    <mergeCell ref="B277:B278"/>
    <mergeCell ref="B279:B280"/>
    <mergeCell ref="B281:B282"/>
    <mergeCell ref="B283:B284"/>
    <mergeCell ref="B285:B286"/>
    <mergeCell ref="B287:B288"/>
    <mergeCell ref="B221:B222"/>
    <mergeCell ref="B223: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187:B188"/>
    <mergeCell ref="B189:B190"/>
    <mergeCell ref="B191:B192"/>
    <mergeCell ref="B193:B194"/>
    <mergeCell ref="B195:B196"/>
    <mergeCell ref="B197:B198"/>
    <mergeCell ref="B199:B200"/>
    <mergeCell ref="B201:B202"/>
    <mergeCell ref="B203:B204"/>
    <mergeCell ref="B205:B206"/>
    <mergeCell ref="B207:B208"/>
    <mergeCell ref="B209:B210"/>
    <mergeCell ref="B211:B212"/>
    <mergeCell ref="B213:B214"/>
    <mergeCell ref="B215:B216"/>
    <mergeCell ref="B217:B218"/>
    <mergeCell ref="B219:B220"/>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41:B42"/>
    <mergeCell ref="B43:B44"/>
    <mergeCell ref="B45:B46"/>
    <mergeCell ref="B47:B48"/>
    <mergeCell ref="B49:B50"/>
    <mergeCell ref="BA387:BA388"/>
    <mergeCell ref="BA389:BA390"/>
    <mergeCell ref="BA391:BA392"/>
    <mergeCell ref="BA393:BA394"/>
    <mergeCell ref="BA395:BA396"/>
    <mergeCell ref="BA397:BA398"/>
    <mergeCell ref="BA399:BA400"/>
    <mergeCell ref="BA401:BA402"/>
    <mergeCell ref="BA403:BA404"/>
    <mergeCell ref="BA353:BA354"/>
    <mergeCell ref="BA355:BA356"/>
    <mergeCell ref="BA357:BA358"/>
    <mergeCell ref="BA359:BA360"/>
    <mergeCell ref="BA361:BA362"/>
    <mergeCell ref="BA363:BA364"/>
    <mergeCell ref="BA365:BA366"/>
    <mergeCell ref="BA367:BA368"/>
    <mergeCell ref="BA369:BA370"/>
    <mergeCell ref="BA371:BA372"/>
    <mergeCell ref="BA373:BA374"/>
    <mergeCell ref="BA375:BA376"/>
    <mergeCell ref="BA377:BA378"/>
    <mergeCell ref="BA379:BA380"/>
    <mergeCell ref="BA381:BA382"/>
    <mergeCell ref="BA383:BA384"/>
    <mergeCell ref="BA385:BA386"/>
    <mergeCell ref="BA319:BA320"/>
    <mergeCell ref="BA321:BA322"/>
    <mergeCell ref="BA323:BA324"/>
    <mergeCell ref="BA325:BA326"/>
    <mergeCell ref="BA327:BA328"/>
    <mergeCell ref="BA329:BA330"/>
    <mergeCell ref="BA331:BA332"/>
    <mergeCell ref="BA333:BA334"/>
    <mergeCell ref="BA335:BA336"/>
    <mergeCell ref="BA337:BA338"/>
    <mergeCell ref="BA339:BA340"/>
    <mergeCell ref="BA341:BA342"/>
    <mergeCell ref="BA343:BA344"/>
    <mergeCell ref="BA345:BA346"/>
    <mergeCell ref="BA347:BA348"/>
    <mergeCell ref="BA349:BA350"/>
    <mergeCell ref="BA351:BA352"/>
    <mergeCell ref="BA285:BA286"/>
    <mergeCell ref="BA287:BA288"/>
    <mergeCell ref="BA289:BA290"/>
    <mergeCell ref="BA291:BA292"/>
    <mergeCell ref="BA293:BA294"/>
    <mergeCell ref="BA295:BA296"/>
    <mergeCell ref="BA297:BA298"/>
    <mergeCell ref="BA299:BA300"/>
    <mergeCell ref="BA301:BA302"/>
    <mergeCell ref="BA303:BA304"/>
    <mergeCell ref="BA305:BA306"/>
    <mergeCell ref="BA307:BA308"/>
    <mergeCell ref="BA309:BA310"/>
    <mergeCell ref="BA311:BA312"/>
    <mergeCell ref="BA313:BA314"/>
    <mergeCell ref="BA315:BA316"/>
    <mergeCell ref="BA317:BA318"/>
    <mergeCell ref="BA251:BA252"/>
    <mergeCell ref="BA253:BA254"/>
    <mergeCell ref="BA255:BA256"/>
    <mergeCell ref="BA257:BA258"/>
    <mergeCell ref="BA259:BA260"/>
    <mergeCell ref="BA261:BA262"/>
    <mergeCell ref="BA263:BA264"/>
    <mergeCell ref="BA265:BA266"/>
    <mergeCell ref="BA267:BA268"/>
    <mergeCell ref="BA269:BA270"/>
    <mergeCell ref="BA271:BA272"/>
    <mergeCell ref="BA273:BA274"/>
    <mergeCell ref="BA275:BA276"/>
    <mergeCell ref="BA277:BA278"/>
    <mergeCell ref="BA279:BA280"/>
    <mergeCell ref="BA281:BA282"/>
    <mergeCell ref="BA283:BA284"/>
    <mergeCell ref="BA217:BA218"/>
    <mergeCell ref="BA219:BA220"/>
    <mergeCell ref="BA221:BA222"/>
    <mergeCell ref="BA223:BA224"/>
    <mergeCell ref="BA225:BA226"/>
    <mergeCell ref="BA227:BA228"/>
    <mergeCell ref="BA229:BA230"/>
    <mergeCell ref="BA231:BA232"/>
    <mergeCell ref="BA233:BA234"/>
    <mergeCell ref="BA235:BA236"/>
    <mergeCell ref="BA237:BA238"/>
    <mergeCell ref="BA239:BA240"/>
    <mergeCell ref="BA241:BA242"/>
    <mergeCell ref="BA243:BA244"/>
    <mergeCell ref="BA245:BA246"/>
    <mergeCell ref="BA247:BA248"/>
    <mergeCell ref="BA249:BA250"/>
    <mergeCell ref="BA183:BA184"/>
    <mergeCell ref="BA185:BA186"/>
    <mergeCell ref="BA187:BA188"/>
    <mergeCell ref="BA189:BA190"/>
    <mergeCell ref="BA191:BA192"/>
    <mergeCell ref="BA193:BA194"/>
    <mergeCell ref="BA195:BA196"/>
    <mergeCell ref="BA197:BA198"/>
    <mergeCell ref="BA199:BA200"/>
    <mergeCell ref="BA201:BA202"/>
    <mergeCell ref="BA203:BA204"/>
    <mergeCell ref="BA205:BA206"/>
    <mergeCell ref="BA207:BA208"/>
    <mergeCell ref="BA209:BA210"/>
    <mergeCell ref="BA211:BA212"/>
    <mergeCell ref="BA213:BA214"/>
    <mergeCell ref="BA215:BA216"/>
    <mergeCell ref="BA149:BA150"/>
    <mergeCell ref="BA151:BA152"/>
    <mergeCell ref="BA153:BA154"/>
    <mergeCell ref="BA155:BA156"/>
    <mergeCell ref="BA157:BA158"/>
    <mergeCell ref="BA159:BA160"/>
    <mergeCell ref="BA161:BA162"/>
    <mergeCell ref="BA163:BA164"/>
    <mergeCell ref="BA165:BA166"/>
    <mergeCell ref="BA167:BA168"/>
    <mergeCell ref="BA169:BA170"/>
    <mergeCell ref="BA171:BA172"/>
    <mergeCell ref="BA173:BA174"/>
    <mergeCell ref="BA175:BA176"/>
    <mergeCell ref="BA177:BA178"/>
    <mergeCell ref="BA179:BA180"/>
    <mergeCell ref="BA181:BA182"/>
    <mergeCell ref="BA115:BA116"/>
    <mergeCell ref="BA117:BA118"/>
    <mergeCell ref="BA119:BA120"/>
    <mergeCell ref="BA121:BA122"/>
    <mergeCell ref="BA123:BA124"/>
    <mergeCell ref="BA125:BA126"/>
    <mergeCell ref="BA127:BA128"/>
    <mergeCell ref="BA129:BA130"/>
    <mergeCell ref="BA131:BA132"/>
    <mergeCell ref="BA133:BA134"/>
    <mergeCell ref="BA135:BA136"/>
    <mergeCell ref="BA137:BA138"/>
    <mergeCell ref="BA139:BA140"/>
    <mergeCell ref="BA141:BA142"/>
    <mergeCell ref="BA143:BA144"/>
    <mergeCell ref="BA145:BA146"/>
    <mergeCell ref="BA147:BA148"/>
    <mergeCell ref="BA81:BA82"/>
    <mergeCell ref="BA83:BA84"/>
    <mergeCell ref="BA85:BA86"/>
    <mergeCell ref="BA87:BA88"/>
    <mergeCell ref="BA89:BA90"/>
    <mergeCell ref="BA91:BA92"/>
    <mergeCell ref="BA93:BA94"/>
    <mergeCell ref="BA95:BA96"/>
    <mergeCell ref="BA97:BA98"/>
    <mergeCell ref="BA99:BA100"/>
    <mergeCell ref="BA101:BA102"/>
    <mergeCell ref="BA103:BA104"/>
    <mergeCell ref="BA105:BA106"/>
    <mergeCell ref="BA107:BA108"/>
    <mergeCell ref="BA109:BA110"/>
    <mergeCell ref="BA111:BA112"/>
    <mergeCell ref="BA113:BA114"/>
    <mergeCell ref="BA47:BA48"/>
    <mergeCell ref="BA49:BA50"/>
    <mergeCell ref="BA51:BA52"/>
    <mergeCell ref="BA53:BA54"/>
    <mergeCell ref="BA55:BA56"/>
    <mergeCell ref="BA57:BA58"/>
    <mergeCell ref="BA59:BA60"/>
    <mergeCell ref="BA61:BA62"/>
    <mergeCell ref="BA63:BA64"/>
    <mergeCell ref="BA65:BA66"/>
    <mergeCell ref="BA67:BA68"/>
    <mergeCell ref="BA69:BA70"/>
    <mergeCell ref="BA71:BA72"/>
    <mergeCell ref="BA73:BA74"/>
    <mergeCell ref="BA75:BA76"/>
    <mergeCell ref="BA77:BA78"/>
    <mergeCell ref="BA79:BA80"/>
    <mergeCell ref="BA15:BA16"/>
    <mergeCell ref="BA17:BA18"/>
    <mergeCell ref="BA19:BA20"/>
    <mergeCell ref="BA21:BA22"/>
    <mergeCell ref="BA23:BA24"/>
    <mergeCell ref="BA25:BA26"/>
    <mergeCell ref="BA27:BA28"/>
    <mergeCell ref="BA29:BA30"/>
    <mergeCell ref="BA31:BA32"/>
    <mergeCell ref="BA33:BA34"/>
    <mergeCell ref="BA35:BA36"/>
    <mergeCell ref="BA37:BA38"/>
    <mergeCell ref="BA39:BA40"/>
    <mergeCell ref="BA41:BA42"/>
    <mergeCell ref="BA43:BA44"/>
    <mergeCell ref="BA45:BA46"/>
    <mergeCell ref="AG39:AH40"/>
    <mergeCell ref="AI39:AI40"/>
    <mergeCell ref="AJ39:AJ40"/>
    <mergeCell ref="AG41:AH42"/>
    <mergeCell ref="AI41:AI42"/>
    <mergeCell ref="AJ41:AJ42"/>
    <mergeCell ref="AG43:AH44"/>
    <mergeCell ref="AI43:AI44"/>
    <mergeCell ref="AJ43:AJ44"/>
    <mergeCell ref="AG45:AH46"/>
    <mergeCell ref="AI45:AI46"/>
    <mergeCell ref="AJ45:AJ46"/>
    <mergeCell ref="AI31:AI32"/>
    <mergeCell ref="AJ31:AJ32"/>
    <mergeCell ref="AG33:AH34"/>
    <mergeCell ref="AI33:AI34"/>
    <mergeCell ref="AO383:AR384"/>
    <mergeCell ref="AO385:AR386"/>
    <mergeCell ref="AO387:AR388"/>
    <mergeCell ref="AO389:AR390"/>
    <mergeCell ref="AO391:AR392"/>
    <mergeCell ref="AO393:AR394"/>
    <mergeCell ref="AO395:AR396"/>
    <mergeCell ref="AO397:AR398"/>
    <mergeCell ref="AO399:AR400"/>
    <mergeCell ref="AO401:AR402"/>
    <mergeCell ref="AO403:AR404"/>
    <mergeCell ref="AJ199:AJ200"/>
    <mergeCell ref="AG201:AH202"/>
    <mergeCell ref="AI201:AI202"/>
    <mergeCell ref="AJ201:AJ202"/>
    <mergeCell ref="AG203:AH204"/>
    <mergeCell ref="AI203:AI204"/>
    <mergeCell ref="AJ203:AJ204"/>
    <mergeCell ref="AO205:AR206"/>
    <mergeCell ref="AO207:AR208"/>
    <mergeCell ref="AO209:AR210"/>
    <mergeCell ref="AO211:AR212"/>
    <mergeCell ref="AO213:AR214"/>
    <mergeCell ref="AO215:AR216"/>
    <mergeCell ref="AO217:AR218"/>
    <mergeCell ref="AO219:AR220"/>
    <mergeCell ref="AO221:AR222"/>
    <mergeCell ref="AO223:AR224"/>
    <mergeCell ref="AO225:AR226"/>
    <mergeCell ref="AG199:AH200"/>
    <mergeCell ref="AI199:AI200"/>
    <mergeCell ref="AO235:AR236"/>
    <mergeCell ref="AG197:AH198"/>
    <mergeCell ref="AI197:AI198"/>
    <mergeCell ref="AJ197:AJ198"/>
    <mergeCell ref="AG53:AH54"/>
    <mergeCell ref="AI53:AI54"/>
    <mergeCell ref="AJ53:AJ54"/>
    <mergeCell ref="AG55:AH56"/>
    <mergeCell ref="AI55:AI56"/>
    <mergeCell ref="AJ55:AJ56"/>
    <mergeCell ref="AG57:AH58"/>
    <mergeCell ref="AI57:AI58"/>
    <mergeCell ref="AJ57:AJ58"/>
    <mergeCell ref="AG59:AH60"/>
    <mergeCell ref="AI59:AI60"/>
    <mergeCell ref="AJ59:AJ60"/>
    <mergeCell ref="AG61:AH62"/>
    <mergeCell ref="AI61:AI62"/>
    <mergeCell ref="AJ61:AJ62"/>
    <mergeCell ref="AG63:AH64"/>
    <mergeCell ref="AI63:AI64"/>
    <mergeCell ref="AJ63:AJ64"/>
    <mergeCell ref="AI69:AI70"/>
    <mergeCell ref="AJ69:AJ70"/>
    <mergeCell ref="AG187:AH188"/>
    <mergeCell ref="AI187:AI188"/>
    <mergeCell ref="AJ187:AJ188"/>
    <mergeCell ref="AG189:AH190"/>
    <mergeCell ref="AI189:AI190"/>
    <mergeCell ref="AJ189:AJ190"/>
    <mergeCell ref="AG191:AH192"/>
    <mergeCell ref="AI191:AI192"/>
    <mergeCell ref="AJ191:AJ192"/>
    <mergeCell ref="AG195:AH196"/>
    <mergeCell ref="AI195:AI196"/>
    <mergeCell ref="AJ195:AJ196"/>
    <mergeCell ref="AG193:AH194"/>
    <mergeCell ref="AI193:AI194"/>
    <mergeCell ref="AJ193:AJ194"/>
    <mergeCell ref="AI73:AI74"/>
    <mergeCell ref="AJ73:AJ74"/>
    <mergeCell ref="AG75:AH76"/>
    <mergeCell ref="AI75:AI76"/>
    <mergeCell ref="AJ75:AJ76"/>
    <mergeCell ref="AG77:AH78"/>
    <mergeCell ref="AI77:AI78"/>
    <mergeCell ref="AJ77:AJ78"/>
    <mergeCell ref="AG79:AH80"/>
    <mergeCell ref="AI79:AI80"/>
    <mergeCell ref="AJ79:AJ80"/>
    <mergeCell ref="AG185:AH186"/>
    <mergeCell ref="AG23:AH24"/>
    <mergeCell ref="AI23:AI24"/>
    <mergeCell ref="AJ23:AJ24"/>
    <mergeCell ref="AG25:AH26"/>
    <mergeCell ref="AI25:AI26"/>
    <mergeCell ref="AJ25:AJ26"/>
    <mergeCell ref="AG27:AH28"/>
    <mergeCell ref="AG15:AH16"/>
    <mergeCell ref="AI15:AI16"/>
    <mergeCell ref="AJ15:AJ16"/>
    <mergeCell ref="AG17:AH18"/>
    <mergeCell ref="AI17:AI18"/>
    <mergeCell ref="AJ17:AJ18"/>
    <mergeCell ref="AG19:AH20"/>
    <mergeCell ref="AI19:AI20"/>
    <mergeCell ref="AJ19:AJ20"/>
    <mergeCell ref="AG21:AH22"/>
    <mergeCell ref="AI21:AI22"/>
    <mergeCell ref="AJ21:AJ22"/>
    <mergeCell ref="AI27:AI28"/>
    <mergeCell ref="AJ27:AJ28"/>
    <mergeCell ref="AG37:AH38"/>
    <mergeCell ref="AI37:AI38"/>
    <mergeCell ref="AJ37:AJ38"/>
    <mergeCell ref="AG49:AH50"/>
    <mergeCell ref="AI49:AI50"/>
    <mergeCell ref="AJ49:AJ50"/>
    <mergeCell ref="AG51:AH52"/>
    <mergeCell ref="AI51:AI52"/>
    <mergeCell ref="AJ51:AJ52"/>
    <mergeCell ref="AG175:AH176"/>
    <mergeCell ref="AI175:AI176"/>
    <mergeCell ref="AJ175:AJ176"/>
    <mergeCell ref="AG71:AH72"/>
    <mergeCell ref="AI71:AI72"/>
    <mergeCell ref="AG47:AH48"/>
    <mergeCell ref="AI47:AI48"/>
    <mergeCell ref="AJ47:AJ48"/>
    <mergeCell ref="AG29:AH30"/>
    <mergeCell ref="AI29:AI30"/>
    <mergeCell ref="AJ29:AJ30"/>
    <mergeCell ref="AG31:AH32"/>
    <mergeCell ref="AD187:AD188"/>
    <mergeCell ref="AE187:AE188"/>
    <mergeCell ref="AF187:AF188"/>
    <mergeCell ref="AI185:AI186"/>
    <mergeCell ref="AG177:AH178"/>
    <mergeCell ref="AI177:AI178"/>
    <mergeCell ref="AJ177:AJ178"/>
    <mergeCell ref="AG179:AH180"/>
    <mergeCell ref="AI179:AI180"/>
    <mergeCell ref="AJ179:AJ180"/>
    <mergeCell ref="AG181:AH182"/>
    <mergeCell ref="AI181:AI182"/>
    <mergeCell ref="AJ181:AJ182"/>
    <mergeCell ref="AG183:AH184"/>
    <mergeCell ref="AI183:AI184"/>
    <mergeCell ref="AJ183:AJ184"/>
    <mergeCell ref="AD67:AD68"/>
    <mergeCell ref="AE67:AE68"/>
    <mergeCell ref="AF67:AF68"/>
    <mergeCell ref="AG65:AH66"/>
    <mergeCell ref="AI65:AI66"/>
    <mergeCell ref="AJ65:AJ66"/>
    <mergeCell ref="AG67:AH68"/>
    <mergeCell ref="AG69:AH70"/>
    <mergeCell ref="AJ33:AJ34"/>
    <mergeCell ref="AG35:AH36"/>
    <mergeCell ref="AI35:AI36"/>
    <mergeCell ref="AJ35:AJ36"/>
    <mergeCell ref="W201:X202"/>
    <mergeCell ref="Y201:Y202"/>
    <mergeCell ref="Z201:Z202"/>
    <mergeCell ref="AA201:AA202"/>
    <mergeCell ref="AB201:AC202"/>
    <mergeCell ref="AD201:AD202"/>
    <mergeCell ref="AE201:AE202"/>
    <mergeCell ref="AF201:AF202"/>
    <mergeCell ref="W203:X204"/>
    <mergeCell ref="Y203:Y204"/>
    <mergeCell ref="Z203:Z204"/>
    <mergeCell ref="AA203:AA204"/>
    <mergeCell ref="AB203:AC204"/>
    <mergeCell ref="AD203:AD204"/>
    <mergeCell ref="AE203:AE204"/>
    <mergeCell ref="AF203:AF204"/>
    <mergeCell ref="W199:X200"/>
    <mergeCell ref="Y199:Y200"/>
    <mergeCell ref="Z199:Z200"/>
    <mergeCell ref="AA199:AA200"/>
    <mergeCell ref="W193:X194"/>
    <mergeCell ref="Y193:Y194"/>
    <mergeCell ref="Z193:Z194"/>
    <mergeCell ref="AA193:AA194"/>
    <mergeCell ref="AB193:AC194"/>
    <mergeCell ref="AD193:AD194"/>
    <mergeCell ref="AE193:AE194"/>
    <mergeCell ref="AF193:AF194"/>
    <mergeCell ref="W195:X196"/>
    <mergeCell ref="Y195:Y196"/>
    <mergeCell ref="Z195:Z196"/>
    <mergeCell ref="AA195:AA196"/>
    <mergeCell ref="AB195:AC196"/>
    <mergeCell ref="AD195:AD196"/>
    <mergeCell ref="AE195:AE196"/>
    <mergeCell ref="AF195:AF196"/>
    <mergeCell ref="W197:X198"/>
    <mergeCell ref="Y197:Y198"/>
    <mergeCell ref="Z197:Z198"/>
    <mergeCell ref="AA197:AA198"/>
    <mergeCell ref="AB197:AC198"/>
    <mergeCell ref="AD197:AD198"/>
    <mergeCell ref="AE197:AE198"/>
    <mergeCell ref="AF197:AF198"/>
    <mergeCell ref="W175:X176"/>
    <mergeCell ref="Y175:Y176"/>
    <mergeCell ref="Z175:Z176"/>
    <mergeCell ref="AA175:AA176"/>
    <mergeCell ref="W189:X190"/>
    <mergeCell ref="Y189:Y190"/>
    <mergeCell ref="Z189:Z190"/>
    <mergeCell ref="AA189:AA190"/>
    <mergeCell ref="AB189:AC190"/>
    <mergeCell ref="AD189:AD190"/>
    <mergeCell ref="AE189:AE190"/>
    <mergeCell ref="AF189:AF190"/>
    <mergeCell ref="W181:X182"/>
    <mergeCell ref="Y181:Y182"/>
    <mergeCell ref="Z181:Z182"/>
    <mergeCell ref="AA181:AA182"/>
    <mergeCell ref="AB181:AC182"/>
    <mergeCell ref="AD181:AD182"/>
    <mergeCell ref="AE181:AE182"/>
    <mergeCell ref="AF181:AF182"/>
    <mergeCell ref="W183:X184"/>
    <mergeCell ref="Y183:Y184"/>
    <mergeCell ref="Z183:Z184"/>
    <mergeCell ref="AA183:AA184"/>
    <mergeCell ref="AB183:AC184"/>
    <mergeCell ref="AD183:AD184"/>
    <mergeCell ref="AE183:AE184"/>
    <mergeCell ref="AF183:AF184"/>
    <mergeCell ref="AB175:AC176"/>
    <mergeCell ref="AD175:AD176"/>
    <mergeCell ref="AE175:AE176"/>
    <mergeCell ref="AF175:AF176"/>
    <mergeCell ref="W63:X64"/>
    <mergeCell ref="Y63:Y64"/>
    <mergeCell ref="Z63:Z64"/>
    <mergeCell ref="AA63:AA64"/>
    <mergeCell ref="AB63:AC64"/>
    <mergeCell ref="AD63:AD64"/>
    <mergeCell ref="AE63:AE64"/>
    <mergeCell ref="AF63:AF64"/>
    <mergeCell ref="W185:X186"/>
    <mergeCell ref="Y185:Y186"/>
    <mergeCell ref="Z185:Z186"/>
    <mergeCell ref="AA185:AA186"/>
    <mergeCell ref="AB185:AC186"/>
    <mergeCell ref="AD185:AD186"/>
    <mergeCell ref="AE185:AE186"/>
    <mergeCell ref="AF185:AF186"/>
    <mergeCell ref="AF71:AF72"/>
    <mergeCell ref="W73:X74"/>
    <mergeCell ref="Y73:Y74"/>
    <mergeCell ref="Z73:Z74"/>
    <mergeCell ref="W67:X68"/>
    <mergeCell ref="Y67:Y68"/>
    <mergeCell ref="Z67:Z68"/>
    <mergeCell ref="AA67:AA68"/>
    <mergeCell ref="W179:X180"/>
    <mergeCell ref="Y179:Y180"/>
    <mergeCell ref="Z179:Z180"/>
    <mergeCell ref="AA179:AA180"/>
    <mergeCell ref="AB179:AC180"/>
    <mergeCell ref="AD179:AD180"/>
    <mergeCell ref="AE179:AE180"/>
    <mergeCell ref="AF179:AF180"/>
    <mergeCell ref="W57:X58"/>
    <mergeCell ref="Y57:Y58"/>
    <mergeCell ref="Z57:Z58"/>
    <mergeCell ref="AA57:AA58"/>
    <mergeCell ref="AB57:AC58"/>
    <mergeCell ref="AD57:AD58"/>
    <mergeCell ref="AE57:AE58"/>
    <mergeCell ref="AF57:AF58"/>
    <mergeCell ref="W177:X178"/>
    <mergeCell ref="Y177:Y178"/>
    <mergeCell ref="Z177:Z178"/>
    <mergeCell ref="AA177:AA178"/>
    <mergeCell ref="AB177:AC178"/>
    <mergeCell ref="AD177:AD178"/>
    <mergeCell ref="AE177:AE178"/>
    <mergeCell ref="AF177:AF178"/>
    <mergeCell ref="W59:X60"/>
    <mergeCell ref="Y59:Y60"/>
    <mergeCell ref="Z59:Z60"/>
    <mergeCell ref="AA59:AA60"/>
    <mergeCell ref="AB59:AC60"/>
    <mergeCell ref="AD59:AD60"/>
    <mergeCell ref="AE59:AE60"/>
    <mergeCell ref="AF59:AF60"/>
    <mergeCell ref="W61:X62"/>
    <mergeCell ref="Y61:Y62"/>
    <mergeCell ref="Z61:Z62"/>
    <mergeCell ref="AA61:AA62"/>
    <mergeCell ref="AB61:AC62"/>
    <mergeCell ref="AD61:AD62"/>
    <mergeCell ref="AE61:AE62"/>
    <mergeCell ref="AF61:AF62"/>
    <mergeCell ref="W51:X52"/>
    <mergeCell ref="Y51:Y52"/>
    <mergeCell ref="Z51:Z52"/>
    <mergeCell ref="AA51:AA52"/>
    <mergeCell ref="AB51:AC52"/>
    <mergeCell ref="AD51:AD52"/>
    <mergeCell ref="AE51:AE52"/>
    <mergeCell ref="AF51:AF52"/>
    <mergeCell ref="W53:X54"/>
    <mergeCell ref="Y53:Y54"/>
    <mergeCell ref="Z53:Z54"/>
    <mergeCell ref="AA53:AA54"/>
    <mergeCell ref="AB53:AC54"/>
    <mergeCell ref="AD53:AD54"/>
    <mergeCell ref="AE53:AE54"/>
    <mergeCell ref="AF53:AF54"/>
    <mergeCell ref="W55:X56"/>
    <mergeCell ref="Y55:Y56"/>
    <mergeCell ref="Z55:Z56"/>
    <mergeCell ref="AA55:AA56"/>
    <mergeCell ref="AB55:AC56"/>
    <mergeCell ref="AD55:AD56"/>
    <mergeCell ref="AE55:AE56"/>
    <mergeCell ref="AF55:AF56"/>
    <mergeCell ref="W45:X46"/>
    <mergeCell ref="Y45:Y46"/>
    <mergeCell ref="Z45:Z46"/>
    <mergeCell ref="AA45:AA46"/>
    <mergeCell ref="AB45:AC46"/>
    <mergeCell ref="AD45:AD46"/>
    <mergeCell ref="AE45:AE46"/>
    <mergeCell ref="AF45:AF46"/>
    <mergeCell ref="W47:X48"/>
    <mergeCell ref="Y47:Y48"/>
    <mergeCell ref="Z47:Z48"/>
    <mergeCell ref="AA47:AA48"/>
    <mergeCell ref="AB47:AC48"/>
    <mergeCell ref="AD47:AD48"/>
    <mergeCell ref="AE47:AE48"/>
    <mergeCell ref="AF47:AF48"/>
    <mergeCell ref="W49:X50"/>
    <mergeCell ref="Y49:Y50"/>
    <mergeCell ref="Z49:Z50"/>
    <mergeCell ref="AA49:AA50"/>
    <mergeCell ref="AB49:AC50"/>
    <mergeCell ref="AD49:AD50"/>
    <mergeCell ref="AE49:AE50"/>
    <mergeCell ref="AF49:AF50"/>
    <mergeCell ref="W39:X40"/>
    <mergeCell ref="Y39:Y40"/>
    <mergeCell ref="Z39:Z40"/>
    <mergeCell ref="AA39:AA40"/>
    <mergeCell ref="AB39:AC40"/>
    <mergeCell ref="AD39:AD40"/>
    <mergeCell ref="AE39:AE40"/>
    <mergeCell ref="AF39:AF40"/>
    <mergeCell ref="W41:X42"/>
    <mergeCell ref="Y41:Y42"/>
    <mergeCell ref="Z41:Z42"/>
    <mergeCell ref="AA41:AA42"/>
    <mergeCell ref="AB41:AC42"/>
    <mergeCell ref="AD41:AD42"/>
    <mergeCell ref="AE41:AE42"/>
    <mergeCell ref="AF41:AF42"/>
    <mergeCell ref="W43:X44"/>
    <mergeCell ref="Y43:Y44"/>
    <mergeCell ref="Z43:Z44"/>
    <mergeCell ref="AA43:AA44"/>
    <mergeCell ref="AB43:AC44"/>
    <mergeCell ref="AD43:AD44"/>
    <mergeCell ref="AE43:AE44"/>
    <mergeCell ref="AF43:AF44"/>
    <mergeCell ref="AB33:AC34"/>
    <mergeCell ref="AD33:AD34"/>
    <mergeCell ref="AE33:AE34"/>
    <mergeCell ref="AF33:AF34"/>
    <mergeCell ref="W35:X36"/>
    <mergeCell ref="Y35:Y36"/>
    <mergeCell ref="Z35:Z36"/>
    <mergeCell ref="AA35:AA36"/>
    <mergeCell ref="AB35:AC36"/>
    <mergeCell ref="AD35:AD36"/>
    <mergeCell ref="AE35:AE36"/>
    <mergeCell ref="AF35:AF36"/>
    <mergeCell ref="W37:X38"/>
    <mergeCell ref="Y37:Y38"/>
    <mergeCell ref="Z37:Z38"/>
    <mergeCell ref="AA37:AA38"/>
    <mergeCell ref="AB37:AC38"/>
    <mergeCell ref="AD37:AD38"/>
    <mergeCell ref="AE37:AE38"/>
    <mergeCell ref="AF37:AF38"/>
    <mergeCell ref="W29:X30"/>
    <mergeCell ref="Y29:Y30"/>
    <mergeCell ref="Z29:Z30"/>
    <mergeCell ref="AA29:AA30"/>
    <mergeCell ref="AB29:AC30"/>
    <mergeCell ref="AD29:AD30"/>
    <mergeCell ref="AE29:AE30"/>
    <mergeCell ref="AF29:AF30"/>
    <mergeCell ref="AF21:AF22"/>
    <mergeCell ref="W23:X24"/>
    <mergeCell ref="Y23:Y24"/>
    <mergeCell ref="Z23:Z24"/>
    <mergeCell ref="AA23:AA24"/>
    <mergeCell ref="AE19:AE20"/>
    <mergeCell ref="AF19:AF20"/>
    <mergeCell ref="AB23:AC24"/>
    <mergeCell ref="AD23:AD24"/>
    <mergeCell ref="AE23:AE24"/>
    <mergeCell ref="AF23:AF24"/>
    <mergeCell ref="AD19:AD20"/>
    <mergeCell ref="W69:X70"/>
    <mergeCell ref="Y69:Y70"/>
    <mergeCell ref="Z69:Z70"/>
    <mergeCell ref="AA69:AA70"/>
    <mergeCell ref="AB69:AC70"/>
    <mergeCell ref="AD69:AD70"/>
    <mergeCell ref="V185:V186"/>
    <mergeCell ref="W25:X26"/>
    <mergeCell ref="Y25:Y26"/>
    <mergeCell ref="Z25:Z26"/>
    <mergeCell ref="AA25:AA26"/>
    <mergeCell ref="AB25:AC26"/>
    <mergeCell ref="AD25:AD26"/>
    <mergeCell ref="AE25:AE26"/>
    <mergeCell ref="AF25:AF26"/>
    <mergeCell ref="W27:X28"/>
    <mergeCell ref="Y27:Y28"/>
    <mergeCell ref="Z27:Z28"/>
    <mergeCell ref="AA27:AA28"/>
    <mergeCell ref="AB27:AC28"/>
    <mergeCell ref="AD27:AD28"/>
    <mergeCell ref="AE27:AE28"/>
    <mergeCell ref="AF27:AF28"/>
    <mergeCell ref="W31:X32"/>
    <mergeCell ref="V77:V78"/>
    <mergeCell ref="V75:V76"/>
    <mergeCell ref="V63:V64"/>
    <mergeCell ref="AE65:AE66"/>
    <mergeCell ref="AF65:AF66"/>
    <mergeCell ref="Y31:Y32"/>
    <mergeCell ref="Z31:Z32"/>
    <mergeCell ref="AA31:AA32"/>
    <mergeCell ref="O403:O404"/>
    <mergeCell ref="P403:P404"/>
    <mergeCell ref="Q403:Q404"/>
    <mergeCell ref="R403:S404"/>
    <mergeCell ref="T403:T404"/>
    <mergeCell ref="U403:U404"/>
    <mergeCell ref="V403:V404"/>
    <mergeCell ref="AK403:AN403"/>
    <mergeCell ref="AK404:AN404"/>
    <mergeCell ref="C403:C404"/>
    <mergeCell ref="D403:D404"/>
    <mergeCell ref="E403:E404"/>
    <mergeCell ref="G403:G404"/>
    <mergeCell ref="H403:H404"/>
    <mergeCell ref="I403:J404"/>
    <mergeCell ref="K403:K404"/>
    <mergeCell ref="L403:L404"/>
    <mergeCell ref="M403:N404"/>
    <mergeCell ref="W403:X404"/>
    <mergeCell ref="Y403:Y404"/>
    <mergeCell ref="Z403:Z404"/>
    <mergeCell ref="AA403:AA404"/>
    <mergeCell ref="AB403:AC404"/>
    <mergeCell ref="AD403:AD404"/>
    <mergeCell ref="AE403:AE404"/>
    <mergeCell ref="AF403:AF404"/>
    <mergeCell ref="AG403:AH404"/>
    <mergeCell ref="AI403:AI404"/>
    <mergeCell ref="AJ403:AJ404"/>
    <mergeCell ref="F403:F404"/>
    <mergeCell ref="O401:O402"/>
    <mergeCell ref="P401:P402"/>
    <mergeCell ref="Q401:Q402"/>
    <mergeCell ref="R401:S402"/>
    <mergeCell ref="T401:T402"/>
    <mergeCell ref="U401:U402"/>
    <mergeCell ref="V401:V402"/>
    <mergeCell ref="AK401:AN401"/>
    <mergeCell ref="AK402:AN402"/>
    <mergeCell ref="C401:C402"/>
    <mergeCell ref="D401:D402"/>
    <mergeCell ref="E401:E402"/>
    <mergeCell ref="G401:G402"/>
    <mergeCell ref="H401:H402"/>
    <mergeCell ref="I401:J402"/>
    <mergeCell ref="K401:K402"/>
    <mergeCell ref="L401:L402"/>
    <mergeCell ref="M401:N402"/>
    <mergeCell ref="W401:X402"/>
    <mergeCell ref="Y401:Y402"/>
    <mergeCell ref="Z401:Z402"/>
    <mergeCell ref="AA401:AA402"/>
    <mergeCell ref="AB401:AC402"/>
    <mergeCell ref="AD401:AD402"/>
    <mergeCell ref="AE401:AE402"/>
    <mergeCell ref="AF401:AF402"/>
    <mergeCell ref="AG401:AH402"/>
    <mergeCell ref="AI401:AI402"/>
    <mergeCell ref="AJ401:AJ402"/>
    <mergeCell ref="F401:F402"/>
    <mergeCell ref="O399:O400"/>
    <mergeCell ref="P399:P400"/>
    <mergeCell ref="Q399:Q400"/>
    <mergeCell ref="R399:S400"/>
    <mergeCell ref="T399:T400"/>
    <mergeCell ref="U399:U400"/>
    <mergeCell ref="V399:V400"/>
    <mergeCell ref="AK399:AN399"/>
    <mergeCell ref="AK400:AN400"/>
    <mergeCell ref="C399:C400"/>
    <mergeCell ref="D399:D400"/>
    <mergeCell ref="E399:E400"/>
    <mergeCell ref="G399:G400"/>
    <mergeCell ref="H399:H400"/>
    <mergeCell ref="I399:J400"/>
    <mergeCell ref="K399:K400"/>
    <mergeCell ref="L399:L400"/>
    <mergeCell ref="M399:N400"/>
    <mergeCell ref="W399:X400"/>
    <mergeCell ref="Y399:Y400"/>
    <mergeCell ref="Z399:Z400"/>
    <mergeCell ref="AA399:AA400"/>
    <mergeCell ref="AB399:AC400"/>
    <mergeCell ref="AD399:AD400"/>
    <mergeCell ref="AE399:AE400"/>
    <mergeCell ref="AF399:AF400"/>
    <mergeCell ref="AG399:AH400"/>
    <mergeCell ref="AI399:AI400"/>
    <mergeCell ref="AJ399:AJ400"/>
    <mergeCell ref="F399:F400"/>
    <mergeCell ref="O397:O398"/>
    <mergeCell ref="P397:P398"/>
    <mergeCell ref="Q397:Q398"/>
    <mergeCell ref="R397:S398"/>
    <mergeCell ref="T397:T398"/>
    <mergeCell ref="U397:U398"/>
    <mergeCell ref="V397:V398"/>
    <mergeCell ref="AK397:AN397"/>
    <mergeCell ref="AK398:AN398"/>
    <mergeCell ref="C397:C398"/>
    <mergeCell ref="D397:D398"/>
    <mergeCell ref="E397:E398"/>
    <mergeCell ref="G397:G398"/>
    <mergeCell ref="H397:H398"/>
    <mergeCell ref="I397:J398"/>
    <mergeCell ref="K397:K398"/>
    <mergeCell ref="L397:L398"/>
    <mergeCell ref="M397:N398"/>
    <mergeCell ref="W397:X398"/>
    <mergeCell ref="Y397:Y398"/>
    <mergeCell ref="Z397:Z398"/>
    <mergeCell ref="AA397:AA398"/>
    <mergeCell ref="AB397:AC398"/>
    <mergeCell ref="AD397:AD398"/>
    <mergeCell ref="AE397:AE398"/>
    <mergeCell ref="AF397:AF398"/>
    <mergeCell ref="AG397:AH398"/>
    <mergeCell ref="AI397:AI398"/>
    <mergeCell ref="AJ397:AJ398"/>
    <mergeCell ref="F397:F398"/>
    <mergeCell ref="O395:O396"/>
    <mergeCell ref="P395:P396"/>
    <mergeCell ref="Q395:Q396"/>
    <mergeCell ref="R395:S396"/>
    <mergeCell ref="T395:T396"/>
    <mergeCell ref="U395:U396"/>
    <mergeCell ref="V395:V396"/>
    <mergeCell ref="AK395:AN395"/>
    <mergeCell ref="AK396:AN396"/>
    <mergeCell ref="C395:C396"/>
    <mergeCell ref="D395:D396"/>
    <mergeCell ref="E395:E396"/>
    <mergeCell ref="G395:G396"/>
    <mergeCell ref="H395:H396"/>
    <mergeCell ref="I395:J396"/>
    <mergeCell ref="K395:K396"/>
    <mergeCell ref="L395:L396"/>
    <mergeCell ref="M395:N396"/>
    <mergeCell ref="W395:X396"/>
    <mergeCell ref="Y395:Y396"/>
    <mergeCell ref="Z395:Z396"/>
    <mergeCell ref="AA395:AA396"/>
    <mergeCell ref="AB395:AC396"/>
    <mergeCell ref="AD395:AD396"/>
    <mergeCell ref="AE395:AE396"/>
    <mergeCell ref="AF395:AF396"/>
    <mergeCell ref="AG395:AH396"/>
    <mergeCell ref="AI395:AI396"/>
    <mergeCell ref="AJ395:AJ396"/>
    <mergeCell ref="F395:F396"/>
    <mergeCell ref="O393:O394"/>
    <mergeCell ref="P393:P394"/>
    <mergeCell ref="Q393:Q394"/>
    <mergeCell ref="R393:S394"/>
    <mergeCell ref="T393:T394"/>
    <mergeCell ref="U393:U394"/>
    <mergeCell ref="V393:V394"/>
    <mergeCell ref="AK393:AN393"/>
    <mergeCell ref="AK394:AN394"/>
    <mergeCell ref="C393:C394"/>
    <mergeCell ref="D393:D394"/>
    <mergeCell ref="E393:E394"/>
    <mergeCell ref="G393:G394"/>
    <mergeCell ref="H393:H394"/>
    <mergeCell ref="I393:J394"/>
    <mergeCell ref="K393:K394"/>
    <mergeCell ref="L393:L394"/>
    <mergeCell ref="M393:N394"/>
    <mergeCell ref="W393:X394"/>
    <mergeCell ref="Y393:Y394"/>
    <mergeCell ref="Z393:Z394"/>
    <mergeCell ref="AA393:AA394"/>
    <mergeCell ref="AB393:AC394"/>
    <mergeCell ref="AD393:AD394"/>
    <mergeCell ref="AE393:AE394"/>
    <mergeCell ref="AF393:AF394"/>
    <mergeCell ref="AG393:AH394"/>
    <mergeCell ref="AI393:AI394"/>
    <mergeCell ref="AJ393:AJ394"/>
    <mergeCell ref="F393:F394"/>
    <mergeCell ref="O391:O392"/>
    <mergeCell ref="P391:P392"/>
    <mergeCell ref="Q391:Q392"/>
    <mergeCell ref="R391:S392"/>
    <mergeCell ref="T391:T392"/>
    <mergeCell ref="U391:U392"/>
    <mergeCell ref="V391:V392"/>
    <mergeCell ref="AK391:AN391"/>
    <mergeCell ref="AK392:AN392"/>
    <mergeCell ref="C391:C392"/>
    <mergeCell ref="D391:D392"/>
    <mergeCell ref="E391:E392"/>
    <mergeCell ref="G391:G392"/>
    <mergeCell ref="H391:H392"/>
    <mergeCell ref="I391:J392"/>
    <mergeCell ref="K391:K392"/>
    <mergeCell ref="L391:L392"/>
    <mergeCell ref="M391:N392"/>
    <mergeCell ref="W391:X392"/>
    <mergeCell ref="Y391:Y392"/>
    <mergeCell ref="Z391:Z392"/>
    <mergeCell ref="AA391:AA392"/>
    <mergeCell ref="AB391:AC392"/>
    <mergeCell ref="AD391:AD392"/>
    <mergeCell ref="AE391:AE392"/>
    <mergeCell ref="AF391:AF392"/>
    <mergeCell ref="AG391:AH392"/>
    <mergeCell ref="AI391:AI392"/>
    <mergeCell ref="AJ391:AJ392"/>
    <mergeCell ref="F391:F392"/>
    <mergeCell ref="O389:O390"/>
    <mergeCell ref="P389:P390"/>
    <mergeCell ref="Q389:Q390"/>
    <mergeCell ref="R389:S390"/>
    <mergeCell ref="T389:T390"/>
    <mergeCell ref="U389:U390"/>
    <mergeCell ref="V389:V390"/>
    <mergeCell ref="AK389:AN389"/>
    <mergeCell ref="AK390:AN390"/>
    <mergeCell ref="C389:C390"/>
    <mergeCell ref="D389:D390"/>
    <mergeCell ref="E389:E390"/>
    <mergeCell ref="G389:G390"/>
    <mergeCell ref="H389:H390"/>
    <mergeCell ref="I389:J390"/>
    <mergeCell ref="K389:K390"/>
    <mergeCell ref="L389:L390"/>
    <mergeCell ref="M389:N390"/>
    <mergeCell ref="W389:X390"/>
    <mergeCell ref="Y389:Y390"/>
    <mergeCell ref="Z389:Z390"/>
    <mergeCell ref="AA389:AA390"/>
    <mergeCell ref="AB389:AC390"/>
    <mergeCell ref="AD389:AD390"/>
    <mergeCell ref="AE389:AE390"/>
    <mergeCell ref="AF389:AF390"/>
    <mergeCell ref="AG389:AH390"/>
    <mergeCell ref="AI389:AI390"/>
    <mergeCell ref="AJ389:AJ390"/>
    <mergeCell ref="F389:F390"/>
    <mergeCell ref="O387:O388"/>
    <mergeCell ref="P387:P388"/>
    <mergeCell ref="Q387:Q388"/>
    <mergeCell ref="R387:S388"/>
    <mergeCell ref="T387:T388"/>
    <mergeCell ref="U387:U388"/>
    <mergeCell ref="V387:V388"/>
    <mergeCell ref="AK387:AN387"/>
    <mergeCell ref="AK388:AN388"/>
    <mergeCell ref="C387:C388"/>
    <mergeCell ref="D387:D388"/>
    <mergeCell ref="E387:E388"/>
    <mergeCell ref="G387:G388"/>
    <mergeCell ref="H387:H388"/>
    <mergeCell ref="I387:J388"/>
    <mergeCell ref="K387:K388"/>
    <mergeCell ref="L387:L388"/>
    <mergeCell ref="M387:N388"/>
    <mergeCell ref="W387:X388"/>
    <mergeCell ref="Y387:Y388"/>
    <mergeCell ref="Z387:Z388"/>
    <mergeCell ref="AA387:AA388"/>
    <mergeCell ref="AB387:AC388"/>
    <mergeCell ref="AD387:AD388"/>
    <mergeCell ref="AE387:AE388"/>
    <mergeCell ref="AF387:AF388"/>
    <mergeCell ref="AG387:AH388"/>
    <mergeCell ref="AI387:AI388"/>
    <mergeCell ref="AJ387:AJ388"/>
    <mergeCell ref="F387:F388"/>
    <mergeCell ref="O385:O386"/>
    <mergeCell ref="P385:P386"/>
    <mergeCell ref="Q385:Q386"/>
    <mergeCell ref="R385:S386"/>
    <mergeCell ref="T385:T386"/>
    <mergeCell ref="U385:U386"/>
    <mergeCell ref="V385:V386"/>
    <mergeCell ref="AK385:AN385"/>
    <mergeCell ref="AK386:AN386"/>
    <mergeCell ref="C385:C386"/>
    <mergeCell ref="D385:D386"/>
    <mergeCell ref="E385:E386"/>
    <mergeCell ref="G385:G386"/>
    <mergeCell ref="H385:H386"/>
    <mergeCell ref="I385:J386"/>
    <mergeCell ref="K385:K386"/>
    <mergeCell ref="L385:L386"/>
    <mergeCell ref="M385:N386"/>
    <mergeCell ref="W385:X386"/>
    <mergeCell ref="Y385:Y386"/>
    <mergeCell ref="Z385:Z386"/>
    <mergeCell ref="AA385:AA386"/>
    <mergeCell ref="AB385:AC386"/>
    <mergeCell ref="AD385:AD386"/>
    <mergeCell ref="AE385:AE386"/>
    <mergeCell ref="AF385:AF386"/>
    <mergeCell ref="AG385:AH386"/>
    <mergeCell ref="AI385:AI386"/>
    <mergeCell ref="AJ385:AJ386"/>
    <mergeCell ref="F385:F386"/>
    <mergeCell ref="O383:O384"/>
    <mergeCell ref="P383:P384"/>
    <mergeCell ref="Q383:Q384"/>
    <mergeCell ref="R383:S384"/>
    <mergeCell ref="T383:T384"/>
    <mergeCell ref="U383:U384"/>
    <mergeCell ref="V383:V384"/>
    <mergeCell ref="AK383:AN383"/>
    <mergeCell ref="AK384:AN384"/>
    <mergeCell ref="C383:C384"/>
    <mergeCell ref="D383:D384"/>
    <mergeCell ref="E383:E384"/>
    <mergeCell ref="G383:G384"/>
    <mergeCell ref="H383:H384"/>
    <mergeCell ref="I383:J384"/>
    <mergeCell ref="K383:K384"/>
    <mergeCell ref="L383:L384"/>
    <mergeCell ref="M383:N384"/>
    <mergeCell ref="W383:X384"/>
    <mergeCell ref="Y383:Y384"/>
    <mergeCell ref="Z383:Z384"/>
    <mergeCell ref="AA383:AA384"/>
    <mergeCell ref="AB383:AC384"/>
    <mergeCell ref="AD383:AD384"/>
    <mergeCell ref="AE383:AE384"/>
    <mergeCell ref="AF383:AF384"/>
    <mergeCell ref="AG383:AH384"/>
    <mergeCell ref="AI383:AI384"/>
    <mergeCell ref="AJ383:AJ384"/>
    <mergeCell ref="F383:F384"/>
    <mergeCell ref="O381:O382"/>
    <mergeCell ref="P381:P382"/>
    <mergeCell ref="Q381:Q382"/>
    <mergeCell ref="R381:S382"/>
    <mergeCell ref="T381:T382"/>
    <mergeCell ref="U381:U382"/>
    <mergeCell ref="V381:V382"/>
    <mergeCell ref="AK381:AN381"/>
    <mergeCell ref="AK382:AN382"/>
    <mergeCell ref="C381:C382"/>
    <mergeCell ref="D381:D382"/>
    <mergeCell ref="E381:E382"/>
    <mergeCell ref="G381:G382"/>
    <mergeCell ref="H381:H382"/>
    <mergeCell ref="I381:J382"/>
    <mergeCell ref="K381:K382"/>
    <mergeCell ref="L381:L382"/>
    <mergeCell ref="M381:N382"/>
    <mergeCell ref="W381:X382"/>
    <mergeCell ref="Y381:Y382"/>
    <mergeCell ref="Z381:Z382"/>
    <mergeCell ref="AA381:AA382"/>
    <mergeCell ref="AB381:AC382"/>
    <mergeCell ref="AD381:AD382"/>
    <mergeCell ref="AE381:AE382"/>
    <mergeCell ref="AF381:AF382"/>
    <mergeCell ref="AG381:AH382"/>
    <mergeCell ref="AI381:AI382"/>
    <mergeCell ref="AJ381:AJ382"/>
    <mergeCell ref="F381:F382"/>
    <mergeCell ref="O379:O380"/>
    <mergeCell ref="P379:P380"/>
    <mergeCell ref="Q379:Q380"/>
    <mergeCell ref="R379:S380"/>
    <mergeCell ref="T379:T380"/>
    <mergeCell ref="U379:U380"/>
    <mergeCell ref="V379:V380"/>
    <mergeCell ref="AK379:AN379"/>
    <mergeCell ref="AK380:AN380"/>
    <mergeCell ref="C379:C380"/>
    <mergeCell ref="D379:D380"/>
    <mergeCell ref="E379:E380"/>
    <mergeCell ref="G379:G380"/>
    <mergeCell ref="H379:H380"/>
    <mergeCell ref="I379:J380"/>
    <mergeCell ref="K379:K380"/>
    <mergeCell ref="L379:L380"/>
    <mergeCell ref="M379:N380"/>
    <mergeCell ref="W379:X380"/>
    <mergeCell ref="Y379:Y380"/>
    <mergeCell ref="Z379:Z380"/>
    <mergeCell ref="AA379:AA380"/>
    <mergeCell ref="AB379:AC380"/>
    <mergeCell ref="AD379:AD380"/>
    <mergeCell ref="AE379:AE380"/>
    <mergeCell ref="AF379:AF380"/>
    <mergeCell ref="AG379:AH380"/>
    <mergeCell ref="AI379:AI380"/>
    <mergeCell ref="AJ379:AJ380"/>
    <mergeCell ref="F379:F380"/>
    <mergeCell ref="O377:O378"/>
    <mergeCell ref="P377:P378"/>
    <mergeCell ref="Q377:Q378"/>
    <mergeCell ref="R377:S378"/>
    <mergeCell ref="T377:T378"/>
    <mergeCell ref="U377:U378"/>
    <mergeCell ref="V377:V378"/>
    <mergeCell ref="AK377:AN377"/>
    <mergeCell ref="AK378:AN378"/>
    <mergeCell ref="C377:C378"/>
    <mergeCell ref="D377:D378"/>
    <mergeCell ref="E377:E378"/>
    <mergeCell ref="G377:G378"/>
    <mergeCell ref="H377:H378"/>
    <mergeCell ref="I377:J378"/>
    <mergeCell ref="K377:K378"/>
    <mergeCell ref="L377:L378"/>
    <mergeCell ref="M377:N378"/>
    <mergeCell ref="W377:X378"/>
    <mergeCell ref="Y377:Y378"/>
    <mergeCell ref="Z377:Z378"/>
    <mergeCell ref="AA377:AA378"/>
    <mergeCell ref="AB377:AC378"/>
    <mergeCell ref="AD377:AD378"/>
    <mergeCell ref="AE377:AE378"/>
    <mergeCell ref="AF377:AF378"/>
    <mergeCell ref="AG377:AH378"/>
    <mergeCell ref="AI377:AI378"/>
    <mergeCell ref="AJ377:AJ378"/>
    <mergeCell ref="F377:F378"/>
    <mergeCell ref="O375:O376"/>
    <mergeCell ref="P375:P376"/>
    <mergeCell ref="Q375:Q376"/>
    <mergeCell ref="R375:S376"/>
    <mergeCell ref="T375:T376"/>
    <mergeCell ref="U375:U376"/>
    <mergeCell ref="V375:V376"/>
    <mergeCell ref="AK375:AN375"/>
    <mergeCell ref="AK376:AN376"/>
    <mergeCell ref="C375:C376"/>
    <mergeCell ref="D375:D376"/>
    <mergeCell ref="E375:E376"/>
    <mergeCell ref="G375:G376"/>
    <mergeCell ref="H375:H376"/>
    <mergeCell ref="I375:J376"/>
    <mergeCell ref="K375:K376"/>
    <mergeCell ref="L375:L376"/>
    <mergeCell ref="M375:N376"/>
    <mergeCell ref="W375:X376"/>
    <mergeCell ref="Y375:Y376"/>
    <mergeCell ref="Z375:Z376"/>
    <mergeCell ref="AA375:AA376"/>
    <mergeCell ref="AB375:AC376"/>
    <mergeCell ref="AD375:AD376"/>
    <mergeCell ref="AE375:AE376"/>
    <mergeCell ref="AF375:AF376"/>
    <mergeCell ref="AG375:AH376"/>
    <mergeCell ref="AI375:AI376"/>
    <mergeCell ref="AJ375:AJ376"/>
    <mergeCell ref="F375:F376"/>
    <mergeCell ref="O373:O374"/>
    <mergeCell ref="P373:P374"/>
    <mergeCell ref="Q373:Q374"/>
    <mergeCell ref="R373:S374"/>
    <mergeCell ref="T373:T374"/>
    <mergeCell ref="U373:U374"/>
    <mergeCell ref="V373:V374"/>
    <mergeCell ref="AK373:AN373"/>
    <mergeCell ref="AK374:AN374"/>
    <mergeCell ref="C373:C374"/>
    <mergeCell ref="D373:D374"/>
    <mergeCell ref="E373:E374"/>
    <mergeCell ref="G373:G374"/>
    <mergeCell ref="H373:H374"/>
    <mergeCell ref="I373:J374"/>
    <mergeCell ref="K373:K374"/>
    <mergeCell ref="L373:L374"/>
    <mergeCell ref="M373:N374"/>
    <mergeCell ref="W373:X374"/>
    <mergeCell ref="Y373:Y374"/>
    <mergeCell ref="Z373:Z374"/>
    <mergeCell ref="AA373:AA374"/>
    <mergeCell ref="AB373:AC374"/>
    <mergeCell ref="AD373:AD374"/>
    <mergeCell ref="AE373:AE374"/>
    <mergeCell ref="AF373:AF374"/>
    <mergeCell ref="AG373:AH374"/>
    <mergeCell ref="AI373:AI374"/>
    <mergeCell ref="AJ373:AJ374"/>
    <mergeCell ref="F373:F374"/>
    <mergeCell ref="O371:O372"/>
    <mergeCell ref="P371:P372"/>
    <mergeCell ref="Q371:Q372"/>
    <mergeCell ref="R371:S372"/>
    <mergeCell ref="T371:T372"/>
    <mergeCell ref="U371:U372"/>
    <mergeCell ref="V371:V372"/>
    <mergeCell ref="AK371:AN371"/>
    <mergeCell ref="AK372:AN372"/>
    <mergeCell ref="C371:C372"/>
    <mergeCell ref="D371:D372"/>
    <mergeCell ref="E371:E372"/>
    <mergeCell ref="G371:G372"/>
    <mergeCell ref="H371:H372"/>
    <mergeCell ref="I371:J372"/>
    <mergeCell ref="K371:K372"/>
    <mergeCell ref="L371:L372"/>
    <mergeCell ref="M371:N372"/>
    <mergeCell ref="W371:X372"/>
    <mergeCell ref="Y371:Y372"/>
    <mergeCell ref="Z371:Z372"/>
    <mergeCell ref="AA371:AA372"/>
    <mergeCell ref="AB371:AC372"/>
    <mergeCell ref="AD371:AD372"/>
    <mergeCell ref="AE371:AE372"/>
    <mergeCell ref="AF371:AF372"/>
    <mergeCell ref="AG371:AH372"/>
    <mergeCell ref="AI371:AI372"/>
    <mergeCell ref="AJ371:AJ372"/>
    <mergeCell ref="F371:F372"/>
    <mergeCell ref="O369:O370"/>
    <mergeCell ref="P369:P370"/>
    <mergeCell ref="Q369:Q370"/>
    <mergeCell ref="R369:S370"/>
    <mergeCell ref="T369:T370"/>
    <mergeCell ref="U369:U370"/>
    <mergeCell ref="V369:V370"/>
    <mergeCell ref="AK369:AN369"/>
    <mergeCell ref="AK370:AN370"/>
    <mergeCell ref="C369:C370"/>
    <mergeCell ref="D369:D370"/>
    <mergeCell ref="E369:E370"/>
    <mergeCell ref="G369:G370"/>
    <mergeCell ref="H369:H370"/>
    <mergeCell ref="I369:J370"/>
    <mergeCell ref="K369:K370"/>
    <mergeCell ref="L369:L370"/>
    <mergeCell ref="M369:N370"/>
    <mergeCell ref="W369:X370"/>
    <mergeCell ref="Y369:Y370"/>
    <mergeCell ref="Z369:Z370"/>
    <mergeCell ref="AA369:AA370"/>
    <mergeCell ref="AB369:AC370"/>
    <mergeCell ref="AD369:AD370"/>
    <mergeCell ref="AE369:AE370"/>
    <mergeCell ref="AF369:AF370"/>
    <mergeCell ref="AG369:AH370"/>
    <mergeCell ref="AI369:AI370"/>
    <mergeCell ref="AJ369:AJ370"/>
    <mergeCell ref="F369:F370"/>
    <mergeCell ref="O367:O368"/>
    <mergeCell ref="P367:P368"/>
    <mergeCell ref="Q367:Q368"/>
    <mergeCell ref="R367:S368"/>
    <mergeCell ref="T367:T368"/>
    <mergeCell ref="U367:U368"/>
    <mergeCell ref="V367:V368"/>
    <mergeCell ref="AK367:AN367"/>
    <mergeCell ref="AK368:AN368"/>
    <mergeCell ref="C367:C368"/>
    <mergeCell ref="D367:D368"/>
    <mergeCell ref="E367:E368"/>
    <mergeCell ref="G367:G368"/>
    <mergeCell ref="H367:H368"/>
    <mergeCell ref="I367:J368"/>
    <mergeCell ref="K367:K368"/>
    <mergeCell ref="L367:L368"/>
    <mergeCell ref="M367:N368"/>
    <mergeCell ref="W367:X368"/>
    <mergeCell ref="Y367:Y368"/>
    <mergeCell ref="Z367:Z368"/>
    <mergeCell ref="AA367:AA368"/>
    <mergeCell ref="AB367:AC368"/>
    <mergeCell ref="AD367:AD368"/>
    <mergeCell ref="AE367:AE368"/>
    <mergeCell ref="AF367:AF368"/>
    <mergeCell ref="AG367:AH368"/>
    <mergeCell ref="AI367:AI368"/>
    <mergeCell ref="AJ367:AJ368"/>
    <mergeCell ref="F367:F368"/>
    <mergeCell ref="O365:O366"/>
    <mergeCell ref="P365:P366"/>
    <mergeCell ref="Q365:Q366"/>
    <mergeCell ref="R365:S366"/>
    <mergeCell ref="T365:T366"/>
    <mergeCell ref="U365:U366"/>
    <mergeCell ref="V365:V366"/>
    <mergeCell ref="AK365:AN365"/>
    <mergeCell ref="AK366:AN366"/>
    <mergeCell ref="C365:C366"/>
    <mergeCell ref="D365:D366"/>
    <mergeCell ref="E365:E366"/>
    <mergeCell ref="G365:G366"/>
    <mergeCell ref="H365:H366"/>
    <mergeCell ref="I365:J366"/>
    <mergeCell ref="K365:K366"/>
    <mergeCell ref="L365:L366"/>
    <mergeCell ref="M365:N366"/>
    <mergeCell ref="W365:X366"/>
    <mergeCell ref="Y365:Y366"/>
    <mergeCell ref="Z365:Z366"/>
    <mergeCell ref="AA365:AA366"/>
    <mergeCell ref="AB365:AC366"/>
    <mergeCell ref="AD365:AD366"/>
    <mergeCell ref="AE365:AE366"/>
    <mergeCell ref="AF365:AF366"/>
    <mergeCell ref="AG365:AH366"/>
    <mergeCell ref="AI365:AI366"/>
    <mergeCell ref="AJ365:AJ366"/>
    <mergeCell ref="F365:F366"/>
    <mergeCell ref="O363:O364"/>
    <mergeCell ref="P363:P364"/>
    <mergeCell ref="Q363:Q364"/>
    <mergeCell ref="R363:S364"/>
    <mergeCell ref="T363:T364"/>
    <mergeCell ref="U363:U364"/>
    <mergeCell ref="V363:V364"/>
    <mergeCell ref="AK363:AN363"/>
    <mergeCell ref="AK364:AN364"/>
    <mergeCell ref="C363:C364"/>
    <mergeCell ref="D363:D364"/>
    <mergeCell ref="E363:E364"/>
    <mergeCell ref="G363:G364"/>
    <mergeCell ref="H363:H364"/>
    <mergeCell ref="I363:J364"/>
    <mergeCell ref="K363:K364"/>
    <mergeCell ref="L363:L364"/>
    <mergeCell ref="M363:N364"/>
    <mergeCell ref="W363:X364"/>
    <mergeCell ref="Y363:Y364"/>
    <mergeCell ref="Z363:Z364"/>
    <mergeCell ref="AA363:AA364"/>
    <mergeCell ref="AB363:AC364"/>
    <mergeCell ref="AD363:AD364"/>
    <mergeCell ref="AE363:AE364"/>
    <mergeCell ref="AF363:AF364"/>
    <mergeCell ref="AG363:AH364"/>
    <mergeCell ref="AI363:AI364"/>
    <mergeCell ref="AJ363:AJ364"/>
    <mergeCell ref="F363:F364"/>
    <mergeCell ref="O361:O362"/>
    <mergeCell ref="P361:P362"/>
    <mergeCell ref="Q361:Q362"/>
    <mergeCell ref="R361:S362"/>
    <mergeCell ref="T361:T362"/>
    <mergeCell ref="U361:U362"/>
    <mergeCell ref="V361:V362"/>
    <mergeCell ref="AK361:AN361"/>
    <mergeCell ref="AK362:AN362"/>
    <mergeCell ref="C361:C362"/>
    <mergeCell ref="D361:D362"/>
    <mergeCell ref="E361:E362"/>
    <mergeCell ref="G361:G362"/>
    <mergeCell ref="H361:H362"/>
    <mergeCell ref="I361:J362"/>
    <mergeCell ref="K361:K362"/>
    <mergeCell ref="L361:L362"/>
    <mergeCell ref="M361:N362"/>
    <mergeCell ref="W361:X362"/>
    <mergeCell ref="Y361:Y362"/>
    <mergeCell ref="Z361:Z362"/>
    <mergeCell ref="AA361:AA362"/>
    <mergeCell ref="AB361:AC362"/>
    <mergeCell ref="AD361:AD362"/>
    <mergeCell ref="AE361:AE362"/>
    <mergeCell ref="AF361:AF362"/>
    <mergeCell ref="AG361:AH362"/>
    <mergeCell ref="AI361:AI362"/>
    <mergeCell ref="AJ361:AJ362"/>
    <mergeCell ref="F361:F362"/>
    <mergeCell ref="O359:O360"/>
    <mergeCell ref="P359:P360"/>
    <mergeCell ref="Q359:Q360"/>
    <mergeCell ref="R359:S360"/>
    <mergeCell ref="T359:T360"/>
    <mergeCell ref="U359:U360"/>
    <mergeCell ref="V359:V360"/>
    <mergeCell ref="AK359:AN359"/>
    <mergeCell ref="AK360:AN360"/>
    <mergeCell ref="C359:C360"/>
    <mergeCell ref="D359:D360"/>
    <mergeCell ref="E359:E360"/>
    <mergeCell ref="G359:G360"/>
    <mergeCell ref="H359:H360"/>
    <mergeCell ref="I359:J360"/>
    <mergeCell ref="K359:K360"/>
    <mergeCell ref="L359:L360"/>
    <mergeCell ref="M359:N360"/>
    <mergeCell ref="W359:X360"/>
    <mergeCell ref="Y359:Y360"/>
    <mergeCell ref="Z359:Z360"/>
    <mergeCell ref="AA359:AA360"/>
    <mergeCell ref="AB359:AC360"/>
    <mergeCell ref="AD359:AD360"/>
    <mergeCell ref="AE359:AE360"/>
    <mergeCell ref="AF359:AF360"/>
    <mergeCell ref="AG359:AH360"/>
    <mergeCell ref="AI359:AI360"/>
    <mergeCell ref="AJ359:AJ360"/>
    <mergeCell ref="F359:F360"/>
    <mergeCell ref="O357:O358"/>
    <mergeCell ref="P357:P358"/>
    <mergeCell ref="Q357:Q358"/>
    <mergeCell ref="R357:S358"/>
    <mergeCell ref="T357:T358"/>
    <mergeCell ref="U357:U358"/>
    <mergeCell ref="V357:V358"/>
    <mergeCell ref="AK357:AN357"/>
    <mergeCell ref="AK358:AN358"/>
    <mergeCell ref="C357:C358"/>
    <mergeCell ref="D357:D358"/>
    <mergeCell ref="E357:E358"/>
    <mergeCell ref="G357:G358"/>
    <mergeCell ref="H357:H358"/>
    <mergeCell ref="I357:J358"/>
    <mergeCell ref="K357:K358"/>
    <mergeCell ref="L357:L358"/>
    <mergeCell ref="M357:N358"/>
    <mergeCell ref="W357:X358"/>
    <mergeCell ref="Y357:Y358"/>
    <mergeCell ref="Z357:Z358"/>
    <mergeCell ref="AA357:AA358"/>
    <mergeCell ref="AB357:AC358"/>
    <mergeCell ref="AD357:AD358"/>
    <mergeCell ref="AE357:AE358"/>
    <mergeCell ref="AF357:AF358"/>
    <mergeCell ref="AG357:AH358"/>
    <mergeCell ref="AI357:AI358"/>
    <mergeCell ref="AJ357:AJ358"/>
    <mergeCell ref="F357:F358"/>
    <mergeCell ref="O355:O356"/>
    <mergeCell ref="P355:P356"/>
    <mergeCell ref="Q355:Q356"/>
    <mergeCell ref="R355:S356"/>
    <mergeCell ref="T355:T356"/>
    <mergeCell ref="U355:U356"/>
    <mergeCell ref="V355:V356"/>
    <mergeCell ref="AK355:AN355"/>
    <mergeCell ref="AK356:AN356"/>
    <mergeCell ref="C355:C356"/>
    <mergeCell ref="D355:D356"/>
    <mergeCell ref="E355:E356"/>
    <mergeCell ref="G355:G356"/>
    <mergeCell ref="H355:H356"/>
    <mergeCell ref="I355:J356"/>
    <mergeCell ref="K355:K356"/>
    <mergeCell ref="L355:L356"/>
    <mergeCell ref="M355:N356"/>
    <mergeCell ref="W355:X356"/>
    <mergeCell ref="Y355:Y356"/>
    <mergeCell ref="Z355:Z356"/>
    <mergeCell ref="AA355:AA356"/>
    <mergeCell ref="AB355:AC356"/>
    <mergeCell ref="AD355:AD356"/>
    <mergeCell ref="AE355:AE356"/>
    <mergeCell ref="AF355:AF356"/>
    <mergeCell ref="AG355:AH356"/>
    <mergeCell ref="AI355:AI356"/>
    <mergeCell ref="AJ355:AJ356"/>
    <mergeCell ref="F355:F356"/>
    <mergeCell ref="O353:O354"/>
    <mergeCell ref="P353:P354"/>
    <mergeCell ref="Q353:Q354"/>
    <mergeCell ref="R353:S354"/>
    <mergeCell ref="T353:T354"/>
    <mergeCell ref="U353:U354"/>
    <mergeCell ref="V353:V354"/>
    <mergeCell ref="AK353:AN353"/>
    <mergeCell ref="AK354:AN354"/>
    <mergeCell ref="C353:C354"/>
    <mergeCell ref="D353:D354"/>
    <mergeCell ref="E353:E354"/>
    <mergeCell ref="G353:G354"/>
    <mergeCell ref="H353:H354"/>
    <mergeCell ref="I353:J354"/>
    <mergeCell ref="K353:K354"/>
    <mergeCell ref="L353:L354"/>
    <mergeCell ref="M353:N354"/>
    <mergeCell ref="W353:X354"/>
    <mergeCell ref="Y353:Y354"/>
    <mergeCell ref="Z353:Z354"/>
    <mergeCell ref="AA353:AA354"/>
    <mergeCell ref="AB353:AC354"/>
    <mergeCell ref="AD353:AD354"/>
    <mergeCell ref="AE353:AE354"/>
    <mergeCell ref="AF353:AF354"/>
    <mergeCell ref="AG353:AH354"/>
    <mergeCell ref="AI353:AI354"/>
    <mergeCell ref="AJ353:AJ354"/>
    <mergeCell ref="F353:F354"/>
    <mergeCell ref="O351:O352"/>
    <mergeCell ref="P351:P352"/>
    <mergeCell ref="Q351:Q352"/>
    <mergeCell ref="R351:S352"/>
    <mergeCell ref="T351:T352"/>
    <mergeCell ref="U351:U352"/>
    <mergeCell ref="V351:V352"/>
    <mergeCell ref="AK351:AN351"/>
    <mergeCell ref="AK352:AN352"/>
    <mergeCell ref="C351:C352"/>
    <mergeCell ref="D351:D352"/>
    <mergeCell ref="E351:E352"/>
    <mergeCell ref="G351:G352"/>
    <mergeCell ref="H351:H352"/>
    <mergeCell ref="I351:J352"/>
    <mergeCell ref="K351:K352"/>
    <mergeCell ref="L351:L352"/>
    <mergeCell ref="M351:N352"/>
    <mergeCell ref="W351:X352"/>
    <mergeCell ref="Y351:Y352"/>
    <mergeCell ref="Z351:Z352"/>
    <mergeCell ref="AA351:AA352"/>
    <mergeCell ref="AB351:AC352"/>
    <mergeCell ref="AD351:AD352"/>
    <mergeCell ref="AE351:AE352"/>
    <mergeCell ref="AF351:AF352"/>
    <mergeCell ref="AG351:AH352"/>
    <mergeCell ref="AI351:AI352"/>
    <mergeCell ref="AJ351:AJ352"/>
    <mergeCell ref="F351:F352"/>
    <mergeCell ref="O349:O350"/>
    <mergeCell ref="P349:P350"/>
    <mergeCell ref="Q349:Q350"/>
    <mergeCell ref="R349:S350"/>
    <mergeCell ref="T349:T350"/>
    <mergeCell ref="U349:U350"/>
    <mergeCell ref="V349:V350"/>
    <mergeCell ref="AK349:AN349"/>
    <mergeCell ref="AK350:AN350"/>
    <mergeCell ref="C349:C350"/>
    <mergeCell ref="D349:D350"/>
    <mergeCell ref="E349:E350"/>
    <mergeCell ref="G349:G350"/>
    <mergeCell ref="H349:H350"/>
    <mergeCell ref="I349:J350"/>
    <mergeCell ref="K349:K350"/>
    <mergeCell ref="L349:L350"/>
    <mergeCell ref="M349:N350"/>
    <mergeCell ref="W349:X350"/>
    <mergeCell ref="Y349:Y350"/>
    <mergeCell ref="Z349:Z350"/>
    <mergeCell ref="AA349:AA350"/>
    <mergeCell ref="AB349:AC350"/>
    <mergeCell ref="AD349:AD350"/>
    <mergeCell ref="AE349:AE350"/>
    <mergeCell ref="AF349:AF350"/>
    <mergeCell ref="AG349:AH350"/>
    <mergeCell ref="AI349:AI350"/>
    <mergeCell ref="AJ349:AJ350"/>
    <mergeCell ref="F349:F350"/>
    <mergeCell ref="O347:O348"/>
    <mergeCell ref="P347:P348"/>
    <mergeCell ref="Q347:Q348"/>
    <mergeCell ref="R347:S348"/>
    <mergeCell ref="T347:T348"/>
    <mergeCell ref="U347:U348"/>
    <mergeCell ref="V347:V348"/>
    <mergeCell ref="AK347:AN347"/>
    <mergeCell ref="AK348:AN348"/>
    <mergeCell ref="C347:C348"/>
    <mergeCell ref="D347:D348"/>
    <mergeCell ref="E347:E348"/>
    <mergeCell ref="G347:G348"/>
    <mergeCell ref="H347:H348"/>
    <mergeCell ref="I347:J348"/>
    <mergeCell ref="K347:K348"/>
    <mergeCell ref="L347:L348"/>
    <mergeCell ref="M347:N348"/>
    <mergeCell ref="W347:X348"/>
    <mergeCell ref="Y347:Y348"/>
    <mergeCell ref="Z347:Z348"/>
    <mergeCell ref="AA347:AA348"/>
    <mergeCell ref="AB347:AC348"/>
    <mergeCell ref="AD347:AD348"/>
    <mergeCell ref="AE347:AE348"/>
    <mergeCell ref="AF347:AF348"/>
    <mergeCell ref="AG347:AH348"/>
    <mergeCell ref="AI347:AI348"/>
    <mergeCell ref="AJ347:AJ348"/>
    <mergeCell ref="F347:F348"/>
    <mergeCell ref="O345:O346"/>
    <mergeCell ref="P345:P346"/>
    <mergeCell ref="Q345:Q346"/>
    <mergeCell ref="R345:S346"/>
    <mergeCell ref="T345:T346"/>
    <mergeCell ref="U345:U346"/>
    <mergeCell ref="V345:V346"/>
    <mergeCell ref="AK345:AN345"/>
    <mergeCell ref="AK346:AN346"/>
    <mergeCell ref="C345:C346"/>
    <mergeCell ref="D345:D346"/>
    <mergeCell ref="E345:E346"/>
    <mergeCell ref="G345:G346"/>
    <mergeCell ref="H345:H346"/>
    <mergeCell ref="I345:J346"/>
    <mergeCell ref="K345:K346"/>
    <mergeCell ref="L345:L346"/>
    <mergeCell ref="M345:N346"/>
    <mergeCell ref="W345:X346"/>
    <mergeCell ref="Y345:Y346"/>
    <mergeCell ref="Z345:Z346"/>
    <mergeCell ref="AA345:AA346"/>
    <mergeCell ref="AB345:AC346"/>
    <mergeCell ref="AD345:AD346"/>
    <mergeCell ref="AE345:AE346"/>
    <mergeCell ref="AF345:AF346"/>
    <mergeCell ref="AG345:AH346"/>
    <mergeCell ref="AI345:AI346"/>
    <mergeCell ref="AJ345:AJ346"/>
    <mergeCell ref="F345:F346"/>
    <mergeCell ref="O343:O344"/>
    <mergeCell ref="P343:P344"/>
    <mergeCell ref="Q343:Q344"/>
    <mergeCell ref="R343:S344"/>
    <mergeCell ref="T343:T344"/>
    <mergeCell ref="U343:U344"/>
    <mergeCell ref="V343:V344"/>
    <mergeCell ref="AK343:AN343"/>
    <mergeCell ref="AK344:AN344"/>
    <mergeCell ref="C343:C344"/>
    <mergeCell ref="D343:D344"/>
    <mergeCell ref="E343:E344"/>
    <mergeCell ref="G343:G344"/>
    <mergeCell ref="H343:H344"/>
    <mergeCell ref="I343:J344"/>
    <mergeCell ref="K343:K344"/>
    <mergeCell ref="L343:L344"/>
    <mergeCell ref="M343:N344"/>
    <mergeCell ref="W343:X344"/>
    <mergeCell ref="Y343:Y344"/>
    <mergeCell ref="Z343:Z344"/>
    <mergeCell ref="AA343:AA344"/>
    <mergeCell ref="AB343:AC344"/>
    <mergeCell ref="AD343:AD344"/>
    <mergeCell ref="AE343:AE344"/>
    <mergeCell ref="AF343:AF344"/>
    <mergeCell ref="AG343:AH344"/>
    <mergeCell ref="AI343:AI344"/>
    <mergeCell ref="AJ343:AJ344"/>
    <mergeCell ref="F343:F344"/>
    <mergeCell ref="O341:O342"/>
    <mergeCell ref="P341:P342"/>
    <mergeCell ref="Q341:Q342"/>
    <mergeCell ref="R341:S342"/>
    <mergeCell ref="T341:T342"/>
    <mergeCell ref="U341:U342"/>
    <mergeCell ref="V341:V342"/>
    <mergeCell ref="AK341:AN341"/>
    <mergeCell ref="AK342:AN342"/>
    <mergeCell ref="C341:C342"/>
    <mergeCell ref="D341:D342"/>
    <mergeCell ref="E341:E342"/>
    <mergeCell ref="G341:G342"/>
    <mergeCell ref="H341:H342"/>
    <mergeCell ref="I341:J342"/>
    <mergeCell ref="K341:K342"/>
    <mergeCell ref="L341:L342"/>
    <mergeCell ref="M341:N342"/>
    <mergeCell ref="W341:X342"/>
    <mergeCell ref="Y341:Y342"/>
    <mergeCell ref="Z341:Z342"/>
    <mergeCell ref="AA341:AA342"/>
    <mergeCell ref="AB341:AC342"/>
    <mergeCell ref="AD341:AD342"/>
    <mergeCell ref="AE341:AE342"/>
    <mergeCell ref="AF341:AF342"/>
    <mergeCell ref="AG341:AH342"/>
    <mergeCell ref="AI341:AI342"/>
    <mergeCell ref="AJ341:AJ342"/>
    <mergeCell ref="F341:F342"/>
    <mergeCell ref="O339:O340"/>
    <mergeCell ref="P339:P340"/>
    <mergeCell ref="Q339:Q340"/>
    <mergeCell ref="R339:S340"/>
    <mergeCell ref="T339:T340"/>
    <mergeCell ref="U339:U340"/>
    <mergeCell ref="V339:V340"/>
    <mergeCell ref="AK339:AN339"/>
    <mergeCell ref="AK340:AN340"/>
    <mergeCell ref="C339:C340"/>
    <mergeCell ref="D339:D340"/>
    <mergeCell ref="E339:E340"/>
    <mergeCell ref="G339:G340"/>
    <mergeCell ref="H339:H340"/>
    <mergeCell ref="I339:J340"/>
    <mergeCell ref="K339:K340"/>
    <mergeCell ref="L339:L340"/>
    <mergeCell ref="M339:N340"/>
    <mergeCell ref="W339:X340"/>
    <mergeCell ref="Y339:Y340"/>
    <mergeCell ref="Z339:Z340"/>
    <mergeCell ref="AA339:AA340"/>
    <mergeCell ref="AB339:AC340"/>
    <mergeCell ref="AD339:AD340"/>
    <mergeCell ref="AE339:AE340"/>
    <mergeCell ref="AF339:AF340"/>
    <mergeCell ref="AG339:AH340"/>
    <mergeCell ref="AI339:AI340"/>
    <mergeCell ref="AJ339:AJ340"/>
    <mergeCell ref="F339:F340"/>
    <mergeCell ref="O337:O338"/>
    <mergeCell ref="P337:P338"/>
    <mergeCell ref="Q337:Q338"/>
    <mergeCell ref="R337:S338"/>
    <mergeCell ref="T337:T338"/>
    <mergeCell ref="U337:U338"/>
    <mergeCell ref="V337:V338"/>
    <mergeCell ref="AK337:AN337"/>
    <mergeCell ref="AK338:AN338"/>
    <mergeCell ref="C337:C338"/>
    <mergeCell ref="D337:D338"/>
    <mergeCell ref="E337:E338"/>
    <mergeCell ref="G337:G338"/>
    <mergeCell ref="H337:H338"/>
    <mergeCell ref="I337:J338"/>
    <mergeCell ref="K337:K338"/>
    <mergeCell ref="L337:L338"/>
    <mergeCell ref="M337:N338"/>
    <mergeCell ref="W337:X338"/>
    <mergeCell ref="Y337:Y338"/>
    <mergeCell ref="Z337:Z338"/>
    <mergeCell ref="AA337:AA338"/>
    <mergeCell ref="AB337:AC338"/>
    <mergeCell ref="AD337:AD338"/>
    <mergeCell ref="AE337:AE338"/>
    <mergeCell ref="AF337:AF338"/>
    <mergeCell ref="AG337:AH338"/>
    <mergeCell ref="AI337:AI338"/>
    <mergeCell ref="AJ337:AJ338"/>
    <mergeCell ref="F337:F338"/>
    <mergeCell ref="O335:O336"/>
    <mergeCell ref="P335:P336"/>
    <mergeCell ref="Q335:Q336"/>
    <mergeCell ref="R335:S336"/>
    <mergeCell ref="T335:T336"/>
    <mergeCell ref="U335:U336"/>
    <mergeCell ref="V335:V336"/>
    <mergeCell ref="AK335:AN335"/>
    <mergeCell ref="AK336:AN336"/>
    <mergeCell ref="C335:C336"/>
    <mergeCell ref="D335:D336"/>
    <mergeCell ref="E335:E336"/>
    <mergeCell ref="G335:G336"/>
    <mergeCell ref="H335:H336"/>
    <mergeCell ref="I335:J336"/>
    <mergeCell ref="K335:K336"/>
    <mergeCell ref="L335:L336"/>
    <mergeCell ref="M335:N336"/>
    <mergeCell ref="W335:X336"/>
    <mergeCell ref="Y335:Y336"/>
    <mergeCell ref="Z335:Z336"/>
    <mergeCell ref="AA335:AA336"/>
    <mergeCell ref="AB335:AC336"/>
    <mergeCell ref="AD335:AD336"/>
    <mergeCell ref="AE335:AE336"/>
    <mergeCell ref="AF335:AF336"/>
    <mergeCell ref="AG335:AH336"/>
    <mergeCell ref="AI335:AI336"/>
    <mergeCell ref="AJ335:AJ336"/>
    <mergeCell ref="F335:F336"/>
    <mergeCell ref="O333:O334"/>
    <mergeCell ref="P333:P334"/>
    <mergeCell ref="Q333:Q334"/>
    <mergeCell ref="R333:S334"/>
    <mergeCell ref="T333:T334"/>
    <mergeCell ref="U333:U334"/>
    <mergeCell ref="V333:V334"/>
    <mergeCell ref="AK333:AN333"/>
    <mergeCell ref="AK334:AN334"/>
    <mergeCell ref="C333:C334"/>
    <mergeCell ref="D333:D334"/>
    <mergeCell ref="E333:E334"/>
    <mergeCell ref="G333:G334"/>
    <mergeCell ref="H333:H334"/>
    <mergeCell ref="I333:J334"/>
    <mergeCell ref="K333:K334"/>
    <mergeCell ref="L333:L334"/>
    <mergeCell ref="M333:N334"/>
    <mergeCell ref="W333:X334"/>
    <mergeCell ref="Y333:Y334"/>
    <mergeCell ref="Z333:Z334"/>
    <mergeCell ref="AA333:AA334"/>
    <mergeCell ref="AB333:AC334"/>
    <mergeCell ref="AD333:AD334"/>
    <mergeCell ref="AE333:AE334"/>
    <mergeCell ref="AF333:AF334"/>
    <mergeCell ref="AG333:AH334"/>
    <mergeCell ref="AI333:AI334"/>
    <mergeCell ref="AJ333:AJ334"/>
    <mergeCell ref="F333:F334"/>
    <mergeCell ref="O331:O332"/>
    <mergeCell ref="P331:P332"/>
    <mergeCell ref="Q331:Q332"/>
    <mergeCell ref="R331:S332"/>
    <mergeCell ref="T331:T332"/>
    <mergeCell ref="U331:U332"/>
    <mergeCell ref="V331:V332"/>
    <mergeCell ref="AK331:AN331"/>
    <mergeCell ref="AK332:AN332"/>
    <mergeCell ref="C331:C332"/>
    <mergeCell ref="D331:D332"/>
    <mergeCell ref="E331:E332"/>
    <mergeCell ref="G331:G332"/>
    <mergeCell ref="H331:H332"/>
    <mergeCell ref="I331:J332"/>
    <mergeCell ref="K331:K332"/>
    <mergeCell ref="L331:L332"/>
    <mergeCell ref="M331:N332"/>
    <mergeCell ref="W331:X332"/>
    <mergeCell ref="Y331:Y332"/>
    <mergeCell ref="Z331:Z332"/>
    <mergeCell ref="AA331:AA332"/>
    <mergeCell ref="AB331:AC332"/>
    <mergeCell ref="AD331:AD332"/>
    <mergeCell ref="AE331:AE332"/>
    <mergeCell ref="AF331:AF332"/>
    <mergeCell ref="AG331:AH332"/>
    <mergeCell ref="AI331:AI332"/>
    <mergeCell ref="AJ331:AJ332"/>
    <mergeCell ref="F331:F332"/>
    <mergeCell ref="O329:O330"/>
    <mergeCell ref="P329:P330"/>
    <mergeCell ref="Q329:Q330"/>
    <mergeCell ref="R329:S330"/>
    <mergeCell ref="T329:T330"/>
    <mergeCell ref="U329:U330"/>
    <mergeCell ref="V329:V330"/>
    <mergeCell ref="AK329:AN329"/>
    <mergeCell ref="AK330:AN330"/>
    <mergeCell ref="C329:C330"/>
    <mergeCell ref="D329:D330"/>
    <mergeCell ref="E329:E330"/>
    <mergeCell ref="G329:G330"/>
    <mergeCell ref="H329:H330"/>
    <mergeCell ref="I329:J330"/>
    <mergeCell ref="K329:K330"/>
    <mergeCell ref="L329:L330"/>
    <mergeCell ref="M329:N330"/>
    <mergeCell ref="W329:X330"/>
    <mergeCell ref="Y329:Y330"/>
    <mergeCell ref="Z329:Z330"/>
    <mergeCell ref="AA329:AA330"/>
    <mergeCell ref="AB329:AC330"/>
    <mergeCell ref="AD329:AD330"/>
    <mergeCell ref="AE329:AE330"/>
    <mergeCell ref="AF329:AF330"/>
    <mergeCell ref="AG329:AH330"/>
    <mergeCell ref="AI329:AI330"/>
    <mergeCell ref="AJ329:AJ330"/>
    <mergeCell ref="F329:F330"/>
    <mergeCell ref="O327:O328"/>
    <mergeCell ref="P327:P328"/>
    <mergeCell ref="Q327:Q328"/>
    <mergeCell ref="R327:S328"/>
    <mergeCell ref="T327:T328"/>
    <mergeCell ref="U327:U328"/>
    <mergeCell ref="V327:V328"/>
    <mergeCell ref="AK327:AN327"/>
    <mergeCell ref="AK328:AN328"/>
    <mergeCell ref="C327:C328"/>
    <mergeCell ref="D327:D328"/>
    <mergeCell ref="E327:E328"/>
    <mergeCell ref="G327:G328"/>
    <mergeCell ref="H327:H328"/>
    <mergeCell ref="I327:J328"/>
    <mergeCell ref="K327:K328"/>
    <mergeCell ref="L327:L328"/>
    <mergeCell ref="M327:N328"/>
    <mergeCell ref="W327:X328"/>
    <mergeCell ref="Y327:Y328"/>
    <mergeCell ref="Z327:Z328"/>
    <mergeCell ref="AA327:AA328"/>
    <mergeCell ref="AB327:AC328"/>
    <mergeCell ref="AD327:AD328"/>
    <mergeCell ref="AE327:AE328"/>
    <mergeCell ref="AF327:AF328"/>
    <mergeCell ref="AG327:AH328"/>
    <mergeCell ref="AI327:AI328"/>
    <mergeCell ref="AJ327:AJ328"/>
    <mergeCell ref="F327:F328"/>
    <mergeCell ref="O325:O326"/>
    <mergeCell ref="P325:P326"/>
    <mergeCell ref="Q325:Q326"/>
    <mergeCell ref="R325:S326"/>
    <mergeCell ref="T325:T326"/>
    <mergeCell ref="U325:U326"/>
    <mergeCell ref="V325:V326"/>
    <mergeCell ref="AK325:AN325"/>
    <mergeCell ref="AK326:AN326"/>
    <mergeCell ref="C325:C326"/>
    <mergeCell ref="D325:D326"/>
    <mergeCell ref="E325:E326"/>
    <mergeCell ref="G325:G326"/>
    <mergeCell ref="H325:H326"/>
    <mergeCell ref="I325:J326"/>
    <mergeCell ref="K325:K326"/>
    <mergeCell ref="L325:L326"/>
    <mergeCell ref="M325:N326"/>
    <mergeCell ref="W325:X326"/>
    <mergeCell ref="Y325:Y326"/>
    <mergeCell ref="Z325:Z326"/>
    <mergeCell ref="AA325:AA326"/>
    <mergeCell ref="AB325:AC326"/>
    <mergeCell ref="AD325:AD326"/>
    <mergeCell ref="AE325:AE326"/>
    <mergeCell ref="AF325:AF326"/>
    <mergeCell ref="AG325:AH326"/>
    <mergeCell ref="AI325:AI326"/>
    <mergeCell ref="AJ325:AJ326"/>
    <mergeCell ref="F325:F326"/>
    <mergeCell ref="O323:O324"/>
    <mergeCell ref="P323:P324"/>
    <mergeCell ref="Q323:Q324"/>
    <mergeCell ref="R323:S324"/>
    <mergeCell ref="T323:T324"/>
    <mergeCell ref="U323:U324"/>
    <mergeCell ref="V323:V324"/>
    <mergeCell ref="AK323:AN323"/>
    <mergeCell ref="AK324:AN324"/>
    <mergeCell ref="C323:C324"/>
    <mergeCell ref="D323:D324"/>
    <mergeCell ref="E323:E324"/>
    <mergeCell ref="G323:G324"/>
    <mergeCell ref="H323:H324"/>
    <mergeCell ref="I323:J324"/>
    <mergeCell ref="K323:K324"/>
    <mergeCell ref="L323:L324"/>
    <mergeCell ref="M323:N324"/>
    <mergeCell ref="W323:X324"/>
    <mergeCell ref="Y323:Y324"/>
    <mergeCell ref="Z323:Z324"/>
    <mergeCell ref="AA323:AA324"/>
    <mergeCell ref="AB323:AC324"/>
    <mergeCell ref="AD323:AD324"/>
    <mergeCell ref="AE323:AE324"/>
    <mergeCell ref="AF323:AF324"/>
    <mergeCell ref="AG323:AH324"/>
    <mergeCell ref="AI323:AI324"/>
    <mergeCell ref="AJ323:AJ324"/>
    <mergeCell ref="F323:F324"/>
    <mergeCell ref="O321:O322"/>
    <mergeCell ref="P321:P322"/>
    <mergeCell ref="Q321:Q322"/>
    <mergeCell ref="R321:S322"/>
    <mergeCell ref="T321:T322"/>
    <mergeCell ref="U321:U322"/>
    <mergeCell ref="V321:V322"/>
    <mergeCell ref="AK321:AN321"/>
    <mergeCell ref="AK322:AN322"/>
    <mergeCell ref="C321:C322"/>
    <mergeCell ref="D321:D322"/>
    <mergeCell ref="E321:E322"/>
    <mergeCell ref="G321:G322"/>
    <mergeCell ref="H321:H322"/>
    <mergeCell ref="I321:J322"/>
    <mergeCell ref="K321:K322"/>
    <mergeCell ref="L321:L322"/>
    <mergeCell ref="M321:N322"/>
    <mergeCell ref="W321:X322"/>
    <mergeCell ref="Y321:Y322"/>
    <mergeCell ref="Z321:Z322"/>
    <mergeCell ref="AA321:AA322"/>
    <mergeCell ref="AB321:AC322"/>
    <mergeCell ref="AD321:AD322"/>
    <mergeCell ref="AE321:AE322"/>
    <mergeCell ref="AF321:AF322"/>
    <mergeCell ref="AG321:AH322"/>
    <mergeCell ref="AI321:AI322"/>
    <mergeCell ref="AJ321:AJ322"/>
    <mergeCell ref="F321:F322"/>
    <mergeCell ref="O319:O320"/>
    <mergeCell ref="P319:P320"/>
    <mergeCell ref="Q319:Q320"/>
    <mergeCell ref="R319:S320"/>
    <mergeCell ref="T319:T320"/>
    <mergeCell ref="U319:U320"/>
    <mergeCell ref="V319:V320"/>
    <mergeCell ref="AK319:AN319"/>
    <mergeCell ref="AK320:AN320"/>
    <mergeCell ref="C319:C320"/>
    <mergeCell ref="D319:D320"/>
    <mergeCell ref="E319:E320"/>
    <mergeCell ref="G319:G320"/>
    <mergeCell ref="H319:H320"/>
    <mergeCell ref="I319:J320"/>
    <mergeCell ref="K319:K320"/>
    <mergeCell ref="L319:L320"/>
    <mergeCell ref="M319:N320"/>
    <mergeCell ref="W319:X320"/>
    <mergeCell ref="Y319:Y320"/>
    <mergeCell ref="Z319:Z320"/>
    <mergeCell ref="AA319:AA320"/>
    <mergeCell ref="AB319:AC320"/>
    <mergeCell ref="AD319:AD320"/>
    <mergeCell ref="AE319:AE320"/>
    <mergeCell ref="AF319:AF320"/>
    <mergeCell ref="AG319:AH320"/>
    <mergeCell ref="AI319:AI320"/>
    <mergeCell ref="AJ319:AJ320"/>
    <mergeCell ref="F319:F320"/>
    <mergeCell ref="O317:O318"/>
    <mergeCell ref="P317:P318"/>
    <mergeCell ref="Q317:Q318"/>
    <mergeCell ref="R317:S318"/>
    <mergeCell ref="T317:T318"/>
    <mergeCell ref="U317:U318"/>
    <mergeCell ref="V317:V318"/>
    <mergeCell ref="AK317:AN317"/>
    <mergeCell ref="AK318:AN318"/>
    <mergeCell ref="C317:C318"/>
    <mergeCell ref="D317:D318"/>
    <mergeCell ref="E317:E318"/>
    <mergeCell ref="G317:G318"/>
    <mergeCell ref="H317:H318"/>
    <mergeCell ref="I317:J318"/>
    <mergeCell ref="K317:K318"/>
    <mergeCell ref="L317:L318"/>
    <mergeCell ref="M317:N318"/>
    <mergeCell ref="W317:X318"/>
    <mergeCell ref="Y317:Y318"/>
    <mergeCell ref="Z317:Z318"/>
    <mergeCell ref="AA317:AA318"/>
    <mergeCell ref="AB317:AC318"/>
    <mergeCell ref="AD317:AD318"/>
    <mergeCell ref="AE317:AE318"/>
    <mergeCell ref="AF317:AF318"/>
    <mergeCell ref="AG317:AH318"/>
    <mergeCell ref="AI317:AI318"/>
    <mergeCell ref="AJ317:AJ318"/>
    <mergeCell ref="F317:F318"/>
    <mergeCell ref="O315:O316"/>
    <mergeCell ref="P315:P316"/>
    <mergeCell ref="Q315:Q316"/>
    <mergeCell ref="R315:S316"/>
    <mergeCell ref="T315:T316"/>
    <mergeCell ref="U315:U316"/>
    <mergeCell ref="V315:V316"/>
    <mergeCell ref="AK315:AN315"/>
    <mergeCell ref="AK316:AN316"/>
    <mergeCell ref="C315:C316"/>
    <mergeCell ref="D315:D316"/>
    <mergeCell ref="E315:E316"/>
    <mergeCell ref="G315:G316"/>
    <mergeCell ref="H315:H316"/>
    <mergeCell ref="I315:J316"/>
    <mergeCell ref="K315:K316"/>
    <mergeCell ref="L315:L316"/>
    <mergeCell ref="M315:N316"/>
    <mergeCell ref="W315:X316"/>
    <mergeCell ref="Y315:Y316"/>
    <mergeCell ref="Z315:Z316"/>
    <mergeCell ref="AA315:AA316"/>
    <mergeCell ref="AB315:AC316"/>
    <mergeCell ref="AD315:AD316"/>
    <mergeCell ref="AE315:AE316"/>
    <mergeCell ref="AF315:AF316"/>
    <mergeCell ref="AG315:AH316"/>
    <mergeCell ref="AI315:AI316"/>
    <mergeCell ref="AJ315:AJ316"/>
    <mergeCell ref="F315:F316"/>
    <mergeCell ref="O313:O314"/>
    <mergeCell ref="P313:P314"/>
    <mergeCell ref="Q313:Q314"/>
    <mergeCell ref="R313:S314"/>
    <mergeCell ref="T313:T314"/>
    <mergeCell ref="U313:U314"/>
    <mergeCell ref="V313:V314"/>
    <mergeCell ref="AK313:AN313"/>
    <mergeCell ref="AK314:AN314"/>
    <mergeCell ref="C313:C314"/>
    <mergeCell ref="D313:D314"/>
    <mergeCell ref="E313:E314"/>
    <mergeCell ref="G313:G314"/>
    <mergeCell ref="H313:H314"/>
    <mergeCell ref="I313:J314"/>
    <mergeCell ref="K313:K314"/>
    <mergeCell ref="L313:L314"/>
    <mergeCell ref="M313:N314"/>
    <mergeCell ref="W313:X314"/>
    <mergeCell ref="Y313:Y314"/>
    <mergeCell ref="Z313:Z314"/>
    <mergeCell ref="AA313:AA314"/>
    <mergeCell ref="AB313:AC314"/>
    <mergeCell ref="AD313:AD314"/>
    <mergeCell ref="AE313:AE314"/>
    <mergeCell ref="AF313:AF314"/>
    <mergeCell ref="AG313:AH314"/>
    <mergeCell ref="AI313:AI314"/>
    <mergeCell ref="AJ313:AJ314"/>
    <mergeCell ref="F313:F314"/>
    <mergeCell ref="O311:O312"/>
    <mergeCell ref="P311:P312"/>
    <mergeCell ref="Q311:Q312"/>
    <mergeCell ref="R311:S312"/>
    <mergeCell ref="T311:T312"/>
    <mergeCell ref="U311:U312"/>
    <mergeCell ref="V311:V312"/>
    <mergeCell ref="AK311:AN311"/>
    <mergeCell ref="AK312:AN312"/>
    <mergeCell ref="C311:C312"/>
    <mergeCell ref="D311:D312"/>
    <mergeCell ref="E311:E312"/>
    <mergeCell ref="G311:G312"/>
    <mergeCell ref="H311:H312"/>
    <mergeCell ref="I311:J312"/>
    <mergeCell ref="K311:K312"/>
    <mergeCell ref="L311:L312"/>
    <mergeCell ref="M311:N312"/>
    <mergeCell ref="W311:X312"/>
    <mergeCell ref="Y311:Y312"/>
    <mergeCell ref="Z311:Z312"/>
    <mergeCell ref="AA311:AA312"/>
    <mergeCell ref="AB311:AC312"/>
    <mergeCell ref="AD311:AD312"/>
    <mergeCell ref="AE311:AE312"/>
    <mergeCell ref="AF311:AF312"/>
    <mergeCell ref="AG311:AH312"/>
    <mergeCell ref="AI311:AI312"/>
    <mergeCell ref="AJ311:AJ312"/>
    <mergeCell ref="F311:F312"/>
    <mergeCell ref="O309:O310"/>
    <mergeCell ref="P309:P310"/>
    <mergeCell ref="Q309:Q310"/>
    <mergeCell ref="R309:S310"/>
    <mergeCell ref="T309:T310"/>
    <mergeCell ref="U309:U310"/>
    <mergeCell ref="V309:V310"/>
    <mergeCell ref="AK309:AN309"/>
    <mergeCell ref="AK310:AN310"/>
    <mergeCell ref="C309:C310"/>
    <mergeCell ref="D309:D310"/>
    <mergeCell ref="E309:E310"/>
    <mergeCell ref="G309:G310"/>
    <mergeCell ref="H309:H310"/>
    <mergeCell ref="I309:J310"/>
    <mergeCell ref="K309:K310"/>
    <mergeCell ref="L309:L310"/>
    <mergeCell ref="M309:N310"/>
    <mergeCell ref="W309:X310"/>
    <mergeCell ref="Y309:Y310"/>
    <mergeCell ref="Z309:Z310"/>
    <mergeCell ref="AA309:AA310"/>
    <mergeCell ref="AB309:AC310"/>
    <mergeCell ref="AD309:AD310"/>
    <mergeCell ref="AE309:AE310"/>
    <mergeCell ref="AF309:AF310"/>
    <mergeCell ref="AG309:AH310"/>
    <mergeCell ref="AI309:AI310"/>
    <mergeCell ref="AJ309:AJ310"/>
    <mergeCell ref="F309:F310"/>
    <mergeCell ref="O307:O308"/>
    <mergeCell ref="P307:P308"/>
    <mergeCell ref="Q307:Q308"/>
    <mergeCell ref="R307:S308"/>
    <mergeCell ref="T307:T308"/>
    <mergeCell ref="U307:U308"/>
    <mergeCell ref="V307:V308"/>
    <mergeCell ref="AK307:AN307"/>
    <mergeCell ref="AK308:AN308"/>
    <mergeCell ref="C307:C308"/>
    <mergeCell ref="D307:D308"/>
    <mergeCell ref="E307:E308"/>
    <mergeCell ref="G307:G308"/>
    <mergeCell ref="H307:H308"/>
    <mergeCell ref="I307:J308"/>
    <mergeCell ref="K307:K308"/>
    <mergeCell ref="L307:L308"/>
    <mergeCell ref="M307:N308"/>
    <mergeCell ref="W307:X308"/>
    <mergeCell ref="Y307:Y308"/>
    <mergeCell ref="Z307:Z308"/>
    <mergeCell ref="AA307:AA308"/>
    <mergeCell ref="AB307:AC308"/>
    <mergeCell ref="AD307:AD308"/>
    <mergeCell ref="AE307:AE308"/>
    <mergeCell ref="AF307:AF308"/>
    <mergeCell ref="AG307:AH308"/>
    <mergeCell ref="AI307:AI308"/>
    <mergeCell ref="AJ307:AJ308"/>
    <mergeCell ref="F307:F308"/>
    <mergeCell ref="O305:O306"/>
    <mergeCell ref="P305:P306"/>
    <mergeCell ref="Q305:Q306"/>
    <mergeCell ref="R305:S306"/>
    <mergeCell ref="T305:T306"/>
    <mergeCell ref="U305:U306"/>
    <mergeCell ref="V305:V306"/>
    <mergeCell ref="AK305:AN305"/>
    <mergeCell ref="AK306:AN306"/>
    <mergeCell ref="C305:C306"/>
    <mergeCell ref="D305:D306"/>
    <mergeCell ref="E305:E306"/>
    <mergeCell ref="G305:G306"/>
    <mergeCell ref="H305:H306"/>
    <mergeCell ref="I305:J306"/>
    <mergeCell ref="K305:K306"/>
    <mergeCell ref="L305:L306"/>
    <mergeCell ref="M305:N306"/>
    <mergeCell ref="W305:X306"/>
    <mergeCell ref="Y305:Y306"/>
    <mergeCell ref="Z305:Z306"/>
    <mergeCell ref="AA305:AA306"/>
    <mergeCell ref="AB305:AC306"/>
    <mergeCell ref="AD305:AD306"/>
    <mergeCell ref="AE305:AE306"/>
    <mergeCell ref="AF305:AF306"/>
    <mergeCell ref="AG305:AH306"/>
    <mergeCell ref="AI305:AI306"/>
    <mergeCell ref="AJ305:AJ306"/>
    <mergeCell ref="F305:F306"/>
    <mergeCell ref="O303:O304"/>
    <mergeCell ref="P303:P304"/>
    <mergeCell ref="Q303:Q304"/>
    <mergeCell ref="R303:S304"/>
    <mergeCell ref="T303:T304"/>
    <mergeCell ref="U303:U304"/>
    <mergeCell ref="V303:V304"/>
    <mergeCell ref="AK303:AN303"/>
    <mergeCell ref="AK304:AN304"/>
    <mergeCell ref="C303:C304"/>
    <mergeCell ref="D303:D304"/>
    <mergeCell ref="E303:E304"/>
    <mergeCell ref="G303:G304"/>
    <mergeCell ref="H303:H304"/>
    <mergeCell ref="I303:J304"/>
    <mergeCell ref="K303:K304"/>
    <mergeCell ref="L303:L304"/>
    <mergeCell ref="M303:N304"/>
    <mergeCell ref="W303:X304"/>
    <mergeCell ref="Y303:Y304"/>
    <mergeCell ref="Z303:Z304"/>
    <mergeCell ref="AA303:AA304"/>
    <mergeCell ref="AB303:AC304"/>
    <mergeCell ref="AD303:AD304"/>
    <mergeCell ref="AE303:AE304"/>
    <mergeCell ref="AF303:AF304"/>
    <mergeCell ref="AG303:AH304"/>
    <mergeCell ref="AI303:AI304"/>
    <mergeCell ref="AJ303:AJ304"/>
    <mergeCell ref="F303:F304"/>
    <mergeCell ref="O301:O302"/>
    <mergeCell ref="P301:P302"/>
    <mergeCell ref="Q301:Q302"/>
    <mergeCell ref="R301:S302"/>
    <mergeCell ref="T301:T302"/>
    <mergeCell ref="U301:U302"/>
    <mergeCell ref="V301:V302"/>
    <mergeCell ref="AK301:AN301"/>
    <mergeCell ref="AK302:AN302"/>
    <mergeCell ref="C301:C302"/>
    <mergeCell ref="D301:D302"/>
    <mergeCell ref="E301:E302"/>
    <mergeCell ref="G301:G302"/>
    <mergeCell ref="H301:H302"/>
    <mergeCell ref="I301:J302"/>
    <mergeCell ref="K301:K302"/>
    <mergeCell ref="L301:L302"/>
    <mergeCell ref="M301:N302"/>
    <mergeCell ref="W301:X302"/>
    <mergeCell ref="Y301:Y302"/>
    <mergeCell ref="Z301:Z302"/>
    <mergeCell ref="AA301:AA302"/>
    <mergeCell ref="AB301:AC302"/>
    <mergeCell ref="AD301:AD302"/>
    <mergeCell ref="AE301:AE302"/>
    <mergeCell ref="AF301:AF302"/>
    <mergeCell ref="AG301:AH302"/>
    <mergeCell ref="AI301:AI302"/>
    <mergeCell ref="AJ301:AJ302"/>
    <mergeCell ref="F301:F302"/>
    <mergeCell ref="O299:O300"/>
    <mergeCell ref="P299:P300"/>
    <mergeCell ref="Q299:Q300"/>
    <mergeCell ref="R299:S300"/>
    <mergeCell ref="T299:T300"/>
    <mergeCell ref="U299:U300"/>
    <mergeCell ref="V299:V300"/>
    <mergeCell ref="AK299:AN299"/>
    <mergeCell ref="AK300:AN300"/>
    <mergeCell ref="C299:C300"/>
    <mergeCell ref="D299:D300"/>
    <mergeCell ref="E299:E300"/>
    <mergeCell ref="G299:G300"/>
    <mergeCell ref="H299:H300"/>
    <mergeCell ref="I299:J300"/>
    <mergeCell ref="K299:K300"/>
    <mergeCell ref="L299:L300"/>
    <mergeCell ref="M299:N300"/>
    <mergeCell ref="W299:X300"/>
    <mergeCell ref="Y299:Y300"/>
    <mergeCell ref="Z299:Z300"/>
    <mergeCell ref="AA299:AA300"/>
    <mergeCell ref="AB299:AC300"/>
    <mergeCell ref="AD299:AD300"/>
    <mergeCell ref="AE299:AE300"/>
    <mergeCell ref="AF299:AF300"/>
    <mergeCell ref="AG299:AH300"/>
    <mergeCell ref="AI299:AI300"/>
    <mergeCell ref="AJ299:AJ300"/>
    <mergeCell ref="F299:F300"/>
    <mergeCell ref="O297:O298"/>
    <mergeCell ref="P297:P298"/>
    <mergeCell ref="Q297:Q298"/>
    <mergeCell ref="R297:S298"/>
    <mergeCell ref="T297:T298"/>
    <mergeCell ref="U297:U298"/>
    <mergeCell ref="V297:V298"/>
    <mergeCell ref="AK297:AN297"/>
    <mergeCell ref="AK298:AN298"/>
    <mergeCell ref="C297:C298"/>
    <mergeCell ref="D297:D298"/>
    <mergeCell ref="E297:E298"/>
    <mergeCell ref="G297:G298"/>
    <mergeCell ref="H297:H298"/>
    <mergeCell ref="I297:J298"/>
    <mergeCell ref="K297:K298"/>
    <mergeCell ref="L297:L298"/>
    <mergeCell ref="M297:N298"/>
    <mergeCell ref="W297:X298"/>
    <mergeCell ref="Y297:Y298"/>
    <mergeCell ref="Z297:Z298"/>
    <mergeCell ref="AA297:AA298"/>
    <mergeCell ref="AB297:AC298"/>
    <mergeCell ref="AD297:AD298"/>
    <mergeCell ref="AE297:AE298"/>
    <mergeCell ref="AF297:AF298"/>
    <mergeCell ref="AG297:AH298"/>
    <mergeCell ref="AI297:AI298"/>
    <mergeCell ref="AJ297:AJ298"/>
    <mergeCell ref="F297:F298"/>
    <mergeCell ref="O295:O296"/>
    <mergeCell ref="P295:P296"/>
    <mergeCell ref="Q295:Q296"/>
    <mergeCell ref="R295:S296"/>
    <mergeCell ref="T295:T296"/>
    <mergeCell ref="U295:U296"/>
    <mergeCell ref="V295:V296"/>
    <mergeCell ref="AK295:AN295"/>
    <mergeCell ref="AK296:AN296"/>
    <mergeCell ref="C295:C296"/>
    <mergeCell ref="D295:D296"/>
    <mergeCell ref="E295:E296"/>
    <mergeCell ref="G295:G296"/>
    <mergeCell ref="H295:H296"/>
    <mergeCell ref="I295:J296"/>
    <mergeCell ref="K295:K296"/>
    <mergeCell ref="L295:L296"/>
    <mergeCell ref="M295:N296"/>
    <mergeCell ref="W295:X296"/>
    <mergeCell ref="Y295:Y296"/>
    <mergeCell ref="Z295:Z296"/>
    <mergeCell ref="AA295:AA296"/>
    <mergeCell ref="AB295:AC296"/>
    <mergeCell ref="AD295:AD296"/>
    <mergeCell ref="AE295:AE296"/>
    <mergeCell ref="AF295:AF296"/>
    <mergeCell ref="AG295:AH296"/>
    <mergeCell ref="AI295:AI296"/>
    <mergeCell ref="AJ295:AJ296"/>
    <mergeCell ref="F295:F296"/>
    <mergeCell ref="O293:O294"/>
    <mergeCell ref="P293:P294"/>
    <mergeCell ref="Q293:Q294"/>
    <mergeCell ref="R293:S294"/>
    <mergeCell ref="T293:T294"/>
    <mergeCell ref="U293:U294"/>
    <mergeCell ref="V293:V294"/>
    <mergeCell ref="AK293:AN293"/>
    <mergeCell ref="AK294:AN294"/>
    <mergeCell ref="C293:C294"/>
    <mergeCell ref="D293:D294"/>
    <mergeCell ref="E293:E294"/>
    <mergeCell ref="G293:G294"/>
    <mergeCell ref="H293:H294"/>
    <mergeCell ref="I293:J294"/>
    <mergeCell ref="K293:K294"/>
    <mergeCell ref="L293:L294"/>
    <mergeCell ref="M293:N294"/>
    <mergeCell ref="W293:X294"/>
    <mergeCell ref="Y293:Y294"/>
    <mergeCell ref="Z293:Z294"/>
    <mergeCell ref="AA293:AA294"/>
    <mergeCell ref="AB293:AC294"/>
    <mergeCell ref="AD293:AD294"/>
    <mergeCell ref="AE293:AE294"/>
    <mergeCell ref="AF293:AF294"/>
    <mergeCell ref="AG293:AH294"/>
    <mergeCell ref="AI293:AI294"/>
    <mergeCell ref="AJ293:AJ294"/>
    <mergeCell ref="F293:F294"/>
    <mergeCell ref="O291:O292"/>
    <mergeCell ref="P291:P292"/>
    <mergeCell ref="Q291:Q292"/>
    <mergeCell ref="R291:S292"/>
    <mergeCell ref="T291:T292"/>
    <mergeCell ref="U291:U292"/>
    <mergeCell ref="V291:V292"/>
    <mergeCell ref="AK291:AN291"/>
    <mergeCell ref="AK292:AN292"/>
    <mergeCell ref="C291:C292"/>
    <mergeCell ref="D291:D292"/>
    <mergeCell ref="E291:E292"/>
    <mergeCell ref="G291:G292"/>
    <mergeCell ref="H291:H292"/>
    <mergeCell ref="I291:J292"/>
    <mergeCell ref="K291:K292"/>
    <mergeCell ref="L291:L292"/>
    <mergeCell ref="M291:N292"/>
    <mergeCell ref="W291:X292"/>
    <mergeCell ref="Y291:Y292"/>
    <mergeCell ref="Z291:Z292"/>
    <mergeCell ref="AA291:AA292"/>
    <mergeCell ref="AB291:AC292"/>
    <mergeCell ref="AD291:AD292"/>
    <mergeCell ref="AE291:AE292"/>
    <mergeCell ref="AF291:AF292"/>
    <mergeCell ref="AG291:AH292"/>
    <mergeCell ref="AI291:AI292"/>
    <mergeCell ref="AJ291:AJ292"/>
    <mergeCell ref="F291:F292"/>
    <mergeCell ref="O289:O290"/>
    <mergeCell ref="P289:P290"/>
    <mergeCell ref="Q289:Q290"/>
    <mergeCell ref="R289:S290"/>
    <mergeCell ref="T289:T290"/>
    <mergeCell ref="U289:U290"/>
    <mergeCell ref="V289:V290"/>
    <mergeCell ref="AK289:AN289"/>
    <mergeCell ref="AK290:AN290"/>
    <mergeCell ref="C289:C290"/>
    <mergeCell ref="D289:D290"/>
    <mergeCell ref="E289:E290"/>
    <mergeCell ref="G289:G290"/>
    <mergeCell ref="H289:H290"/>
    <mergeCell ref="I289:J290"/>
    <mergeCell ref="K289:K290"/>
    <mergeCell ref="L289:L290"/>
    <mergeCell ref="M289:N290"/>
    <mergeCell ref="W289:X290"/>
    <mergeCell ref="Y289:Y290"/>
    <mergeCell ref="Z289:Z290"/>
    <mergeCell ref="AA289:AA290"/>
    <mergeCell ref="AB289:AC290"/>
    <mergeCell ref="AD289:AD290"/>
    <mergeCell ref="AE289:AE290"/>
    <mergeCell ref="AF289:AF290"/>
    <mergeCell ref="AG289:AH290"/>
    <mergeCell ref="AI289:AI290"/>
    <mergeCell ref="AJ289:AJ290"/>
    <mergeCell ref="F289:F290"/>
    <mergeCell ref="O287:O288"/>
    <mergeCell ref="P287:P288"/>
    <mergeCell ref="Q287:Q288"/>
    <mergeCell ref="R287:S288"/>
    <mergeCell ref="T287:T288"/>
    <mergeCell ref="U287:U288"/>
    <mergeCell ref="V287:V288"/>
    <mergeCell ref="AK287:AN287"/>
    <mergeCell ref="AK288:AN288"/>
    <mergeCell ref="C287:C288"/>
    <mergeCell ref="D287:D288"/>
    <mergeCell ref="E287:E288"/>
    <mergeCell ref="G287:G288"/>
    <mergeCell ref="H287:H288"/>
    <mergeCell ref="I287:J288"/>
    <mergeCell ref="K287:K288"/>
    <mergeCell ref="L287:L288"/>
    <mergeCell ref="M287:N288"/>
    <mergeCell ref="W287:X288"/>
    <mergeCell ref="Y287:Y288"/>
    <mergeCell ref="Z287:Z288"/>
    <mergeCell ref="AA287:AA288"/>
    <mergeCell ref="AB287:AC288"/>
    <mergeCell ref="AD287:AD288"/>
    <mergeCell ref="AE287:AE288"/>
    <mergeCell ref="AF287:AF288"/>
    <mergeCell ref="AG287:AH288"/>
    <mergeCell ref="AI287:AI288"/>
    <mergeCell ref="AJ287:AJ288"/>
    <mergeCell ref="F287:F288"/>
    <mergeCell ref="O285:O286"/>
    <mergeCell ref="P285:P286"/>
    <mergeCell ref="Q285:Q286"/>
    <mergeCell ref="R285:S286"/>
    <mergeCell ref="T285:T286"/>
    <mergeCell ref="U285:U286"/>
    <mergeCell ref="V285:V286"/>
    <mergeCell ref="AK285:AN285"/>
    <mergeCell ref="AK286:AN286"/>
    <mergeCell ref="C285:C286"/>
    <mergeCell ref="D285:D286"/>
    <mergeCell ref="E285:E286"/>
    <mergeCell ref="G285:G286"/>
    <mergeCell ref="H285:H286"/>
    <mergeCell ref="I285:J286"/>
    <mergeCell ref="K285:K286"/>
    <mergeCell ref="L285:L286"/>
    <mergeCell ref="M285:N286"/>
    <mergeCell ref="W285:X286"/>
    <mergeCell ref="Y285:Y286"/>
    <mergeCell ref="Z285:Z286"/>
    <mergeCell ref="AA285:AA286"/>
    <mergeCell ref="AB285:AC286"/>
    <mergeCell ref="AD285:AD286"/>
    <mergeCell ref="AE285:AE286"/>
    <mergeCell ref="AF285:AF286"/>
    <mergeCell ref="AG285:AH286"/>
    <mergeCell ref="AI285:AI286"/>
    <mergeCell ref="AJ285:AJ286"/>
    <mergeCell ref="F285:F286"/>
    <mergeCell ref="O283:O284"/>
    <mergeCell ref="P283:P284"/>
    <mergeCell ref="Q283:Q284"/>
    <mergeCell ref="R283:S284"/>
    <mergeCell ref="T283:T284"/>
    <mergeCell ref="U283:U284"/>
    <mergeCell ref="V283:V284"/>
    <mergeCell ref="AK283:AN283"/>
    <mergeCell ref="AK284:AN284"/>
    <mergeCell ref="C283:C284"/>
    <mergeCell ref="D283:D284"/>
    <mergeCell ref="E283:E284"/>
    <mergeCell ref="G283:G284"/>
    <mergeCell ref="H283:H284"/>
    <mergeCell ref="I283:J284"/>
    <mergeCell ref="K283:K284"/>
    <mergeCell ref="L283:L284"/>
    <mergeCell ref="M283:N284"/>
    <mergeCell ref="W283:X284"/>
    <mergeCell ref="Y283:Y284"/>
    <mergeCell ref="Z283:Z284"/>
    <mergeCell ref="AA283:AA284"/>
    <mergeCell ref="AB283:AC284"/>
    <mergeCell ref="AD283:AD284"/>
    <mergeCell ref="AE283:AE284"/>
    <mergeCell ref="AF283:AF284"/>
    <mergeCell ref="AG283:AH284"/>
    <mergeCell ref="AI283:AI284"/>
    <mergeCell ref="AJ283:AJ284"/>
    <mergeCell ref="F283:F284"/>
    <mergeCell ref="O281:O282"/>
    <mergeCell ref="P281:P282"/>
    <mergeCell ref="Q281:Q282"/>
    <mergeCell ref="R281:S282"/>
    <mergeCell ref="T281:T282"/>
    <mergeCell ref="U281:U282"/>
    <mergeCell ref="V281:V282"/>
    <mergeCell ref="AK281:AN281"/>
    <mergeCell ref="AK282:AN282"/>
    <mergeCell ref="C281:C282"/>
    <mergeCell ref="D281:D282"/>
    <mergeCell ref="E281:E282"/>
    <mergeCell ref="G281:G282"/>
    <mergeCell ref="H281:H282"/>
    <mergeCell ref="I281:J282"/>
    <mergeCell ref="K281:K282"/>
    <mergeCell ref="L281:L282"/>
    <mergeCell ref="M281:N282"/>
    <mergeCell ref="W281:X282"/>
    <mergeCell ref="Y281:Y282"/>
    <mergeCell ref="Z281:Z282"/>
    <mergeCell ref="AA281:AA282"/>
    <mergeCell ref="AB281:AC282"/>
    <mergeCell ref="AD281:AD282"/>
    <mergeCell ref="AE281:AE282"/>
    <mergeCell ref="AF281:AF282"/>
    <mergeCell ref="AG281:AH282"/>
    <mergeCell ref="AI281:AI282"/>
    <mergeCell ref="AJ281:AJ282"/>
    <mergeCell ref="F281:F282"/>
    <mergeCell ref="O279:O280"/>
    <mergeCell ref="P279:P280"/>
    <mergeCell ref="Q279:Q280"/>
    <mergeCell ref="R279:S280"/>
    <mergeCell ref="T279:T280"/>
    <mergeCell ref="U279:U280"/>
    <mergeCell ref="V279:V280"/>
    <mergeCell ref="AK279:AN279"/>
    <mergeCell ref="AK280:AN280"/>
    <mergeCell ref="C279:C280"/>
    <mergeCell ref="D279:D280"/>
    <mergeCell ref="E279:E280"/>
    <mergeCell ref="G279:G280"/>
    <mergeCell ref="H279:H280"/>
    <mergeCell ref="I279:J280"/>
    <mergeCell ref="K279:K280"/>
    <mergeCell ref="L279:L280"/>
    <mergeCell ref="M279:N280"/>
    <mergeCell ref="W279:X280"/>
    <mergeCell ref="Y279:Y280"/>
    <mergeCell ref="Z279:Z280"/>
    <mergeCell ref="AA279:AA280"/>
    <mergeCell ref="AB279:AC280"/>
    <mergeCell ref="AD279:AD280"/>
    <mergeCell ref="AE279:AE280"/>
    <mergeCell ref="AF279:AF280"/>
    <mergeCell ref="AG279:AH280"/>
    <mergeCell ref="AI279:AI280"/>
    <mergeCell ref="AJ279:AJ280"/>
    <mergeCell ref="F279:F280"/>
    <mergeCell ref="O277:O278"/>
    <mergeCell ref="P277:P278"/>
    <mergeCell ref="Q277:Q278"/>
    <mergeCell ref="R277:S278"/>
    <mergeCell ref="T277:T278"/>
    <mergeCell ref="U277:U278"/>
    <mergeCell ref="V277:V278"/>
    <mergeCell ref="AK277:AN277"/>
    <mergeCell ref="AK278:AN278"/>
    <mergeCell ref="C277:C278"/>
    <mergeCell ref="D277:D278"/>
    <mergeCell ref="E277:E278"/>
    <mergeCell ref="G277:G278"/>
    <mergeCell ref="H277:H278"/>
    <mergeCell ref="I277:J278"/>
    <mergeCell ref="K277:K278"/>
    <mergeCell ref="L277:L278"/>
    <mergeCell ref="M277:N278"/>
    <mergeCell ref="W277:X278"/>
    <mergeCell ref="Y277:Y278"/>
    <mergeCell ref="Z277:Z278"/>
    <mergeCell ref="AA277:AA278"/>
    <mergeCell ref="AB277:AC278"/>
    <mergeCell ref="AD277:AD278"/>
    <mergeCell ref="AE277:AE278"/>
    <mergeCell ref="AF277:AF278"/>
    <mergeCell ref="AG277:AH278"/>
    <mergeCell ref="AI277:AI278"/>
    <mergeCell ref="AJ277:AJ278"/>
    <mergeCell ref="F277:F278"/>
    <mergeCell ref="O275:O276"/>
    <mergeCell ref="P275:P276"/>
    <mergeCell ref="Q275:Q276"/>
    <mergeCell ref="R275:S276"/>
    <mergeCell ref="T275:T276"/>
    <mergeCell ref="U275:U276"/>
    <mergeCell ref="V275:V276"/>
    <mergeCell ref="AK275:AN275"/>
    <mergeCell ref="AK276:AN276"/>
    <mergeCell ref="C275:C276"/>
    <mergeCell ref="D275:D276"/>
    <mergeCell ref="E275:E276"/>
    <mergeCell ref="G275:G276"/>
    <mergeCell ref="H275:H276"/>
    <mergeCell ref="I275:J276"/>
    <mergeCell ref="K275:K276"/>
    <mergeCell ref="L275:L276"/>
    <mergeCell ref="M275:N276"/>
    <mergeCell ref="W275:X276"/>
    <mergeCell ref="Y275:Y276"/>
    <mergeCell ref="Z275:Z276"/>
    <mergeCell ref="AA275:AA276"/>
    <mergeCell ref="AB275:AC276"/>
    <mergeCell ref="AD275:AD276"/>
    <mergeCell ref="AE275:AE276"/>
    <mergeCell ref="AF275:AF276"/>
    <mergeCell ref="AG275:AH276"/>
    <mergeCell ref="AI275:AI276"/>
    <mergeCell ref="AJ275:AJ276"/>
    <mergeCell ref="F275:F276"/>
    <mergeCell ref="O273:O274"/>
    <mergeCell ref="P273:P274"/>
    <mergeCell ref="Q273:Q274"/>
    <mergeCell ref="R273:S274"/>
    <mergeCell ref="T273:T274"/>
    <mergeCell ref="U273:U274"/>
    <mergeCell ref="V273:V274"/>
    <mergeCell ref="AK273:AN273"/>
    <mergeCell ref="AK274:AN274"/>
    <mergeCell ref="C273:C274"/>
    <mergeCell ref="D273:D274"/>
    <mergeCell ref="E273:E274"/>
    <mergeCell ref="G273:G274"/>
    <mergeCell ref="H273:H274"/>
    <mergeCell ref="I273:J274"/>
    <mergeCell ref="K273:K274"/>
    <mergeCell ref="L273:L274"/>
    <mergeCell ref="M273:N274"/>
    <mergeCell ref="W273:X274"/>
    <mergeCell ref="Y273:Y274"/>
    <mergeCell ref="Z273:Z274"/>
    <mergeCell ref="AA273:AA274"/>
    <mergeCell ref="AB273:AC274"/>
    <mergeCell ref="AD273:AD274"/>
    <mergeCell ref="AE273:AE274"/>
    <mergeCell ref="AF273:AF274"/>
    <mergeCell ref="AG273:AH274"/>
    <mergeCell ref="AI273:AI274"/>
    <mergeCell ref="AJ273:AJ274"/>
    <mergeCell ref="F273:F274"/>
    <mergeCell ref="O271:O272"/>
    <mergeCell ref="P271:P272"/>
    <mergeCell ref="Q271:Q272"/>
    <mergeCell ref="R271:S272"/>
    <mergeCell ref="T271:T272"/>
    <mergeCell ref="U271:U272"/>
    <mergeCell ref="V271:V272"/>
    <mergeCell ref="AK271:AN271"/>
    <mergeCell ref="AK272:AN272"/>
    <mergeCell ref="C271:C272"/>
    <mergeCell ref="D271:D272"/>
    <mergeCell ref="E271:E272"/>
    <mergeCell ref="G271:G272"/>
    <mergeCell ref="H271:H272"/>
    <mergeCell ref="I271:J272"/>
    <mergeCell ref="K271:K272"/>
    <mergeCell ref="L271:L272"/>
    <mergeCell ref="M271:N272"/>
    <mergeCell ref="W271:X272"/>
    <mergeCell ref="Y271:Y272"/>
    <mergeCell ref="Z271:Z272"/>
    <mergeCell ref="AA271:AA272"/>
    <mergeCell ref="AB271:AC272"/>
    <mergeCell ref="AD271:AD272"/>
    <mergeCell ref="AE271:AE272"/>
    <mergeCell ref="AF271:AF272"/>
    <mergeCell ref="AG271:AH272"/>
    <mergeCell ref="AI271:AI272"/>
    <mergeCell ref="AJ271:AJ272"/>
    <mergeCell ref="F271:F272"/>
    <mergeCell ref="O269:O270"/>
    <mergeCell ref="P269:P270"/>
    <mergeCell ref="Q269:Q270"/>
    <mergeCell ref="R269:S270"/>
    <mergeCell ref="T269:T270"/>
    <mergeCell ref="U269:U270"/>
    <mergeCell ref="V269:V270"/>
    <mergeCell ref="AK269:AN269"/>
    <mergeCell ref="AK270:AN270"/>
    <mergeCell ref="C269:C270"/>
    <mergeCell ref="D269:D270"/>
    <mergeCell ref="E269:E270"/>
    <mergeCell ref="G269:G270"/>
    <mergeCell ref="H269:H270"/>
    <mergeCell ref="I269:J270"/>
    <mergeCell ref="K269:K270"/>
    <mergeCell ref="L269:L270"/>
    <mergeCell ref="M269:N270"/>
    <mergeCell ref="W269:X270"/>
    <mergeCell ref="Y269:Y270"/>
    <mergeCell ref="Z269:Z270"/>
    <mergeCell ref="AA269:AA270"/>
    <mergeCell ref="AB269:AC270"/>
    <mergeCell ref="AD269:AD270"/>
    <mergeCell ref="AE269:AE270"/>
    <mergeCell ref="AF269:AF270"/>
    <mergeCell ref="AG269:AH270"/>
    <mergeCell ref="AI269:AI270"/>
    <mergeCell ref="AJ269:AJ270"/>
    <mergeCell ref="F269:F270"/>
    <mergeCell ref="O267:O268"/>
    <mergeCell ref="P267:P268"/>
    <mergeCell ref="Q267:Q268"/>
    <mergeCell ref="R267:S268"/>
    <mergeCell ref="T267:T268"/>
    <mergeCell ref="U267:U268"/>
    <mergeCell ref="V267:V268"/>
    <mergeCell ref="AK267:AN267"/>
    <mergeCell ref="AK268:AN268"/>
    <mergeCell ref="C267:C268"/>
    <mergeCell ref="D267:D268"/>
    <mergeCell ref="E267:E268"/>
    <mergeCell ref="G267:G268"/>
    <mergeCell ref="H267:H268"/>
    <mergeCell ref="I267:J268"/>
    <mergeCell ref="K267:K268"/>
    <mergeCell ref="L267:L268"/>
    <mergeCell ref="M267:N268"/>
    <mergeCell ref="W267:X268"/>
    <mergeCell ref="Y267:Y268"/>
    <mergeCell ref="Z267:Z268"/>
    <mergeCell ref="AA267:AA268"/>
    <mergeCell ref="AB267:AC268"/>
    <mergeCell ref="AD267:AD268"/>
    <mergeCell ref="AE267:AE268"/>
    <mergeCell ref="AF267:AF268"/>
    <mergeCell ref="AG267:AH268"/>
    <mergeCell ref="AI267:AI268"/>
    <mergeCell ref="AJ267:AJ268"/>
    <mergeCell ref="F267:F268"/>
    <mergeCell ref="O265:O266"/>
    <mergeCell ref="P265:P266"/>
    <mergeCell ref="Q265:Q266"/>
    <mergeCell ref="R265:S266"/>
    <mergeCell ref="T265:T266"/>
    <mergeCell ref="U265:U266"/>
    <mergeCell ref="V265:V266"/>
    <mergeCell ref="AK265:AN265"/>
    <mergeCell ref="AK266:AN266"/>
    <mergeCell ref="C265:C266"/>
    <mergeCell ref="D265:D266"/>
    <mergeCell ref="E265:E266"/>
    <mergeCell ref="G265:G266"/>
    <mergeCell ref="H265:H266"/>
    <mergeCell ref="I265:J266"/>
    <mergeCell ref="K265:K266"/>
    <mergeCell ref="L265:L266"/>
    <mergeCell ref="M265:N266"/>
    <mergeCell ref="W265:X266"/>
    <mergeCell ref="Y265:Y266"/>
    <mergeCell ref="Z265:Z266"/>
    <mergeCell ref="AA265:AA266"/>
    <mergeCell ref="AB265:AC266"/>
    <mergeCell ref="AD265:AD266"/>
    <mergeCell ref="AE265:AE266"/>
    <mergeCell ref="AF265:AF266"/>
    <mergeCell ref="AG265:AH266"/>
    <mergeCell ref="AI265:AI266"/>
    <mergeCell ref="AJ265:AJ266"/>
    <mergeCell ref="F265:F266"/>
    <mergeCell ref="O263:O264"/>
    <mergeCell ref="P263:P264"/>
    <mergeCell ref="Q263:Q264"/>
    <mergeCell ref="R263:S264"/>
    <mergeCell ref="T263:T264"/>
    <mergeCell ref="U263:U264"/>
    <mergeCell ref="V263:V264"/>
    <mergeCell ref="AK263:AN263"/>
    <mergeCell ref="AK264:AN264"/>
    <mergeCell ref="C263:C264"/>
    <mergeCell ref="D263:D264"/>
    <mergeCell ref="E263:E264"/>
    <mergeCell ref="G263:G264"/>
    <mergeCell ref="H263:H264"/>
    <mergeCell ref="I263:J264"/>
    <mergeCell ref="K263:K264"/>
    <mergeCell ref="L263:L264"/>
    <mergeCell ref="M263:N264"/>
    <mergeCell ref="W263:X264"/>
    <mergeCell ref="Y263:Y264"/>
    <mergeCell ref="Z263:Z264"/>
    <mergeCell ref="AA263:AA264"/>
    <mergeCell ref="AB263:AC264"/>
    <mergeCell ref="AD263:AD264"/>
    <mergeCell ref="AE263:AE264"/>
    <mergeCell ref="AF263:AF264"/>
    <mergeCell ref="AG263:AH264"/>
    <mergeCell ref="AI263:AI264"/>
    <mergeCell ref="AJ263:AJ264"/>
    <mergeCell ref="F263:F264"/>
    <mergeCell ref="O261:O262"/>
    <mergeCell ref="P261:P262"/>
    <mergeCell ref="Q261:Q262"/>
    <mergeCell ref="R261:S262"/>
    <mergeCell ref="T261:T262"/>
    <mergeCell ref="U261:U262"/>
    <mergeCell ref="V261:V262"/>
    <mergeCell ref="AK261:AN261"/>
    <mergeCell ref="AK262:AN262"/>
    <mergeCell ref="C261:C262"/>
    <mergeCell ref="D261:D262"/>
    <mergeCell ref="E261:E262"/>
    <mergeCell ref="G261:G262"/>
    <mergeCell ref="H261:H262"/>
    <mergeCell ref="I261:J262"/>
    <mergeCell ref="K261:K262"/>
    <mergeCell ref="L261:L262"/>
    <mergeCell ref="M261:N262"/>
    <mergeCell ref="W261:X262"/>
    <mergeCell ref="Y261:Y262"/>
    <mergeCell ref="Z261:Z262"/>
    <mergeCell ref="AA261:AA262"/>
    <mergeCell ref="AB261:AC262"/>
    <mergeCell ref="AD261:AD262"/>
    <mergeCell ref="AE261:AE262"/>
    <mergeCell ref="AF261:AF262"/>
    <mergeCell ref="AG261:AH262"/>
    <mergeCell ref="AI261:AI262"/>
    <mergeCell ref="AJ261:AJ262"/>
    <mergeCell ref="F261:F262"/>
    <mergeCell ref="O259:O260"/>
    <mergeCell ref="P259:P260"/>
    <mergeCell ref="Q259:Q260"/>
    <mergeCell ref="R259:S260"/>
    <mergeCell ref="T259:T260"/>
    <mergeCell ref="U259:U260"/>
    <mergeCell ref="V259:V260"/>
    <mergeCell ref="AK259:AN259"/>
    <mergeCell ref="AK260:AN260"/>
    <mergeCell ref="C259:C260"/>
    <mergeCell ref="D259:D260"/>
    <mergeCell ref="E259:E260"/>
    <mergeCell ref="G259:G260"/>
    <mergeCell ref="H259:H260"/>
    <mergeCell ref="I259:J260"/>
    <mergeCell ref="K259:K260"/>
    <mergeCell ref="L259:L260"/>
    <mergeCell ref="M259:N260"/>
    <mergeCell ref="W259:X260"/>
    <mergeCell ref="Y259:Y260"/>
    <mergeCell ref="Z259:Z260"/>
    <mergeCell ref="AA259:AA260"/>
    <mergeCell ref="AB259:AC260"/>
    <mergeCell ref="AD259:AD260"/>
    <mergeCell ref="AE259:AE260"/>
    <mergeCell ref="AF259:AF260"/>
    <mergeCell ref="AG259:AH260"/>
    <mergeCell ref="AI259:AI260"/>
    <mergeCell ref="AJ259:AJ260"/>
    <mergeCell ref="F259:F260"/>
    <mergeCell ref="O257:O258"/>
    <mergeCell ref="P257:P258"/>
    <mergeCell ref="Q257:Q258"/>
    <mergeCell ref="R257:S258"/>
    <mergeCell ref="T257:T258"/>
    <mergeCell ref="U257:U258"/>
    <mergeCell ref="V257:V258"/>
    <mergeCell ref="AK257:AN257"/>
    <mergeCell ref="AK258:AN258"/>
    <mergeCell ref="C257:C258"/>
    <mergeCell ref="D257:D258"/>
    <mergeCell ref="E257:E258"/>
    <mergeCell ref="G257:G258"/>
    <mergeCell ref="H257:H258"/>
    <mergeCell ref="I257:J258"/>
    <mergeCell ref="K257:K258"/>
    <mergeCell ref="L257:L258"/>
    <mergeCell ref="M257:N258"/>
    <mergeCell ref="W257:X258"/>
    <mergeCell ref="Y257:Y258"/>
    <mergeCell ref="Z257:Z258"/>
    <mergeCell ref="AA257:AA258"/>
    <mergeCell ref="AB257:AC258"/>
    <mergeCell ref="AD257:AD258"/>
    <mergeCell ref="AE257:AE258"/>
    <mergeCell ref="AF257:AF258"/>
    <mergeCell ref="AG257:AH258"/>
    <mergeCell ref="AI257:AI258"/>
    <mergeCell ref="AJ257:AJ258"/>
    <mergeCell ref="F257:F258"/>
    <mergeCell ref="O255:O256"/>
    <mergeCell ref="P255:P256"/>
    <mergeCell ref="Q255:Q256"/>
    <mergeCell ref="R255:S256"/>
    <mergeCell ref="T255:T256"/>
    <mergeCell ref="U255:U256"/>
    <mergeCell ref="V255:V256"/>
    <mergeCell ref="AK255:AN255"/>
    <mergeCell ref="AK256:AN256"/>
    <mergeCell ref="C255:C256"/>
    <mergeCell ref="D255:D256"/>
    <mergeCell ref="E255:E256"/>
    <mergeCell ref="G255:G256"/>
    <mergeCell ref="H255:H256"/>
    <mergeCell ref="I255:J256"/>
    <mergeCell ref="K255:K256"/>
    <mergeCell ref="L255:L256"/>
    <mergeCell ref="M255:N256"/>
    <mergeCell ref="W255:X256"/>
    <mergeCell ref="Y255:Y256"/>
    <mergeCell ref="Z255:Z256"/>
    <mergeCell ref="AA255:AA256"/>
    <mergeCell ref="AB255:AC256"/>
    <mergeCell ref="AD255:AD256"/>
    <mergeCell ref="AE255:AE256"/>
    <mergeCell ref="AF255:AF256"/>
    <mergeCell ref="AG255:AH256"/>
    <mergeCell ref="AI255:AI256"/>
    <mergeCell ref="AJ255:AJ256"/>
    <mergeCell ref="F255:F256"/>
    <mergeCell ref="O253:O254"/>
    <mergeCell ref="P253:P254"/>
    <mergeCell ref="Q253:Q254"/>
    <mergeCell ref="R253:S254"/>
    <mergeCell ref="T253:T254"/>
    <mergeCell ref="U253:U254"/>
    <mergeCell ref="V253:V254"/>
    <mergeCell ref="AK253:AN253"/>
    <mergeCell ref="AK254:AN254"/>
    <mergeCell ref="C253:C254"/>
    <mergeCell ref="D253:D254"/>
    <mergeCell ref="E253:E254"/>
    <mergeCell ref="G253:G254"/>
    <mergeCell ref="H253:H254"/>
    <mergeCell ref="I253:J254"/>
    <mergeCell ref="K253:K254"/>
    <mergeCell ref="L253:L254"/>
    <mergeCell ref="M253:N254"/>
    <mergeCell ref="W253:X254"/>
    <mergeCell ref="Y253:Y254"/>
    <mergeCell ref="Z253:Z254"/>
    <mergeCell ref="AA253:AA254"/>
    <mergeCell ref="AB253:AC254"/>
    <mergeCell ref="AD253:AD254"/>
    <mergeCell ref="AE253:AE254"/>
    <mergeCell ref="AF253:AF254"/>
    <mergeCell ref="AG253:AH254"/>
    <mergeCell ref="AI253:AI254"/>
    <mergeCell ref="AJ253:AJ254"/>
    <mergeCell ref="F253:F254"/>
    <mergeCell ref="O251:O252"/>
    <mergeCell ref="P251:P252"/>
    <mergeCell ref="Q251:Q252"/>
    <mergeCell ref="R251:S252"/>
    <mergeCell ref="T251:T252"/>
    <mergeCell ref="U251:U252"/>
    <mergeCell ref="V251:V252"/>
    <mergeCell ref="AK251:AN251"/>
    <mergeCell ref="AK252:AN252"/>
    <mergeCell ref="C251:C252"/>
    <mergeCell ref="D251:D252"/>
    <mergeCell ref="E251:E252"/>
    <mergeCell ref="G251:G252"/>
    <mergeCell ref="H251:H252"/>
    <mergeCell ref="I251:J252"/>
    <mergeCell ref="K251:K252"/>
    <mergeCell ref="L251:L252"/>
    <mergeCell ref="M251:N252"/>
    <mergeCell ref="W251:X252"/>
    <mergeCell ref="Y251:Y252"/>
    <mergeCell ref="Z251:Z252"/>
    <mergeCell ref="AA251:AA252"/>
    <mergeCell ref="AB251:AC252"/>
    <mergeCell ref="AD251:AD252"/>
    <mergeCell ref="AE251:AE252"/>
    <mergeCell ref="AF251:AF252"/>
    <mergeCell ref="AG251:AH252"/>
    <mergeCell ref="AI251:AI252"/>
    <mergeCell ref="AJ251:AJ252"/>
    <mergeCell ref="F251:F252"/>
    <mergeCell ref="O249:O250"/>
    <mergeCell ref="P249:P250"/>
    <mergeCell ref="Q249:Q250"/>
    <mergeCell ref="R249:S250"/>
    <mergeCell ref="T249:T250"/>
    <mergeCell ref="U249:U250"/>
    <mergeCell ref="V249:V250"/>
    <mergeCell ref="AK249:AN249"/>
    <mergeCell ref="AK250:AN250"/>
    <mergeCell ref="C249:C250"/>
    <mergeCell ref="D249:D250"/>
    <mergeCell ref="E249:E250"/>
    <mergeCell ref="G249:G250"/>
    <mergeCell ref="H249:H250"/>
    <mergeCell ref="I249:J250"/>
    <mergeCell ref="K249:K250"/>
    <mergeCell ref="L249:L250"/>
    <mergeCell ref="M249:N250"/>
    <mergeCell ref="W249:X250"/>
    <mergeCell ref="Y249:Y250"/>
    <mergeCell ref="Z249:Z250"/>
    <mergeCell ref="AA249:AA250"/>
    <mergeCell ref="AB249:AC250"/>
    <mergeCell ref="AD249:AD250"/>
    <mergeCell ref="AE249:AE250"/>
    <mergeCell ref="AF249:AF250"/>
    <mergeCell ref="AG249:AH250"/>
    <mergeCell ref="AI249:AI250"/>
    <mergeCell ref="AJ249:AJ250"/>
    <mergeCell ref="F249:F250"/>
    <mergeCell ref="O247:O248"/>
    <mergeCell ref="P247:P248"/>
    <mergeCell ref="Q247:Q248"/>
    <mergeCell ref="R247:S248"/>
    <mergeCell ref="T247:T248"/>
    <mergeCell ref="U247:U248"/>
    <mergeCell ref="V247:V248"/>
    <mergeCell ref="AK247:AN247"/>
    <mergeCell ref="AK248:AN248"/>
    <mergeCell ref="C247:C248"/>
    <mergeCell ref="D247:D248"/>
    <mergeCell ref="E247:E248"/>
    <mergeCell ref="G247:G248"/>
    <mergeCell ref="H247:H248"/>
    <mergeCell ref="I247:J248"/>
    <mergeCell ref="K247:K248"/>
    <mergeCell ref="L247:L248"/>
    <mergeCell ref="M247:N248"/>
    <mergeCell ref="W247:X248"/>
    <mergeCell ref="Y247:Y248"/>
    <mergeCell ref="Z247:Z248"/>
    <mergeCell ref="AA247:AA248"/>
    <mergeCell ref="AB247:AC248"/>
    <mergeCell ref="AD247:AD248"/>
    <mergeCell ref="AE247:AE248"/>
    <mergeCell ref="AF247:AF248"/>
    <mergeCell ref="AG247:AH248"/>
    <mergeCell ref="AI247:AI248"/>
    <mergeCell ref="AJ247:AJ248"/>
    <mergeCell ref="F247:F248"/>
    <mergeCell ref="O245:O246"/>
    <mergeCell ref="P245:P246"/>
    <mergeCell ref="Q245:Q246"/>
    <mergeCell ref="R245:S246"/>
    <mergeCell ref="T245:T246"/>
    <mergeCell ref="U245:U246"/>
    <mergeCell ref="V245:V246"/>
    <mergeCell ref="AK245:AN245"/>
    <mergeCell ref="AK246:AN246"/>
    <mergeCell ref="C245:C246"/>
    <mergeCell ref="D245:D246"/>
    <mergeCell ref="E245:E246"/>
    <mergeCell ref="G245:G246"/>
    <mergeCell ref="H245:H246"/>
    <mergeCell ref="I245:J246"/>
    <mergeCell ref="K245:K246"/>
    <mergeCell ref="L245:L246"/>
    <mergeCell ref="M245:N246"/>
    <mergeCell ref="W245:X246"/>
    <mergeCell ref="Y245:Y246"/>
    <mergeCell ref="Z245:Z246"/>
    <mergeCell ref="AA245:AA246"/>
    <mergeCell ref="AB245:AC246"/>
    <mergeCell ref="AD245:AD246"/>
    <mergeCell ref="AE245:AE246"/>
    <mergeCell ref="AF245:AF246"/>
    <mergeCell ref="AG245:AH246"/>
    <mergeCell ref="AI245:AI246"/>
    <mergeCell ref="AJ245:AJ246"/>
    <mergeCell ref="F245:F246"/>
    <mergeCell ref="O243:O244"/>
    <mergeCell ref="P243:P244"/>
    <mergeCell ref="Q243:Q244"/>
    <mergeCell ref="R243:S244"/>
    <mergeCell ref="T243:T244"/>
    <mergeCell ref="U243:U244"/>
    <mergeCell ref="V243:V244"/>
    <mergeCell ref="AK243:AN243"/>
    <mergeCell ref="AK244:AN244"/>
    <mergeCell ref="C243:C244"/>
    <mergeCell ref="D243:D244"/>
    <mergeCell ref="E243:E244"/>
    <mergeCell ref="G243:G244"/>
    <mergeCell ref="H243:H244"/>
    <mergeCell ref="I243:J244"/>
    <mergeCell ref="K243:K244"/>
    <mergeCell ref="L243:L244"/>
    <mergeCell ref="M243:N244"/>
    <mergeCell ref="W243:X244"/>
    <mergeCell ref="Y243:Y244"/>
    <mergeCell ref="Z243:Z244"/>
    <mergeCell ref="AA243:AA244"/>
    <mergeCell ref="AB243:AC244"/>
    <mergeCell ref="AD243:AD244"/>
    <mergeCell ref="AE243:AE244"/>
    <mergeCell ref="AF243:AF244"/>
    <mergeCell ref="AG243:AH244"/>
    <mergeCell ref="AI243:AI244"/>
    <mergeCell ref="AJ243:AJ244"/>
    <mergeCell ref="F243:F244"/>
    <mergeCell ref="O241:O242"/>
    <mergeCell ref="P241:P242"/>
    <mergeCell ref="Q241:Q242"/>
    <mergeCell ref="R241:S242"/>
    <mergeCell ref="T241:T242"/>
    <mergeCell ref="U241:U242"/>
    <mergeCell ref="V241:V242"/>
    <mergeCell ref="AK241:AN241"/>
    <mergeCell ref="AK242:AN242"/>
    <mergeCell ref="C241:C242"/>
    <mergeCell ref="D241:D242"/>
    <mergeCell ref="E241:E242"/>
    <mergeCell ref="G241:G242"/>
    <mergeCell ref="H241:H242"/>
    <mergeCell ref="I241:J242"/>
    <mergeCell ref="K241:K242"/>
    <mergeCell ref="L241:L242"/>
    <mergeCell ref="M241:N242"/>
    <mergeCell ref="W241:X242"/>
    <mergeCell ref="Y241:Y242"/>
    <mergeCell ref="Z241:Z242"/>
    <mergeCell ref="AA241:AA242"/>
    <mergeCell ref="AB241:AC242"/>
    <mergeCell ref="AD241:AD242"/>
    <mergeCell ref="AE241:AE242"/>
    <mergeCell ref="AF241:AF242"/>
    <mergeCell ref="AG241:AH242"/>
    <mergeCell ref="AI241:AI242"/>
    <mergeCell ref="AJ241:AJ242"/>
    <mergeCell ref="F241:F242"/>
    <mergeCell ref="O239:O240"/>
    <mergeCell ref="P239:P240"/>
    <mergeCell ref="Q239:Q240"/>
    <mergeCell ref="R239:S240"/>
    <mergeCell ref="T239:T240"/>
    <mergeCell ref="U239:U240"/>
    <mergeCell ref="V239:V240"/>
    <mergeCell ref="AK239:AN239"/>
    <mergeCell ref="AK240:AN240"/>
    <mergeCell ref="C239:C240"/>
    <mergeCell ref="D239:D240"/>
    <mergeCell ref="E239:E240"/>
    <mergeCell ref="G239:G240"/>
    <mergeCell ref="H239:H240"/>
    <mergeCell ref="I239:J240"/>
    <mergeCell ref="K239:K240"/>
    <mergeCell ref="L239:L240"/>
    <mergeCell ref="M239:N240"/>
    <mergeCell ref="W239:X240"/>
    <mergeCell ref="Y239:Y240"/>
    <mergeCell ref="Z239:Z240"/>
    <mergeCell ref="AA239:AA240"/>
    <mergeCell ref="AB239:AC240"/>
    <mergeCell ref="AD239:AD240"/>
    <mergeCell ref="AE239:AE240"/>
    <mergeCell ref="AF239:AF240"/>
    <mergeCell ref="AG239:AH240"/>
    <mergeCell ref="AI239:AI240"/>
    <mergeCell ref="AJ239:AJ240"/>
    <mergeCell ref="F239:F240"/>
    <mergeCell ref="O237:O238"/>
    <mergeCell ref="P237:P238"/>
    <mergeCell ref="Q237:Q238"/>
    <mergeCell ref="R237:S238"/>
    <mergeCell ref="T237:T238"/>
    <mergeCell ref="U237:U238"/>
    <mergeCell ref="V237:V238"/>
    <mergeCell ref="AK237:AN237"/>
    <mergeCell ref="AK238:AN238"/>
    <mergeCell ref="C237:C238"/>
    <mergeCell ref="D237:D238"/>
    <mergeCell ref="E237:E238"/>
    <mergeCell ref="G237:G238"/>
    <mergeCell ref="H237:H238"/>
    <mergeCell ref="I237:J238"/>
    <mergeCell ref="K237:K238"/>
    <mergeCell ref="L237:L238"/>
    <mergeCell ref="M237:N238"/>
    <mergeCell ref="W237:X238"/>
    <mergeCell ref="Y237:Y238"/>
    <mergeCell ref="Z237:Z238"/>
    <mergeCell ref="AA237:AA238"/>
    <mergeCell ref="AB237:AC238"/>
    <mergeCell ref="AD237:AD238"/>
    <mergeCell ref="AE237:AE238"/>
    <mergeCell ref="AF237:AF238"/>
    <mergeCell ref="AG237:AH238"/>
    <mergeCell ref="AI237:AI238"/>
    <mergeCell ref="AJ237:AJ238"/>
    <mergeCell ref="F237:F238"/>
    <mergeCell ref="O235:O236"/>
    <mergeCell ref="P235:P236"/>
    <mergeCell ref="Q235:Q236"/>
    <mergeCell ref="R235:S236"/>
    <mergeCell ref="T235:T236"/>
    <mergeCell ref="U235:U236"/>
    <mergeCell ref="V235:V236"/>
    <mergeCell ref="AK235:AN235"/>
    <mergeCell ref="AK236:AN236"/>
    <mergeCell ref="C235:C236"/>
    <mergeCell ref="D235:D236"/>
    <mergeCell ref="E235:E236"/>
    <mergeCell ref="G235:G236"/>
    <mergeCell ref="H235:H236"/>
    <mergeCell ref="I235:J236"/>
    <mergeCell ref="K235:K236"/>
    <mergeCell ref="L235:L236"/>
    <mergeCell ref="M235:N236"/>
    <mergeCell ref="W235:X236"/>
    <mergeCell ref="Y235:Y236"/>
    <mergeCell ref="Z235:Z236"/>
    <mergeCell ref="AA235:AA236"/>
    <mergeCell ref="AB235:AC236"/>
    <mergeCell ref="AD235:AD236"/>
    <mergeCell ref="AE235:AE236"/>
    <mergeCell ref="AF235:AF236"/>
    <mergeCell ref="AG235:AH236"/>
    <mergeCell ref="AI235:AI236"/>
    <mergeCell ref="AJ235:AJ236"/>
    <mergeCell ref="F235:F236"/>
    <mergeCell ref="O233:O234"/>
    <mergeCell ref="P233:P234"/>
    <mergeCell ref="Q233:Q234"/>
    <mergeCell ref="R233:S234"/>
    <mergeCell ref="T233:T234"/>
    <mergeCell ref="U233:U234"/>
    <mergeCell ref="V233:V234"/>
    <mergeCell ref="AK233:AN233"/>
    <mergeCell ref="AK234:AN234"/>
    <mergeCell ref="C233:C234"/>
    <mergeCell ref="D233:D234"/>
    <mergeCell ref="E233:E234"/>
    <mergeCell ref="G233:G234"/>
    <mergeCell ref="H233:H234"/>
    <mergeCell ref="I233:J234"/>
    <mergeCell ref="K233:K234"/>
    <mergeCell ref="L233:L234"/>
    <mergeCell ref="M233:N234"/>
    <mergeCell ref="W233:X234"/>
    <mergeCell ref="Y233:Y234"/>
    <mergeCell ref="Z233:Z234"/>
    <mergeCell ref="AA233:AA234"/>
    <mergeCell ref="AB233:AC234"/>
    <mergeCell ref="AD233:AD234"/>
    <mergeCell ref="AE233:AE234"/>
    <mergeCell ref="AF233:AF234"/>
    <mergeCell ref="AG233:AH234"/>
    <mergeCell ref="AI233:AI234"/>
    <mergeCell ref="AJ233:AJ234"/>
    <mergeCell ref="F233:F234"/>
    <mergeCell ref="O231:O232"/>
    <mergeCell ref="P231:P232"/>
    <mergeCell ref="Q231:Q232"/>
    <mergeCell ref="R231:S232"/>
    <mergeCell ref="T231:T232"/>
    <mergeCell ref="U231:U232"/>
    <mergeCell ref="V231:V232"/>
    <mergeCell ref="AK231:AN231"/>
    <mergeCell ref="AK232:AN232"/>
    <mergeCell ref="C231:C232"/>
    <mergeCell ref="D231:D232"/>
    <mergeCell ref="E231:E232"/>
    <mergeCell ref="G231:G232"/>
    <mergeCell ref="H231:H232"/>
    <mergeCell ref="I231:J232"/>
    <mergeCell ref="K231:K232"/>
    <mergeCell ref="L231:L232"/>
    <mergeCell ref="M231:N232"/>
    <mergeCell ref="W231:X232"/>
    <mergeCell ref="Y231:Y232"/>
    <mergeCell ref="Z231:Z232"/>
    <mergeCell ref="AA231:AA232"/>
    <mergeCell ref="AB231:AC232"/>
    <mergeCell ref="AD231:AD232"/>
    <mergeCell ref="AE231:AE232"/>
    <mergeCell ref="AF231:AF232"/>
    <mergeCell ref="AG231:AH232"/>
    <mergeCell ref="AI231:AI232"/>
    <mergeCell ref="AJ231:AJ232"/>
    <mergeCell ref="F231:F232"/>
    <mergeCell ref="O229:O230"/>
    <mergeCell ref="P229:P230"/>
    <mergeCell ref="Q229:Q230"/>
    <mergeCell ref="R229:S230"/>
    <mergeCell ref="T229:T230"/>
    <mergeCell ref="U229:U230"/>
    <mergeCell ref="V229:V230"/>
    <mergeCell ref="AK229:AN229"/>
    <mergeCell ref="AK230:AN230"/>
    <mergeCell ref="C229:C230"/>
    <mergeCell ref="D229:D230"/>
    <mergeCell ref="E229:E230"/>
    <mergeCell ref="G229:G230"/>
    <mergeCell ref="H229:H230"/>
    <mergeCell ref="I229:J230"/>
    <mergeCell ref="K229:K230"/>
    <mergeCell ref="L229:L230"/>
    <mergeCell ref="M229:N230"/>
    <mergeCell ref="W229:X230"/>
    <mergeCell ref="Y229:Y230"/>
    <mergeCell ref="Z229:Z230"/>
    <mergeCell ref="AA229:AA230"/>
    <mergeCell ref="AB229:AC230"/>
    <mergeCell ref="AD229:AD230"/>
    <mergeCell ref="AE229:AE230"/>
    <mergeCell ref="AF229:AF230"/>
    <mergeCell ref="AG229:AH230"/>
    <mergeCell ref="AI229:AI230"/>
    <mergeCell ref="AJ229:AJ230"/>
    <mergeCell ref="F229:F230"/>
    <mergeCell ref="O227:O228"/>
    <mergeCell ref="P227:P228"/>
    <mergeCell ref="Q227:Q228"/>
    <mergeCell ref="R227:S228"/>
    <mergeCell ref="T227:T228"/>
    <mergeCell ref="U227:U228"/>
    <mergeCell ref="V227:V228"/>
    <mergeCell ref="AK227:AN227"/>
    <mergeCell ref="AK228:AN228"/>
    <mergeCell ref="C227:C228"/>
    <mergeCell ref="D227:D228"/>
    <mergeCell ref="E227:E228"/>
    <mergeCell ref="G227:G228"/>
    <mergeCell ref="H227:H228"/>
    <mergeCell ref="I227:J228"/>
    <mergeCell ref="K227:K228"/>
    <mergeCell ref="L227:L228"/>
    <mergeCell ref="M227:N228"/>
    <mergeCell ref="W227:X228"/>
    <mergeCell ref="Y227:Y228"/>
    <mergeCell ref="Z227:Z228"/>
    <mergeCell ref="AA227:AA228"/>
    <mergeCell ref="AB227:AC228"/>
    <mergeCell ref="AD227:AD228"/>
    <mergeCell ref="AE227:AE228"/>
    <mergeCell ref="AF227:AF228"/>
    <mergeCell ref="AG227:AH228"/>
    <mergeCell ref="AI227:AI228"/>
    <mergeCell ref="AJ227:AJ228"/>
    <mergeCell ref="F227:F228"/>
    <mergeCell ref="O225:O226"/>
    <mergeCell ref="P225:P226"/>
    <mergeCell ref="Q225:Q226"/>
    <mergeCell ref="R225:S226"/>
    <mergeCell ref="T225:T226"/>
    <mergeCell ref="U225:U226"/>
    <mergeCell ref="V225:V226"/>
    <mergeCell ref="AK225:AN225"/>
    <mergeCell ref="AK226:AN226"/>
    <mergeCell ref="C225:C226"/>
    <mergeCell ref="D225:D226"/>
    <mergeCell ref="E225:E226"/>
    <mergeCell ref="G225:G226"/>
    <mergeCell ref="H225:H226"/>
    <mergeCell ref="I225:J226"/>
    <mergeCell ref="K225:K226"/>
    <mergeCell ref="L225:L226"/>
    <mergeCell ref="M225:N226"/>
    <mergeCell ref="W225:X226"/>
    <mergeCell ref="Y225:Y226"/>
    <mergeCell ref="Z225:Z226"/>
    <mergeCell ref="AA225:AA226"/>
    <mergeCell ref="AB225:AC226"/>
    <mergeCell ref="AD225:AD226"/>
    <mergeCell ref="AE225:AE226"/>
    <mergeCell ref="AF225:AF226"/>
    <mergeCell ref="AG225:AH226"/>
    <mergeCell ref="AI225:AI226"/>
    <mergeCell ref="AJ225:AJ226"/>
    <mergeCell ref="F225:F226"/>
    <mergeCell ref="O223:O224"/>
    <mergeCell ref="P223:P224"/>
    <mergeCell ref="Q223:Q224"/>
    <mergeCell ref="R223:S224"/>
    <mergeCell ref="T223:T224"/>
    <mergeCell ref="U223:U224"/>
    <mergeCell ref="V223:V224"/>
    <mergeCell ref="AK223:AN223"/>
    <mergeCell ref="AK224:AN224"/>
    <mergeCell ref="C223:C224"/>
    <mergeCell ref="D223:D224"/>
    <mergeCell ref="E223:E224"/>
    <mergeCell ref="G223:G224"/>
    <mergeCell ref="H223:H224"/>
    <mergeCell ref="I223:J224"/>
    <mergeCell ref="K223:K224"/>
    <mergeCell ref="L223:L224"/>
    <mergeCell ref="M223:N224"/>
    <mergeCell ref="W223:X224"/>
    <mergeCell ref="Y223:Y224"/>
    <mergeCell ref="Z223:Z224"/>
    <mergeCell ref="AA223:AA224"/>
    <mergeCell ref="AB223:AC224"/>
    <mergeCell ref="AD223:AD224"/>
    <mergeCell ref="AE223:AE224"/>
    <mergeCell ref="AF223:AF224"/>
    <mergeCell ref="AG223:AH224"/>
    <mergeCell ref="AI223:AI224"/>
    <mergeCell ref="AJ223:AJ224"/>
    <mergeCell ref="F223:F224"/>
    <mergeCell ref="O221:O222"/>
    <mergeCell ref="P221:P222"/>
    <mergeCell ref="Q221:Q222"/>
    <mergeCell ref="R221:S222"/>
    <mergeCell ref="T221:T222"/>
    <mergeCell ref="U221:U222"/>
    <mergeCell ref="V221:V222"/>
    <mergeCell ref="AK221:AN221"/>
    <mergeCell ref="AK222:AN222"/>
    <mergeCell ref="C221:C222"/>
    <mergeCell ref="D221:D222"/>
    <mergeCell ref="E221:E222"/>
    <mergeCell ref="G221:G222"/>
    <mergeCell ref="H221:H222"/>
    <mergeCell ref="I221:J222"/>
    <mergeCell ref="K221:K222"/>
    <mergeCell ref="L221:L222"/>
    <mergeCell ref="M221:N222"/>
    <mergeCell ref="W221:X222"/>
    <mergeCell ref="Y221:Y222"/>
    <mergeCell ref="Z221:Z222"/>
    <mergeCell ref="AA221:AA222"/>
    <mergeCell ref="AB221:AC222"/>
    <mergeCell ref="AD221:AD222"/>
    <mergeCell ref="AE221:AE222"/>
    <mergeCell ref="AF221:AF222"/>
    <mergeCell ref="AG221:AH222"/>
    <mergeCell ref="AI221:AI222"/>
    <mergeCell ref="AJ221:AJ222"/>
    <mergeCell ref="F221:F222"/>
    <mergeCell ref="O219:O220"/>
    <mergeCell ref="P219:P220"/>
    <mergeCell ref="Q219:Q220"/>
    <mergeCell ref="R219:S220"/>
    <mergeCell ref="T219:T220"/>
    <mergeCell ref="U219:U220"/>
    <mergeCell ref="V219:V220"/>
    <mergeCell ref="AK219:AN219"/>
    <mergeCell ref="AK220:AN220"/>
    <mergeCell ref="C219:C220"/>
    <mergeCell ref="D219:D220"/>
    <mergeCell ref="E219:E220"/>
    <mergeCell ref="G219:G220"/>
    <mergeCell ref="H219:H220"/>
    <mergeCell ref="I219:J220"/>
    <mergeCell ref="K219:K220"/>
    <mergeCell ref="L219:L220"/>
    <mergeCell ref="M219:N220"/>
    <mergeCell ref="W219:X220"/>
    <mergeCell ref="Y219:Y220"/>
    <mergeCell ref="Z219:Z220"/>
    <mergeCell ref="AA219:AA220"/>
    <mergeCell ref="AB219:AC220"/>
    <mergeCell ref="AD219:AD220"/>
    <mergeCell ref="AE219:AE220"/>
    <mergeCell ref="AF219:AF220"/>
    <mergeCell ref="AG219:AH220"/>
    <mergeCell ref="AI219:AI220"/>
    <mergeCell ref="AJ219:AJ220"/>
    <mergeCell ref="F219:F220"/>
    <mergeCell ref="O217:O218"/>
    <mergeCell ref="P217:P218"/>
    <mergeCell ref="Q217:Q218"/>
    <mergeCell ref="R217:S218"/>
    <mergeCell ref="T217:T218"/>
    <mergeCell ref="U217:U218"/>
    <mergeCell ref="V217:V218"/>
    <mergeCell ref="AK217:AN217"/>
    <mergeCell ref="AK218:AN218"/>
    <mergeCell ref="C217:C218"/>
    <mergeCell ref="D217:D218"/>
    <mergeCell ref="E217:E218"/>
    <mergeCell ref="G217:G218"/>
    <mergeCell ref="H217:H218"/>
    <mergeCell ref="I217:J218"/>
    <mergeCell ref="K217:K218"/>
    <mergeCell ref="L217:L218"/>
    <mergeCell ref="M217:N218"/>
    <mergeCell ref="W217:X218"/>
    <mergeCell ref="Y217:Y218"/>
    <mergeCell ref="Z217:Z218"/>
    <mergeCell ref="AA217:AA218"/>
    <mergeCell ref="AB217:AC218"/>
    <mergeCell ref="AD217:AD218"/>
    <mergeCell ref="AE217:AE218"/>
    <mergeCell ref="AF217:AF218"/>
    <mergeCell ref="AG217:AH218"/>
    <mergeCell ref="AI217:AI218"/>
    <mergeCell ref="AJ217:AJ218"/>
    <mergeCell ref="F217:F218"/>
    <mergeCell ref="O215:O216"/>
    <mergeCell ref="P215:P216"/>
    <mergeCell ref="Q215:Q216"/>
    <mergeCell ref="R215:S216"/>
    <mergeCell ref="T215:T216"/>
    <mergeCell ref="U215:U216"/>
    <mergeCell ref="V215:V216"/>
    <mergeCell ref="AK215:AN215"/>
    <mergeCell ref="AK216:AN216"/>
    <mergeCell ref="C215:C216"/>
    <mergeCell ref="D215:D216"/>
    <mergeCell ref="E215:E216"/>
    <mergeCell ref="G215:G216"/>
    <mergeCell ref="H215:H216"/>
    <mergeCell ref="I215:J216"/>
    <mergeCell ref="K215:K216"/>
    <mergeCell ref="L215:L216"/>
    <mergeCell ref="M215:N216"/>
    <mergeCell ref="W215:X216"/>
    <mergeCell ref="Y215:Y216"/>
    <mergeCell ref="Z215:Z216"/>
    <mergeCell ref="AA215:AA216"/>
    <mergeCell ref="AB215:AC216"/>
    <mergeCell ref="AD215:AD216"/>
    <mergeCell ref="AE215:AE216"/>
    <mergeCell ref="AF215:AF216"/>
    <mergeCell ref="AG215:AH216"/>
    <mergeCell ref="AI215:AI216"/>
    <mergeCell ref="AJ215:AJ216"/>
    <mergeCell ref="F215:F216"/>
    <mergeCell ref="O213:O214"/>
    <mergeCell ref="P213:P214"/>
    <mergeCell ref="Q213:Q214"/>
    <mergeCell ref="R213:S214"/>
    <mergeCell ref="T213:T214"/>
    <mergeCell ref="U213:U214"/>
    <mergeCell ref="V213:V214"/>
    <mergeCell ref="AK213:AN213"/>
    <mergeCell ref="AK214:AN214"/>
    <mergeCell ref="C213:C214"/>
    <mergeCell ref="D213:D214"/>
    <mergeCell ref="E213:E214"/>
    <mergeCell ref="G213:G214"/>
    <mergeCell ref="H213:H214"/>
    <mergeCell ref="I213:J214"/>
    <mergeCell ref="K213:K214"/>
    <mergeCell ref="L213:L214"/>
    <mergeCell ref="M213:N214"/>
    <mergeCell ref="W213:X214"/>
    <mergeCell ref="Y213:Y214"/>
    <mergeCell ref="Z213:Z214"/>
    <mergeCell ref="AA213:AA214"/>
    <mergeCell ref="AB213:AC214"/>
    <mergeCell ref="AD213:AD214"/>
    <mergeCell ref="AE213:AE214"/>
    <mergeCell ref="AF213:AF214"/>
    <mergeCell ref="AG213:AH214"/>
    <mergeCell ref="AI213:AI214"/>
    <mergeCell ref="AJ213:AJ214"/>
    <mergeCell ref="F213:F214"/>
    <mergeCell ref="O211:O212"/>
    <mergeCell ref="P211:P212"/>
    <mergeCell ref="Q211:Q212"/>
    <mergeCell ref="R211:S212"/>
    <mergeCell ref="T211:T212"/>
    <mergeCell ref="U211:U212"/>
    <mergeCell ref="V211:V212"/>
    <mergeCell ref="AK211:AN211"/>
    <mergeCell ref="AK212:AN212"/>
    <mergeCell ref="C211:C212"/>
    <mergeCell ref="D211:D212"/>
    <mergeCell ref="E211:E212"/>
    <mergeCell ref="G211:G212"/>
    <mergeCell ref="H211:H212"/>
    <mergeCell ref="I211:J212"/>
    <mergeCell ref="K211:K212"/>
    <mergeCell ref="L211:L212"/>
    <mergeCell ref="M211:N212"/>
    <mergeCell ref="F211:F212"/>
    <mergeCell ref="W211:X212"/>
    <mergeCell ref="Y211:Y212"/>
    <mergeCell ref="Z211:Z212"/>
    <mergeCell ref="AA211:AA212"/>
    <mergeCell ref="AG211:AH212"/>
    <mergeCell ref="AI211:AI212"/>
    <mergeCell ref="AJ211:AJ212"/>
    <mergeCell ref="AB211:AC212"/>
    <mergeCell ref="AD211:AD212"/>
    <mergeCell ref="AE211:AE212"/>
    <mergeCell ref="AF211:AF212"/>
    <mergeCell ref="O209:O210"/>
    <mergeCell ref="P209:P210"/>
    <mergeCell ref="Q209:Q210"/>
    <mergeCell ref="R209:S210"/>
    <mergeCell ref="T209:T210"/>
    <mergeCell ref="U209:U210"/>
    <mergeCell ref="V209:V210"/>
    <mergeCell ref="AK209:AN209"/>
    <mergeCell ref="AK210:AN210"/>
    <mergeCell ref="C209:C210"/>
    <mergeCell ref="D209:D210"/>
    <mergeCell ref="E209:E210"/>
    <mergeCell ref="G209:G210"/>
    <mergeCell ref="H209:H210"/>
    <mergeCell ref="I209:J210"/>
    <mergeCell ref="K209:K210"/>
    <mergeCell ref="L209:L210"/>
    <mergeCell ref="M209:N210"/>
    <mergeCell ref="F209:F210"/>
    <mergeCell ref="W209:X210"/>
    <mergeCell ref="Y209:Y210"/>
    <mergeCell ref="Z209:Z210"/>
    <mergeCell ref="AA209:AA210"/>
    <mergeCell ref="AB209:AC210"/>
    <mergeCell ref="AD209:AD210"/>
    <mergeCell ref="AE209:AE210"/>
    <mergeCell ref="AF209:AF210"/>
    <mergeCell ref="AG209:AH210"/>
    <mergeCell ref="AI209:AI210"/>
    <mergeCell ref="AJ209:AJ210"/>
    <mergeCell ref="O207:O208"/>
    <mergeCell ref="P207:P208"/>
    <mergeCell ref="Q207:Q208"/>
    <mergeCell ref="R207:S208"/>
    <mergeCell ref="T207:T208"/>
    <mergeCell ref="U207:U208"/>
    <mergeCell ref="V207:V208"/>
    <mergeCell ref="AK207:AN207"/>
    <mergeCell ref="AK208:AN208"/>
    <mergeCell ref="C207:C208"/>
    <mergeCell ref="D207:D208"/>
    <mergeCell ref="E207:E208"/>
    <mergeCell ref="G207:G208"/>
    <mergeCell ref="H207:H208"/>
    <mergeCell ref="I207:J208"/>
    <mergeCell ref="K207:K208"/>
    <mergeCell ref="L207:L208"/>
    <mergeCell ref="M207:N208"/>
    <mergeCell ref="W207:X208"/>
    <mergeCell ref="Y207:Y208"/>
    <mergeCell ref="Z207:Z208"/>
    <mergeCell ref="AA207:AA208"/>
    <mergeCell ref="F207:F208"/>
    <mergeCell ref="AB207:AC208"/>
    <mergeCell ref="AD207:AD208"/>
    <mergeCell ref="AE207:AE208"/>
    <mergeCell ref="AF207:AF208"/>
    <mergeCell ref="AG207:AH208"/>
    <mergeCell ref="AI207:AI208"/>
    <mergeCell ref="AJ207:AJ208"/>
    <mergeCell ref="C205:C206"/>
    <mergeCell ref="D205:D206"/>
    <mergeCell ref="E205:E206"/>
    <mergeCell ref="G205:G206"/>
    <mergeCell ref="H205:H206"/>
    <mergeCell ref="I205:J206"/>
    <mergeCell ref="K205:K206"/>
    <mergeCell ref="L205:L206"/>
    <mergeCell ref="M205:N206"/>
    <mergeCell ref="O205:O206"/>
    <mergeCell ref="P205:P206"/>
    <mergeCell ref="Q205:Q206"/>
    <mergeCell ref="R205:S206"/>
    <mergeCell ref="T205:T206"/>
    <mergeCell ref="U205:U206"/>
    <mergeCell ref="V205:V206"/>
    <mergeCell ref="AK205:AN205"/>
    <mergeCell ref="AK206:AN206"/>
    <mergeCell ref="W205:X206"/>
    <mergeCell ref="Y205:Y206"/>
    <mergeCell ref="Z205:Z206"/>
    <mergeCell ref="AA205:AA206"/>
    <mergeCell ref="AB205:AC206"/>
    <mergeCell ref="AD205:AD206"/>
    <mergeCell ref="AE205:AE206"/>
    <mergeCell ref="AF205:AF206"/>
    <mergeCell ref="AG205:AH206"/>
    <mergeCell ref="AI205:AI206"/>
    <mergeCell ref="AJ205:AJ206"/>
    <mergeCell ref="Q201:Q202"/>
    <mergeCell ref="R201:S202"/>
    <mergeCell ref="T201:T202"/>
    <mergeCell ref="U201:U202"/>
    <mergeCell ref="V201:V202"/>
    <mergeCell ref="AK201:AN201"/>
    <mergeCell ref="AK202:AN202"/>
    <mergeCell ref="C199:C200"/>
    <mergeCell ref="D199:D200"/>
    <mergeCell ref="E199:E200"/>
    <mergeCell ref="G199:G200"/>
    <mergeCell ref="H199:H200"/>
    <mergeCell ref="I199:J200"/>
    <mergeCell ref="K199:K200"/>
    <mergeCell ref="R203:S204"/>
    <mergeCell ref="T203:T204"/>
    <mergeCell ref="U203:U204"/>
    <mergeCell ref="V203:V204"/>
    <mergeCell ref="AK203:AN203"/>
    <mergeCell ref="AK204:AN204"/>
    <mergeCell ref="C203:C204"/>
    <mergeCell ref="D203:D204"/>
    <mergeCell ref="E203:E204"/>
    <mergeCell ref="G203:G204"/>
    <mergeCell ref="H203:H204"/>
    <mergeCell ref="I203:J204"/>
    <mergeCell ref="K203:K204"/>
    <mergeCell ref="L203:L204"/>
    <mergeCell ref="AB199:AC200"/>
    <mergeCell ref="AD199:AD200"/>
    <mergeCell ref="AE199:AE200"/>
    <mergeCell ref="AF199:AF200"/>
    <mergeCell ref="P197:P198"/>
    <mergeCell ref="Q197:Q198"/>
    <mergeCell ref="R197:S198"/>
    <mergeCell ref="T197:T198"/>
    <mergeCell ref="U197:U198"/>
    <mergeCell ref="V197:V198"/>
    <mergeCell ref="AK197:AN197"/>
    <mergeCell ref="AK198:AN198"/>
    <mergeCell ref="C195:C196"/>
    <mergeCell ref="D195:D196"/>
    <mergeCell ref="E195:E196"/>
    <mergeCell ref="G195:G196"/>
    <mergeCell ref="H195:H196"/>
    <mergeCell ref="I195:J196"/>
    <mergeCell ref="M203:N204"/>
    <mergeCell ref="R199:S200"/>
    <mergeCell ref="T199:T200"/>
    <mergeCell ref="U199:U200"/>
    <mergeCell ref="V199:V200"/>
    <mergeCell ref="AK199:AN199"/>
    <mergeCell ref="AK200:AN200"/>
    <mergeCell ref="C201:C202"/>
    <mergeCell ref="D201:D202"/>
    <mergeCell ref="E201:E202"/>
    <mergeCell ref="G201:G202"/>
    <mergeCell ref="H201:H202"/>
    <mergeCell ref="I201:J202"/>
    <mergeCell ref="K201:K202"/>
    <mergeCell ref="L201:L202"/>
    <mergeCell ref="M201:N202"/>
    <mergeCell ref="O201:O202"/>
    <mergeCell ref="P201:P202"/>
    <mergeCell ref="V193:V194"/>
    <mergeCell ref="AK193:AN193"/>
    <mergeCell ref="AK194:AN194"/>
    <mergeCell ref="C193:C194"/>
    <mergeCell ref="D193:D194"/>
    <mergeCell ref="E193:E194"/>
    <mergeCell ref="G193:G194"/>
    <mergeCell ref="H193:H194"/>
    <mergeCell ref="I193:J194"/>
    <mergeCell ref="K193:K194"/>
    <mergeCell ref="O195:O196"/>
    <mergeCell ref="P195:P196"/>
    <mergeCell ref="L193:L194"/>
    <mergeCell ref="M193:N194"/>
    <mergeCell ref="L199:L200"/>
    <mergeCell ref="M199:N200"/>
    <mergeCell ref="R195:S196"/>
    <mergeCell ref="T195:T196"/>
    <mergeCell ref="U195:U196"/>
    <mergeCell ref="V195:V196"/>
    <mergeCell ref="AK195:AN195"/>
    <mergeCell ref="AK196:AN196"/>
    <mergeCell ref="C197:C198"/>
    <mergeCell ref="D197:D198"/>
    <mergeCell ref="E197:E198"/>
    <mergeCell ref="G197:G198"/>
    <mergeCell ref="H197:H198"/>
    <mergeCell ref="I197:J198"/>
    <mergeCell ref="K197:K198"/>
    <mergeCell ref="L197:L198"/>
    <mergeCell ref="M197:N198"/>
    <mergeCell ref="O197:O198"/>
    <mergeCell ref="C191:C192"/>
    <mergeCell ref="D191:D192"/>
    <mergeCell ref="E191:E192"/>
    <mergeCell ref="G191:G192"/>
    <mergeCell ref="H191:H192"/>
    <mergeCell ref="I191:J192"/>
    <mergeCell ref="K191:K192"/>
    <mergeCell ref="L191:L192"/>
    <mergeCell ref="M191:N192"/>
    <mergeCell ref="K195:K196"/>
    <mergeCell ref="L195:L196"/>
    <mergeCell ref="M195:N196"/>
    <mergeCell ref="O193:O194"/>
    <mergeCell ref="P193:P194"/>
    <mergeCell ref="Q193:Q194"/>
    <mergeCell ref="R193:S194"/>
    <mergeCell ref="T193:T194"/>
    <mergeCell ref="Q195:Q196"/>
    <mergeCell ref="C187:C188"/>
    <mergeCell ref="D187:D188"/>
    <mergeCell ref="E187:E188"/>
    <mergeCell ref="G187:G188"/>
    <mergeCell ref="H187:H188"/>
    <mergeCell ref="I187:J188"/>
    <mergeCell ref="K187:K188"/>
    <mergeCell ref="L187:L188"/>
    <mergeCell ref="M187:N188"/>
    <mergeCell ref="O189:O190"/>
    <mergeCell ref="P189:P190"/>
    <mergeCell ref="Q189:Q190"/>
    <mergeCell ref="R189:S190"/>
    <mergeCell ref="T189:T190"/>
    <mergeCell ref="U189:U190"/>
    <mergeCell ref="V189:V190"/>
    <mergeCell ref="AK189:AN189"/>
    <mergeCell ref="AK190:AN190"/>
    <mergeCell ref="C189:C190"/>
    <mergeCell ref="D189:D190"/>
    <mergeCell ref="E189:E190"/>
    <mergeCell ref="G189:G190"/>
    <mergeCell ref="H189:H190"/>
    <mergeCell ref="I189:J190"/>
    <mergeCell ref="K189:K190"/>
    <mergeCell ref="L189:L190"/>
    <mergeCell ref="M189:N190"/>
    <mergeCell ref="W187:X188"/>
    <mergeCell ref="Y187:Y188"/>
    <mergeCell ref="Z187:Z188"/>
    <mergeCell ref="AA187:AA188"/>
    <mergeCell ref="AB187:AC188"/>
    <mergeCell ref="C185:C186"/>
    <mergeCell ref="D185:D186"/>
    <mergeCell ref="E185:E186"/>
    <mergeCell ref="G185:G186"/>
    <mergeCell ref="H185:H186"/>
    <mergeCell ref="I185:J186"/>
    <mergeCell ref="K185:K186"/>
    <mergeCell ref="L185:L186"/>
    <mergeCell ref="M185:N186"/>
    <mergeCell ref="R181:S182"/>
    <mergeCell ref="T181:T182"/>
    <mergeCell ref="U181:U182"/>
    <mergeCell ref="V181:V182"/>
    <mergeCell ref="AK181:AN181"/>
    <mergeCell ref="AK182:AN182"/>
    <mergeCell ref="C183:C184"/>
    <mergeCell ref="D183:D184"/>
    <mergeCell ref="E183:E184"/>
    <mergeCell ref="G183:G184"/>
    <mergeCell ref="H183:H184"/>
    <mergeCell ref="I183:J184"/>
    <mergeCell ref="K183:K184"/>
    <mergeCell ref="L183:L184"/>
    <mergeCell ref="M183:N184"/>
    <mergeCell ref="O183:O184"/>
    <mergeCell ref="P183:P184"/>
    <mergeCell ref="Q183:Q184"/>
    <mergeCell ref="R183:S184"/>
    <mergeCell ref="T183:T184"/>
    <mergeCell ref="U183:U184"/>
    <mergeCell ref="V183:V184"/>
    <mergeCell ref="AK183:AN183"/>
    <mergeCell ref="AK184:AN184"/>
    <mergeCell ref="C181:C182"/>
    <mergeCell ref="D181:D182"/>
    <mergeCell ref="E181:E182"/>
    <mergeCell ref="G181:G182"/>
    <mergeCell ref="H181:H182"/>
    <mergeCell ref="I181:J182"/>
    <mergeCell ref="K181:K182"/>
    <mergeCell ref="L181:L182"/>
    <mergeCell ref="M181:N182"/>
    <mergeCell ref="R177:S178"/>
    <mergeCell ref="T177:T178"/>
    <mergeCell ref="U177:U178"/>
    <mergeCell ref="V177:V178"/>
    <mergeCell ref="AK177:AN177"/>
    <mergeCell ref="AK178:AN178"/>
    <mergeCell ref="C179:C180"/>
    <mergeCell ref="D179:D180"/>
    <mergeCell ref="E179:E180"/>
    <mergeCell ref="G179:G180"/>
    <mergeCell ref="H179:H180"/>
    <mergeCell ref="I179:J180"/>
    <mergeCell ref="K179:K180"/>
    <mergeCell ref="L179:L180"/>
    <mergeCell ref="M179:N180"/>
    <mergeCell ref="O179:O180"/>
    <mergeCell ref="P179:P180"/>
    <mergeCell ref="Q179:Q180"/>
    <mergeCell ref="R179:S180"/>
    <mergeCell ref="T179:T180"/>
    <mergeCell ref="U179:U180"/>
    <mergeCell ref="V179:V180"/>
    <mergeCell ref="AK179:AN179"/>
    <mergeCell ref="AK180:AN180"/>
    <mergeCell ref="C177:C178"/>
    <mergeCell ref="D177:D178"/>
    <mergeCell ref="E177:E178"/>
    <mergeCell ref="G177:G178"/>
    <mergeCell ref="H177:H178"/>
    <mergeCell ref="I177:J178"/>
    <mergeCell ref="K177:K178"/>
    <mergeCell ref="L177:L178"/>
    <mergeCell ref="M177:N178"/>
    <mergeCell ref="O175:O176"/>
    <mergeCell ref="P175:P176"/>
    <mergeCell ref="Q175:Q176"/>
    <mergeCell ref="R175:S176"/>
    <mergeCell ref="T175:T176"/>
    <mergeCell ref="U175:U176"/>
    <mergeCell ref="V175:V176"/>
    <mergeCell ref="AK175:AN175"/>
    <mergeCell ref="AK176:AN176"/>
    <mergeCell ref="C175:C176"/>
    <mergeCell ref="D175:D176"/>
    <mergeCell ref="E175:E176"/>
    <mergeCell ref="G175:G176"/>
    <mergeCell ref="H175:H176"/>
    <mergeCell ref="I175:J176"/>
    <mergeCell ref="K175:K176"/>
    <mergeCell ref="L175:L176"/>
    <mergeCell ref="M175:N176"/>
    <mergeCell ref="O177:O178"/>
    <mergeCell ref="P177:P178"/>
    <mergeCell ref="Q177:Q178"/>
    <mergeCell ref="O173:O174"/>
    <mergeCell ref="P173:P174"/>
    <mergeCell ref="Q173:Q174"/>
    <mergeCell ref="R173:S174"/>
    <mergeCell ref="T173:T174"/>
    <mergeCell ref="U173:U174"/>
    <mergeCell ref="V173:V174"/>
    <mergeCell ref="AK173:AN173"/>
    <mergeCell ref="AK174:AN174"/>
    <mergeCell ref="C173:C174"/>
    <mergeCell ref="D173:D174"/>
    <mergeCell ref="E173:E174"/>
    <mergeCell ref="G173:G174"/>
    <mergeCell ref="H173:H174"/>
    <mergeCell ref="I173:J174"/>
    <mergeCell ref="K173:K174"/>
    <mergeCell ref="L173:L174"/>
    <mergeCell ref="M173:N174"/>
    <mergeCell ref="W173:X174"/>
    <mergeCell ref="Y173:Y174"/>
    <mergeCell ref="Z173:Z174"/>
    <mergeCell ref="AA173:AA174"/>
    <mergeCell ref="AB173:AC174"/>
    <mergeCell ref="AD173:AD174"/>
    <mergeCell ref="AE173:AE174"/>
    <mergeCell ref="AF173:AF174"/>
    <mergeCell ref="AG173:AH174"/>
    <mergeCell ref="AI173:AI174"/>
    <mergeCell ref="AJ173:AJ174"/>
    <mergeCell ref="F173:F174"/>
    <mergeCell ref="O171:O172"/>
    <mergeCell ref="P171:P172"/>
    <mergeCell ref="Q171:Q172"/>
    <mergeCell ref="R171:S172"/>
    <mergeCell ref="T171:T172"/>
    <mergeCell ref="U171:U172"/>
    <mergeCell ref="V171:V172"/>
    <mergeCell ref="AK171:AN171"/>
    <mergeCell ref="AK172:AN172"/>
    <mergeCell ref="C171:C172"/>
    <mergeCell ref="D171:D172"/>
    <mergeCell ref="E171:E172"/>
    <mergeCell ref="G171:G172"/>
    <mergeCell ref="H171:H172"/>
    <mergeCell ref="I171:J172"/>
    <mergeCell ref="K171:K172"/>
    <mergeCell ref="L171:L172"/>
    <mergeCell ref="M171:N172"/>
    <mergeCell ref="W171:X172"/>
    <mergeCell ref="Y171:Y172"/>
    <mergeCell ref="Z171:Z172"/>
    <mergeCell ref="AA171:AA172"/>
    <mergeCell ref="AB171:AC172"/>
    <mergeCell ref="AD171:AD172"/>
    <mergeCell ref="AE171:AE172"/>
    <mergeCell ref="AF171:AF172"/>
    <mergeCell ref="AG171:AH172"/>
    <mergeCell ref="AI171:AI172"/>
    <mergeCell ref="AJ171:AJ172"/>
    <mergeCell ref="F171:F172"/>
    <mergeCell ref="O169:O170"/>
    <mergeCell ref="P169:P170"/>
    <mergeCell ref="Q169:Q170"/>
    <mergeCell ref="R169:S170"/>
    <mergeCell ref="T169:T170"/>
    <mergeCell ref="U169:U170"/>
    <mergeCell ref="V169:V170"/>
    <mergeCell ref="AK169:AN169"/>
    <mergeCell ref="AK170:AN170"/>
    <mergeCell ref="C169:C170"/>
    <mergeCell ref="D169:D170"/>
    <mergeCell ref="E169:E170"/>
    <mergeCell ref="G169:G170"/>
    <mergeCell ref="H169:H170"/>
    <mergeCell ref="I169:J170"/>
    <mergeCell ref="K169:K170"/>
    <mergeCell ref="L169:L170"/>
    <mergeCell ref="M169:N170"/>
    <mergeCell ref="W169:X170"/>
    <mergeCell ref="Y169:Y170"/>
    <mergeCell ref="Z169:Z170"/>
    <mergeCell ref="AA169:AA170"/>
    <mergeCell ref="AB169:AC170"/>
    <mergeCell ref="AD169:AD170"/>
    <mergeCell ref="AE169:AE170"/>
    <mergeCell ref="AF169:AF170"/>
    <mergeCell ref="AG169:AH170"/>
    <mergeCell ref="AI169:AI170"/>
    <mergeCell ref="AJ169:AJ170"/>
    <mergeCell ref="F169:F170"/>
    <mergeCell ref="O167:O168"/>
    <mergeCell ref="P167:P168"/>
    <mergeCell ref="Q167:Q168"/>
    <mergeCell ref="R167:S168"/>
    <mergeCell ref="T167:T168"/>
    <mergeCell ref="U167:U168"/>
    <mergeCell ref="V167:V168"/>
    <mergeCell ref="AK167:AN167"/>
    <mergeCell ref="AK168:AN168"/>
    <mergeCell ref="C167:C168"/>
    <mergeCell ref="D167:D168"/>
    <mergeCell ref="E167:E168"/>
    <mergeCell ref="G167:G168"/>
    <mergeCell ref="H167:H168"/>
    <mergeCell ref="I167:J168"/>
    <mergeCell ref="K167:K168"/>
    <mergeCell ref="L167:L168"/>
    <mergeCell ref="M167:N168"/>
    <mergeCell ref="W167:X168"/>
    <mergeCell ref="Y167:Y168"/>
    <mergeCell ref="Z167:Z168"/>
    <mergeCell ref="AA167:AA168"/>
    <mergeCell ref="AB167:AC168"/>
    <mergeCell ref="AD167:AD168"/>
    <mergeCell ref="AE167:AE168"/>
    <mergeCell ref="AF167:AF168"/>
    <mergeCell ref="AG167:AH168"/>
    <mergeCell ref="AI167:AI168"/>
    <mergeCell ref="AJ167:AJ168"/>
    <mergeCell ref="F167:F168"/>
    <mergeCell ref="O165:O166"/>
    <mergeCell ref="P165:P166"/>
    <mergeCell ref="Q165:Q166"/>
    <mergeCell ref="R165:S166"/>
    <mergeCell ref="T165:T166"/>
    <mergeCell ref="U165:U166"/>
    <mergeCell ref="V165:V166"/>
    <mergeCell ref="AK165:AN165"/>
    <mergeCell ref="AK166:AN166"/>
    <mergeCell ref="C165:C166"/>
    <mergeCell ref="D165:D166"/>
    <mergeCell ref="E165:E166"/>
    <mergeCell ref="G165:G166"/>
    <mergeCell ref="H165:H166"/>
    <mergeCell ref="I165:J166"/>
    <mergeCell ref="K165:K166"/>
    <mergeCell ref="L165:L166"/>
    <mergeCell ref="M165:N166"/>
    <mergeCell ref="W165:X166"/>
    <mergeCell ref="Y165:Y166"/>
    <mergeCell ref="Z165:Z166"/>
    <mergeCell ref="AA165:AA166"/>
    <mergeCell ref="AB165:AC166"/>
    <mergeCell ref="AD165:AD166"/>
    <mergeCell ref="AE165:AE166"/>
    <mergeCell ref="AF165:AF166"/>
    <mergeCell ref="AG165:AH166"/>
    <mergeCell ref="AI165:AI166"/>
    <mergeCell ref="AJ165:AJ166"/>
    <mergeCell ref="F165:F166"/>
    <mergeCell ref="O163:O164"/>
    <mergeCell ref="P163:P164"/>
    <mergeCell ref="Q163:Q164"/>
    <mergeCell ref="R163:S164"/>
    <mergeCell ref="T163:T164"/>
    <mergeCell ref="U163:U164"/>
    <mergeCell ref="V163:V164"/>
    <mergeCell ref="AK163:AN163"/>
    <mergeCell ref="AK164:AN164"/>
    <mergeCell ref="C163:C164"/>
    <mergeCell ref="D163:D164"/>
    <mergeCell ref="E163:E164"/>
    <mergeCell ref="G163:G164"/>
    <mergeCell ref="H163:H164"/>
    <mergeCell ref="I163:J164"/>
    <mergeCell ref="K163:K164"/>
    <mergeCell ref="L163:L164"/>
    <mergeCell ref="M163:N164"/>
    <mergeCell ref="W163:X164"/>
    <mergeCell ref="Y163:Y164"/>
    <mergeCell ref="Z163:Z164"/>
    <mergeCell ref="AA163:AA164"/>
    <mergeCell ref="AB163:AC164"/>
    <mergeCell ref="AD163:AD164"/>
    <mergeCell ref="AE163:AE164"/>
    <mergeCell ref="AF163:AF164"/>
    <mergeCell ref="AG163:AH164"/>
    <mergeCell ref="AI163:AI164"/>
    <mergeCell ref="AJ163:AJ164"/>
    <mergeCell ref="F163:F164"/>
    <mergeCell ref="O161:O162"/>
    <mergeCell ref="P161:P162"/>
    <mergeCell ref="Q161:Q162"/>
    <mergeCell ref="R161:S162"/>
    <mergeCell ref="T161:T162"/>
    <mergeCell ref="U161:U162"/>
    <mergeCell ref="V161:V162"/>
    <mergeCell ref="AK161:AN161"/>
    <mergeCell ref="AK162:AN162"/>
    <mergeCell ref="C161:C162"/>
    <mergeCell ref="D161:D162"/>
    <mergeCell ref="E161:E162"/>
    <mergeCell ref="G161:G162"/>
    <mergeCell ref="H161:H162"/>
    <mergeCell ref="I161:J162"/>
    <mergeCell ref="K161:K162"/>
    <mergeCell ref="L161:L162"/>
    <mergeCell ref="M161:N162"/>
    <mergeCell ref="W161:X162"/>
    <mergeCell ref="Y161:Y162"/>
    <mergeCell ref="Z161:Z162"/>
    <mergeCell ref="AA161:AA162"/>
    <mergeCell ref="AB161:AC162"/>
    <mergeCell ref="AD161:AD162"/>
    <mergeCell ref="AE161:AE162"/>
    <mergeCell ref="AF161:AF162"/>
    <mergeCell ref="AG161:AH162"/>
    <mergeCell ref="AI161:AI162"/>
    <mergeCell ref="AJ161:AJ162"/>
    <mergeCell ref="F161:F162"/>
    <mergeCell ref="O159:O160"/>
    <mergeCell ref="P159:P160"/>
    <mergeCell ref="Q159:Q160"/>
    <mergeCell ref="R159:S160"/>
    <mergeCell ref="T159:T160"/>
    <mergeCell ref="U159:U160"/>
    <mergeCell ref="V159:V160"/>
    <mergeCell ref="AK159:AN159"/>
    <mergeCell ref="AK160:AN160"/>
    <mergeCell ref="C159:C160"/>
    <mergeCell ref="D159:D160"/>
    <mergeCell ref="E159:E160"/>
    <mergeCell ref="G159:G160"/>
    <mergeCell ref="H159:H160"/>
    <mergeCell ref="I159:J160"/>
    <mergeCell ref="K159:K160"/>
    <mergeCell ref="L159:L160"/>
    <mergeCell ref="M159:N160"/>
    <mergeCell ref="W159:X160"/>
    <mergeCell ref="Y159:Y160"/>
    <mergeCell ref="Z159:Z160"/>
    <mergeCell ref="AA159:AA160"/>
    <mergeCell ref="AB159:AC160"/>
    <mergeCell ref="AD159:AD160"/>
    <mergeCell ref="AE159:AE160"/>
    <mergeCell ref="AF159:AF160"/>
    <mergeCell ref="AG159:AH160"/>
    <mergeCell ref="AI159:AI160"/>
    <mergeCell ref="AJ159:AJ160"/>
    <mergeCell ref="F159:F160"/>
    <mergeCell ref="O157:O158"/>
    <mergeCell ref="P157:P158"/>
    <mergeCell ref="Q157:Q158"/>
    <mergeCell ref="R157:S158"/>
    <mergeCell ref="T157:T158"/>
    <mergeCell ref="U157:U158"/>
    <mergeCell ref="V157:V158"/>
    <mergeCell ref="AK157:AN157"/>
    <mergeCell ref="AK158:AN158"/>
    <mergeCell ref="C157:C158"/>
    <mergeCell ref="D157:D158"/>
    <mergeCell ref="E157:E158"/>
    <mergeCell ref="G157:G158"/>
    <mergeCell ref="H157:H158"/>
    <mergeCell ref="I157:J158"/>
    <mergeCell ref="K157:K158"/>
    <mergeCell ref="L157:L158"/>
    <mergeCell ref="M157:N158"/>
    <mergeCell ref="W157:X158"/>
    <mergeCell ref="Y157:Y158"/>
    <mergeCell ref="Z157:Z158"/>
    <mergeCell ref="AA157:AA158"/>
    <mergeCell ref="AB157:AC158"/>
    <mergeCell ref="AD157:AD158"/>
    <mergeCell ref="AE157:AE158"/>
    <mergeCell ref="AF157:AF158"/>
    <mergeCell ref="AG157:AH158"/>
    <mergeCell ref="AI157:AI158"/>
    <mergeCell ref="AJ157:AJ158"/>
    <mergeCell ref="F157:F158"/>
    <mergeCell ref="O155:O156"/>
    <mergeCell ref="P155:P156"/>
    <mergeCell ref="Q155:Q156"/>
    <mergeCell ref="R155:S156"/>
    <mergeCell ref="T155:T156"/>
    <mergeCell ref="U155:U156"/>
    <mergeCell ref="V155:V156"/>
    <mergeCell ref="AK155:AN155"/>
    <mergeCell ref="AK156:AN156"/>
    <mergeCell ref="C155:C156"/>
    <mergeCell ref="D155:D156"/>
    <mergeCell ref="E155:E156"/>
    <mergeCell ref="G155:G156"/>
    <mergeCell ref="H155:H156"/>
    <mergeCell ref="I155:J156"/>
    <mergeCell ref="K155:K156"/>
    <mergeCell ref="L155:L156"/>
    <mergeCell ref="M155:N156"/>
    <mergeCell ref="W155:X156"/>
    <mergeCell ref="Y155:Y156"/>
    <mergeCell ref="Z155:Z156"/>
    <mergeCell ref="AA155:AA156"/>
    <mergeCell ref="AB155:AC156"/>
    <mergeCell ref="AD155:AD156"/>
    <mergeCell ref="AE155:AE156"/>
    <mergeCell ref="AF155:AF156"/>
    <mergeCell ref="AG155:AH156"/>
    <mergeCell ref="AI155:AI156"/>
    <mergeCell ref="AJ155:AJ156"/>
    <mergeCell ref="F155:F156"/>
    <mergeCell ref="O153:O154"/>
    <mergeCell ref="P153:P154"/>
    <mergeCell ref="Q153:Q154"/>
    <mergeCell ref="R153:S154"/>
    <mergeCell ref="T153:T154"/>
    <mergeCell ref="U153:U154"/>
    <mergeCell ref="V153:V154"/>
    <mergeCell ref="AK153:AN153"/>
    <mergeCell ref="AK154:AN154"/>
    <mergeCell ref="C153:C154"/>
    <mergeCell ref="D153:D154"/>
    <mergeCell ref="E153:E154"/>
    <mergeCell ref="G153:G154"/>
    <mergeCell ref="H153:H154"/>
    <mergeCell ref="I153:J154"/>
    <mergeCell ref="K153:K154"/>
    <mergeCell ref="L153:L154"/>
    <mergeCell ref="M153:N154"/>
    <mergeCell ref="W153:X154"/>
    <mergeCell ref="Y153:Y154"/>
    <mergeCell ref="Z153:Z154"/>
    <mergeCell ref="AA153:AA154"/>
    <mergeCell ref="AB153:AC154"/>
    <mergeCell ref="AD153:AD154"/>
    <mergeCell ref="AE153:AE154"/>
    <mergeCell ref="AF153:AF154"/>
    <mergeCell ref="AG153:AH154"/>
    <mergeCell ref="AI153:AI154"/>
    <mergeCell ref="AJ153:AJ154"/>
    <mergeCell ref="F153:F154"/>
    <mergeCell ref="O151:O152"/>
    <mergeCell ref="P151:P152"/>
    <mergeCell ref="Q151:Q152"/>
    <mergeCell ref="R151:S152"/>
    <mergeCell ref="T151:T152"/>
    <mergeCell ref="U151:U152"/>
    <mergeCell ref="V151:V152"/>
    <mergeCell ref="AK151:AN151"/>
    <mergeCell ref="AK152:AN152"/>
    <mergeCell ref="C151:C152"/>
    <mergeCell ref="D151:D152"/>
    <mergeCell ref="E151:E152"/>
    <mergeCell ref="G151:G152"/>
    <mergeCell ref="H151:H152"/>
    <mergeCell ref="I151:J152"/>
    <mergeCell ref="K151:K152"/>
    <mergeCell ref="L151:L152"/>
    <mergeCell ref="M151:N152"/>
    <mergeCell ref="W151:X152"/>
    <mergeCell ref="Y151:Y152"/>
    <mergeCell ref="Z151:Z152"/>
    <mergeCell ref="AA151:AA152"/>
    <mergeCell ref="AB151:AC152"/>
    <mergeCell ref="AD151:AD152"/>
    <mergeCell ref="AE151:AE152"/>
    <mergeCell ref="AF151:AF152"/>
    <mergeCell ref="AG151:AH152"/>
    <mergeCell ref="AI151:AI152"/>
    <mergeCell ref="AJ151:AJ152"/>
    <mergeCell ref="F151:F152"/>
    <mergeCell ref="O149:O150"/>
    <mergeCell ref="P149:P150"/>
    <mergeCell ref="Q149:Q150"/>
    <mergeCell ref="R149:S150"/>
    <mergeCell ref="T149:T150"/>
    <mergeCell ref="U149:U150"/>
    <mergeCell ref="V149:V150"/>
    <mergeCell ref="AK149:AN149"/>
    <mergeCell ref="AK150:AN150"/>
    <mergeCell ref="C149:C150"/>
    <mergeCell ref="D149:D150"/>
    <mergeCell ref="E149:E150"/>
    <mergeCell ref="G149:G150"/>
    <mergeCell ref="H149:H150"/>
    <mergeCell ref="I149:J150"/>
    <mergeCell ref="K149:K150"/>
    <mergeCell ref="L149:L150"/>
    <mergeCell ref="M149:N150"/>
    <mergeCell ref="W149:X150"/>
    <mergeCell ref="Y149:Y150"/>
    <mergeCell ref="Z149:Z150"/>
    <mergeCell ref="AA149:AA150"/>
    <mergeCell ref="AB149:AC150"/>
    <mergeCell ref="AD149:AD150"/>
    <mergeCell ref="AE149:AE150"/>
    <mergeCell ref="AF149:AF150"/>
    <mergeCell ref="AG149:AH150"/>
    <mergeCell ref="AI149:AI150"/>
    <mergeCell ref="AJ149:AJ150"/>
    <mergeCell ref="F149:F150"/>
    <mergeCell ref="O147:O148"/>
    <mergeCell ref="P147:P148"/>
    <mergeCell ref="Q147:Q148"/>
    <mergeCell ref="R147:S148"/>
    <mergeCell ref="T147:T148"/>
    <mergeCell ref="U147:U148"/>
    <mergeCell ref="V147:V148"/>
    <mergeCell ref="AK147:AN147"/>
    <mergeCell ref="AK148:AN148"/>
    <mergeCell ref="C147:C148"/>
    <mergeCell ref="D147:D148"/>
    <mergeCell ref="E147:E148"/>
    <mergeCell ref="G147:G148"/>
    <mergeCell ref="H147:H148"/>
    <mergeCell ref="I147:J148"/>
    <mergeCell ref="K147:K148"/>
    <mergeCell ref="L147:L148"/>
    <mergeCell ref="M147:N148"/>
    <mergeCell ref="W147:X148"/>
    <mergeCell ref="Y147:Y148"/>
    <mergeCell ref="Z147:Z148"/>
    <mergeCell ref="AA147:AA148"/>
    <mergeCell ref="AB147:AC148"/>
    <mergeCell ref="AD147:AD148"/>
    <mergeCell ref="AE147:AE148"/>
    <mergeCell ref="AF147:AF148"/>
    <mergeCell ref="AG147:AH148"/>
    <mergeCell ref="AI147:AI148"/>
    <mergeCell ref="AJ147:AJ148"/>
    <mergeCell ref="F147:F148"/>
    <mergeCell ref="O145:O146"/>
    <mergeCell ref="P145:P146"/>
    <mergeCell ref="Q145:Q146"/>
    <mergeCell ref="R145:S146"/>
    <mergeCell ref="T145:T146"/>
    <mergeCell ref="U145:U146"/>
    <mergeCell ref="V145:V146"/>
    <mergeCell ref="AK145:AN145"/>
    <mergeCell ref="AK146:AN146"/>
    <mergeCell ref="C145:C146"/>
    <mergeCell ref="D145:D146"/>
    <mergeCell ref="E145:E146"/>
    <mergeCell ref="G145:G146"/>
    <mergeCell ref="H145:H146"/>
    <mergeCell ref="I145:J146"/>
    <mergeCell ref="K145:K146"/>
    <mergeCell ref="L145:L146"/>
    <mergeCell ref="M145:N146"/>
    <mergeCell ref="W145:X146"/>
    <mergeCell ref="Y145:Y146"/>
    <mergeCell ref="Z145:Z146"/>
    <mergeCell ref="AA145:AA146"/>
    <mergeCell ref="AB145:AC146"/>
    <mergeCell ref="AD145:AD146"/>
    <mergeCell ref="AE145:AE146"/>
    <mergeCell ref="AF145:AF146"/>
    <mergeCell ref="AG145:AH146"/>
    <mergeCell ref="AI145:AI146"/>
    <mergeCell ref="AJ145:AJ146"/>
    <mergeCell ref="F145:F146"/>
    <mergeCell ref="O143:O144"/>
    <mergeCell ref="P143:P144"/>
    <mergeCell ref="Q143:Q144"/>
    <mergeCell ref="R143:S144"/>
    <mergeCell ref="T143:T144"/>
    <mergeCell ref="U143:U144"/>
    <mergeCell ref="V143:V144"/>
    <mergeCell ref="AK143:AN143"/>
    <mergeCell ref="AK144:AN144"/>
    <mergeCell ref="C143:C144"/>
    <mergeCell ref="D143:D144"/>
    <mergeCell ref="E143:E144"/>
    <mergeCell ref="G143:G144"/>
    <mergeCell ref="H143:H144"/>
    <mergeCell ref="I143:J144"/>
    <mergeCell ref="K143:K144"/>
    <mergeCell ref="L143:L144"/>
    <mergeCell ref="M143:N144"/>
    <mergeCell ref="W143:X144"/>
    <mergeCell ref="Y143:Y144"/>
    <mergeCell ref="Z143:Z144"/>
    <mergeCell ref="AA143:AA144"/>
    <mergeCell ref="AB143:AC144"/>
    <mergeCell ref="AD143:AD144"/>
    <mergeCell ref="AE143:AE144"/>
    <mergeCell ref="AF143:AF144"/>
    <mergeCell ref="AG143:AH144"/>
    <mergeCell ref="AI143:AI144"/>
    <mergeCell ref="AJ143:AJ144"/>
    <mergeCell ref="F143:F144"/>
    <mergeCell ref="O141:O142"/>
    <mergeCell ref="P141:P142"/>
    <mergeCell ref="Q141:Q142"/>
    <mergeCell ref="R141:S142"/>
    <mergeCell ref="T141:T142"/>
    <mergeCell ref="U141:U142"/>
    <mergeCell ref="V141:V142"/>
    <mergeCell ref="AK141:AN141"/>
    <mergeCell ref="AK142:AN142"/>
    <mergeCell ref="C141:C142"/>
    <mergeCell ref="D141:D142"/>
    <mergeCell ref="E141:E142"/>
    <mergeCell ref="G141:G142"/>
    <mergeCell ref="H141:H142"/>
    <mergeCell ref="I141:J142"/>
    <mergeCell ref="K141:K142"/>
    <mergeCell ref="L141:L142"/>
    <mergeCell ref="M141:N142"/>
    <mergeCell ref="W141:X142"/>
    <mergeCell ref="Y141:Y142"/>
    <mergeCell ref="Z141:Z142"/>
    <mergeCell ref="AA141:AA142"/>
    <mergeCell ref="AB141:AC142"/>
    <mergeCell ref="AD141:AD142"/>
    <mergeCell ref="AE141:AE142"/>
    <mergeCell ref="AF141:AF142"/>
    <mergeCell ref="AG141:AH142"/>
    <mergeCell ref="AI141:AI142"/>
    <mergeCell ref="AJ141:AJ142"/>
    <mergeCell ref="F141:F142"/>
    <mergeCell ref="O139:O140"/>
    <mergeCell ref="P139:P140"/>
    <mergeCell ref="Q139:Q140"/>
    <mergeCell ref="R139:S140"/>
    <mergeCell ref="T139:T140"/>
    <mergeCell ref="U139:U140"/>
    <mergeCell ref="V139:V140"/>
    <mergeCell ref="AK139:AN139"/>
    <mergeCell ref="AK140:AN140"/>
    <mergeCell ref="C139:C140"/>
    <mergeCell ref="D139:D140"/>
    <mergeCell ref="E139:E140"/>
    <mergeCell ref="G139:G140"/>
    <mergeCell ref="H139:H140"/>
    <mergeCell ref="I139:J140"/>
    <mergeCell ref="K139:K140"/>
    <mergeCell ref="L139:L140"/>
    <mergeCell ref="M139:N140"/>
    <mergeCell ref="W139:X140"/>
    <mergeCell ref="Y139:Y140"/>
    <mergeCell ref="Z139:Z140"/>
    <mergeCell ref="AA139:AA140"/>
    <mergeCell ref="AB139:AC140"/>
    <mergeCell ref="AD139:AD140"/>
    <mergeCell ref="AE139:AE140"/>
    <mergeCell ref="AF139:AF140"/>
    <mergeCell ref="AG139:AH140"/>
    <mergeCell ref="AI139:AI140"/>
    <mergeCell ref="AJ139:AJ140"/>
    <mergeCell ref="F139:F140"/>
    <mergeCell ref="O137:O138"/>
    <mergeCell ref="P137:P138"/>
    <mergeCell ref="Q137:Q138"/>
    <mergeCell ref="R137:S138"/>
    <mergeCell ref="T137:T138"/>
    <mergeCell ref="U137:U138"/>
    <mergeCell ref="V137:V138"/>
    <mergeCell ref="AK137:AN137"/>
    <mergeCell ref="AK138:AN138"/>
    <mergeCell ref="C137:C138"/>
    <mergeCell ref="D137:D138"/>
    <mergeCell ref="E137:E138"/>
    <mergeCell ref="G137:G138"/>
    <mergeCell ref="H137:H138"/>
    <mergeCell ref="I137:J138"/>
    <mergeCell ref="K137:K138"/>
    <mergeCell ref="L137:L138"/>
    <mergeCell ref="M137:N138"/>
    <mergeCell ref="W137:X138"/>
    <mergeCell ref="Y137:Y138"/>
    <mergeCell ref="Z137:Z138"/>
    <mergeCell ref="AA137:AA138"/>
    <mergeCell ref="AB137:AC138"/>
    <mergeCell ref="AD137:AD138"/>
    <mergeCell ref="AE137:AE138"/>
    <mergeCell ref="AF137:AF138"/>
    <mergeCell ref="AG137:AH138"/>
    <mergeCell ref="AI137:AI138"/>
    <mergeCell ref="AJ137:AJ138"/>
    <mergeCell ref="F137:F138"/>
    <mergeCell ref="O135:O136"/>
    <mergeCell ref="P135:P136"/>
    <mergeCell ref="Q135:Q136"/>
    <mergeCell ref="R135:S136"/>
    <mergeCell ref="T135:T136"/>
    <mergeCell ref="U135:U136"/>
    <mergeCell ref="V135:V136"/>
    <mergeCell ref="AK135:AN135"/>
    <mergeCell ref="AK136:AN136"/>
    <mergeCell ref="C135:C136"/>
    <mergeCell ref="D135:D136"/>
    <mergeCell ref="E135:E136"/>
    <mergeCell ref="G135:G136"/>
    <mergeCell ref="H135:H136"/>
    <mergeCell ref="I135:J136"/>
    <mergeCell ref="K135:K136"/>
    <mergeCell ref="L135:L136"/>
    <mergeCell ref="M135:N136"/>
    <mergeCell ref="W135:X136"/>
    <mergeCell ref="Y135:Y136"/>
    <mergeCell ref="Z135:Z136"/>
    <mergeCell ref="AA135:AA136"/>
    <mergeCell ref="AB135:AC136"/>
    <mergeCell ref="AD135:AD136"/>
    <mergeCell ref="AE135:AE136"/>
    <mergeCell ref="AF135:AF136"/>
    <mergeCell ref="AG135:AH136"/>
    <mergeCell ref="AI135:AI136"/>
    <mergeCell ref="AJ135:AJ136"/>
    <mergeCell ref="F135:F136"/>
    <mergeCell ref="O133:O134"/>
    <mergeCell ref="P133:P134"/>
    <mergeCell ref="Q133:Q134"/>
    <mergeCell ref="R133:S134"/>
    <mergeCell ref="T133:T134"/>
    <mergeCell ref="U133:U134"/>
    <mergeCell ref="V133:V134"/>
    <mergeCell ref="AK133:AN133"/>
    <mergeCell ref="AK134:AN134"/>
    <mergeCell ref="C133:C134"/>
    <mergeCell ref="D133:D134"/>
    <mergeCell ref="E133:E134"/>
    <mergeCell ref="G133:G134"/>
    <mergeCell ref="H133:H134"/>
    <mergeCell ref="I133:J134"/>
    <mergeCell ref="K133:K134"/>
    <mergeCell ref="L133:L134"/>
    <mergeCell ref="M133:N134"/>
    <mergeCell ref="W133:X134"/>
    <mergeCell ref="Y133:Y134"/>
    <mergeCell ref="Z133:Z134"/>
    <mergeCell ref="AA133:AA134"/>
    <mergeCell ref="AB133:AC134"/>
    <mergeCell ref="AD133:AD134"/>
    <mergeCell ref="AE133:AE134"/>
    <mergeCell ref="AF133:AF134"/>
    <mergeCell ref="AG133:AH134"/>
    <mergeCell ref="AI133:AI134"/>
    <mergeCell ref="AJ133:AJ134"/>
    <mergeCell ref="F133:F134"/>
    <mergeCell ref="O131:O132"/>
    <mergeCell ref="P131:P132"/>
    <mergeCell ref="Q131:Q132"/>
    <mergeCell ref="R131:S132"/>
    <mergeCell ref="T131:T132"/>
    <mergeCell ref="U131:U132"/>
    <mergeCell ref="V131:V132"/>
    <mergeCell ref="AK131:AN131"/>
    <mergeCell ref="AK132:AN132"/>
    <mergeCell ref="C131:C132"/>
    <mergeCell ref="D131:D132"/>
    <mergeCell ref="E131:E132"/>
    <mergeCell ref="G131:G132"/>
    <mergeCell ref="H131:H132"/>
    <mergeCell ref="I131:J132"/>
    <mergeCell ref="K131:K132"/>
    <mergeCell ref="L131:L132"/>
    <mergeCell ref="M131:N132"/>
    <mergeCell ref="W131:X132"/>
    <mergeCell ref="Y131:Y132"/>
    <mergeCell ref="Z131:Z132"/>
    <mergeCell ref="AA131:AA132"/>
    <mergeCell ref="AB131:AC132"/>
    <mergeCell ref="AD131:AD132"/>
    <mergeCell ref="AE131:AE132"/>
    <mergeCell ref="AF131:AF132"/>
    <mergeCell ref="AG131:AH132"/>
    <mergeCell ref="AI131:AI132"/>
    <mergeCell ref="AJ131:AJ132"/>
    <mergeCell ref="F131:F132"/>
    <mergeCell ref="O129:O130"/>
    <mergeCell ref="P129:P130"/>
    <mergeCell ref="Q129:Q130"/>
    <mergeCell ref="R129:S130"/>
    <mergeCell ref="T129:T130"/>
    <mergeCell ref="U129:U130"/>
    <mergeCell ref="V129:V130"/>
    <mergeCell ref="AK129:AN129"/>
    <mergeCell ref="AK130:AN130"/>
    <mergeCell ref="C129:C130"/>
    <mergeCell ref="D129:D130"/>
    <mergeCell ref="E129:E130"/>
    <mergeCell ref="G129:G130"/>
    <mergeCell ref="H129:H130"/>
    <mergeCell ref="I129:J130"/>
    <mergeCell ref="K129:K130"/>
    <mergeCell ref="L129:L130"/>
    <mergeCell ref="M129:N130"/>
    <mergeCell ref="W129:X130"/>
    <mergeCell ref="Y129:Y130"/>
    <mergeCell ref="Z129:Z130"/>
    <mergeCell ref="AA129:AA130"/>
    <mergeCell ref="AB129:AC130"/>
    <mergeCell ref="AD129:AD130"/>
    <mergeCell ref="AE129:AE130"/>
    <mergeCell ref="AF129:AF130"/>
    <mergeCell ref="AG129:AH130"/>
    <mergeCell ref="AI129:AI130"/>
    <mergeCell ref="AJ129:AJ130"/>
    <mergeCell ref="F129:F130"/>
    <mergeCell ref="O127:O128"/>
    <mergeCell ref="P127:P128"/>
    <mergeCell ref="Q127:Q128"/>
    <mergeCell ref="R127:S128"/>
    <mergeCell ref="T127:T128"/>
    <mergeCell ref="U127:U128"/>
    <mergeCell ref="V127:V128"/>
    <mergeCell ref="AK127:AN127"/>
    <mergeCell ref="AK128:AN128"/>
    <mergeCell ref="C127:C128"/>
    <mergeCell ref="D127:D128"/>
    <mergeCell ref="E127:E128"/>
    <mergeCell ref="G127:G128"/>
    <mergeCell ref="H127:H128"/>
    <mergeCell ref="I127:J128"/>
    <mergeCell ref="K127:K128"/>
    <mergeCell ref="L127:L128"/>
    <mergeCell ref="M127:N128"/>
    <mergeCell ref="W127:X128"/>
    <mergeCell ref="Y127:Y128"/>
    <mergeCell ref="Z127:Z128"/>
    <mergeCell ref="AA127:AA128"/>
    <mergeCell ref="AB127:AC128"/>
    <mergeCell ref="AD127:AD128"/>
    <mergeCell ref="AE127:AE128"/>
    <mergeCell ref="AF127:AF128"/>
    <mergeCell ref="AG127:AH128"/>
    <mergeCell ref="AI127:AI128"/>
    <mergeCell ref="AJ127:AJ128"/>
    <mergeCell ref="F127:F128"/>
    <mergeCell ref="O125:O126"/>
    <mergeCell ref="P125:P126"/>
    <mergeCell ref="Q125:Q126"/>
    <mergeCell ref="R125:S126"/>
    <mergeCell ref="T125:T126"/>
    <mergeCell ref="U125:U126"/>
    <mergeCell ref="V125:V126"/>
    <mergeCell ref="AK125:AN125"/>
    <mergeCell ref="AK126:AN126"/>
    <mergeCell ref="C125:C126"/>
    <mergeCell ref="D125:D126"/>
    <mergeCell ref="E125:E126"/>
    <mergeCell ref="G125:G126"/>
    <mergeCell ref="H125:H126"/>
    <mergeCell ref="I125:J126"/>
    <mergeCell ref="K125:K126"/>
    <mergeCell ref="L125:L126"/>
    <mergeCell ref="M125:N126"/>
    <mergeCell ref="W125:X126"/>
    <mergeCell ref="Y125:Y126"/>
    <mergeCell ref="Z125:Z126"/>
    <mergeCell ref="AA125:AA126"/>
    <mergeCell ref="AB125:AC126"/>
    <mergeCell ref="AD125:AD126"/>
    <mergeCell ref="AE125:AE126"/>
    <mergeCell ref="AF125:AF126"/>
    <mergeCell ref="AG125:AH126"/>
    <mergeCell ref="AI125:AI126"/>
    <mergeCell ref="AJ125:AJ126"/>
    <mergeCell ref="F125:F126"/>
    <mergeCell ref="O123:O124"/>
    <mergeCell ref="P123:P124"/>
    <mergeCell ref="Q123:Q124"/>
    <mergeCell ref="R123:S124"/>
    <mergeCell ref="T123:T124"/>
    <mergeCell ref="U123:U124"/>
    <mergeCell ref="V123:V124"/>
    <mergeCell ref="AK123:AN123"/>
    <mergeCell ref="AK124:AN124"/>
    <mergeCell ref="C123:C124"/>
    <mergeCell ref="D123:D124"/>
    <mergeCell ref="E123:E124"/>
    <mergeCell ref="G123:G124"/>
    <mergeCell ref="H123:H124"/>
    <mergeCell ref="I123:J124"/>
    <mergeCell ref="K123:K124"/>
    <mergeCell ref="L123:L124"/>
    <mergeCell ref="M123:N124"/>
    <mergeCell ref="W123:X124"/>
    <mergeCell ref="Y123:Y124"/>
    <mergeCell ref="Z123:Z124"/>
    <mergeCell ref="AA123:AA124"/>
    <mergeCell ref="AB123:AC124"/>
    <mergeCell ref="AD123:AD124"/>
    <mergeCell ref="AE123:AE124"/>
    <mergeCell ref="AF123:AF124"/>
    <mergeCell ref="AG123:AH124"/>
    <mergeCell ref="AI123:AI124"/>
    <mergeCell ref="AJ123:AJ124"/>
    <mergeCell ref="F123:F124"/>
    <mergeCell ref="O121:O122"/>
    <mergeCell ref="P121:P122"/>
    <mergeCell ref="Q121:Q122"/>
    <mergeCell ref="R121:S122"/>
    <mergeCell ref="T121:T122"/>
    <mergeCell ref="U121:U122"/>
    <mergeCell ref="V121:V122"/>
    <mergeCell ref="AK121:AN121"/>
    <mergeCell ref="AK122:AN122"/>
    <mergeCell ref="C121:C122"/>
    <mergeCell ref="D121:D122"/>
    <mergeCell ref="E121:E122"/>
    <mergeCell ref="G121:G122"/>
    <mergeCell ref="H121:H122"/>
    <mergeCell ref="I121:J122"/>
    <mergeCell ref="K121:K122"/>
    <mergeCell ref="L121:L122"/>
    <mergeCell ref="M121:N122"/>
    <mergeCell ref="W121:X122"/>
    <mergeCell ref="Y121:Y122"/>
    <mergeCell ref="Z121:Z122"/>
    <mergeCell ref="AA121:AA122"/>
    <mergeCell ref="AB121:AC122"/>
    <mergeCell ref="AD121:AD122"/>
    <mergeCell ref="AE121:AE122"/>
    <mergeCell ref="AF121:AF122"/>
    <mergeCell ref="AG121:AH122"/>
    <mergeCell ref="AI121:AI122"/>
    <mergeCell ref="AJ121:AJ122"/>
    <mergeCell ref="F121:F122"/>
    <mergeCell ref="O119:O120"/>
    <mergeCell ref="P119:P120"/>
    <mergeCell ref="Q119:Q120"/>
    <mergeCell ref="R119:S120"/>
    <mergeCell ref="T119:T120"/>
    <mergeCell ref="U119:U120"/>
    <mergeCell ref="V119:V120"/>
    <mergeCell ref="AK119:AN119"/>
    <mergeCell ref="AK120:AN120"/>
    <mergeCell ref="C119:C120"/>
    <mergeCell ref="D119:D120"/>
    <mergeCell ref="E119:E120"/>
    <mergeCell ref="G119:G120"/>
    <mergeCell ref="H119:H120"/>
    <mergeCell ref="I119:J120"/>
    <mergeCell ref="K119:K120"/>
    <mergeCell ref="L119:L120"/>
    <mergeCell ref="M119:N120"/>
    <mergeCell ref="W119:X120"/>
    <mergeCell ref="Y119:Y120"/>
    <mergeCell ref="Z119:Z120"/>
    <mergeCell ref="AA119:AA120"/>
    <mergeCell ref="AB119:AC120"/>
    <mergeCell ref="AD119:AD120"/>
    <mergeCell ref="AE119:AE120"/>
    <mergeCell ref="AF119:AF120"/>
    <mergeCell ref="AG119:AH120"/>
    <mergeCell ref="AI119:AI120"/>
    <mergeCell ref="AJ119:AJ120"/>
    <mergeCell ref="F119:F120"/>
    <mergeCell ref="O117:O118"/>
    <mergeCell ref="P117:P118"/>
    <mergeCell ref="Q117:Q118"/>
    <mergeCell ref="R117:S118"/>
    <mergeCell ref="T117:T118"/>
    <mergeCell ref="U117:U118"/>
    <mergeCell ref="V117:V118"/>
    <mergeCell ref="AK117:AN117"/>
    <mergeCell ref="AK118:AN118"/>
    <mergeCell ref="C117:C118"/>
    <mergeCell ref="D117:D118"/>
    <mergeCell ref="E117:E118"/>
    <mergeCell ref="G117:G118"/>
    <mergeCell ref="H117:H118"/>
    <mergeCell ref="I117:J118"/>
    <mergeCell ref="K117:K118"/>
    <mergeCell ref="L117:L118"/>
    <mergeCell ref="M117:N118"/>
    <mergeCell ref="W117:X118"/>
    <mergeCell ref="Y117:Y118"/>
    <mergeCell ref="Z117:Z118"/>
    <mergeCell ref="AA117:AA118"/>
    <mergeCell ref="AB117:AC118"/>
    <mergeCell ref="AD117:AD118"/>
    <mergeCell ref="AE117:AE118"/>
    <mergeCell ref="AF117:AF118"/>
    <mergeCell ref="AG117:AH118"/>
    <mergeCell ref="AI117:AI118"/>
    <mergeCell ref="AJ117:AJ118"/>
    <mergeCell ref="F117:F118"/>
    <mergeCell ref="O115:O116"/>
    <mergeCell ref="P115:P116"/>
    <mergeCell ref="Q115:Q116"/>
    <mergeCell ref="R115:S116"/>
    <mergeCell ref="T115:T116"/>
    <mergeCell ref="U115:U116"/>
    <mergeCell ref="V115:V116"/>
    <mergeCell ref="AK115:AN115"/>
    <mergeCell ref="AK116:AN116"/>
    <mergeCell ref="C115:C116"/>
    <mergeCell ref="D115:D116"/>
    <mergeCell ref="E115:E116"/>
    <mergeCell ref="G115:G116"/>
    <mergeCell ref="H115:H116"/>
    <mergeCell ref="I115:J116"/>
    <mergeCell ref="K115:K116"/>
    <mergeCell ref="L115:L116"/>
    <mergeCell ref="M115:N116"/>
    <mergeCell ref="W115:X116"/>
    <mergeCell ref="Y115:Y116"/>
    <mergeCell ref="Z115:Z116"/>
    <mergeCell ref="AA115:AA116"/>
    <mergeCell ref="AB115:AC116"/>
    <mergeCell ref="AD115:AD116"/>
    <mergeCell ref="AE115:AE116"/>
    <mergeCell ref="AF115:AF116"/>
    <mergeCell ref="AG115:AH116"/>
    <mergeCell ref="AI115:AI116"/>
    <mergeCell ref="AJ115:AJ116"/>
    <mergeCell ref="F115:F116"/>
    <mergeCell ref="O113:O114"/>
    <mergeCell ref="P113:P114"/>
    <mergeCell ref="Q113:Q114"/>
    <mergeCell ref="R113:S114"/>
    <mergeCell ref="T113:T114"/>
    <mergeCell ref="U113:U114"/>
    <mergeCell ref="V113:V114"/>
    <mergeCell ref="AK113:AN113"/>
    <mergeCell ref="AK114:AN114"/>
    <mergeCell ref="C113:C114"/>
    <mergeCell ref="D113:D114"/>
    <mergeCell ref="E113:E114"/>
    <mergeCell ref="G113:G114"/>
    <mergeCell ref="H113:H114"/>
    <mergeCell ref="I113:J114"/>
    <mergeCell ref="K113:K114"/>
    <mergeCell ref="L113:L114"/>
    <mergeCell ref="M113:N114"/>
    <mergeCell ref="W113:X114"/>
    <mergeCell ref="Y113:Y114"/>
    <mergeCell ref="Z113:Z114"/>
    <mergeCell ref="AA113:AA114"/>
    <mergeCell ref="AB113:AC114"/>
    <mergeCell ref="AD113:AD114"/>
    <mergeCell ref="AE113:AE114"/>
    <mergeCell ref="AF113:AF114"/>
    <mergeCell ref="AG113:AH114"/>
    <mergeCell ref="AI113:AI114"/>
    <mergeCell ref="AJ113:AJ114"/>
    <mergeCell ref="F113:F114"/>
    <mergeCell ref="O111:O112"/>
    <mergeCell ref="P111:P112"/>
    <mergeCell ref="Q111:Q112"/>
    <mergeCell ref="R111:S112"/>
    <mergeCell ref="T111:T112"/>
    <mergeCell ref="U111:U112"/>
    <mergeCell ref="V111:V112"/>
    <mergeCell ref="AK111:AN111"/>
    <mergeCell ref="AK112:AN112"/>
    <mergeCell ref="C111:C112"/>
    <mergeCell ref="D111:D112"/>
    <mergeCell ref="E111:E112"/>
    <mergeCell ref="G111:G112"/>
    <mergeCell ref="H111:H112"/>
    <mergeCell ref="I111:J112"/>
    <mergeCell ref="K111:K112"/>
    <mergeCell ref="L111:L112"/>
    <mergeCell ref="M111:N112"/>
    <mergeCell ref="W111:X112"/>
    <mergeCell ref="Y111:Y112"/>
    <mergeCell ref="Z111:Z112"/>
    <mergeCell ref="AA111:AA112"/>
    <mergeCell ref="AB111:AC112"/>
    <mergeCell ref="AD111:AD112"/>
    <mergeCell ref="AE111:AE112"/>
    <mergeCell ref="AF111:AF112"/>
    <mergeCell ref="AG111:AH112"/>
    <mergeCell ref="AI111:AI112"/>
    <mergeCell ref="AJ111:AJ112"/>
    <mergeCell ref="F111:F112"/>
    <mergeCell ref="O109:O110"/>
    <mergeCell ref="P109:P110"/>
    <mergeCell ref="Q109:Q110"/>
    <mergeCell ref="R109:S110"/>
    <mergeCell ref="T109:T110"/>
    <mergeCell ref="U109:U110"/>
    <mergeCell ref="V109:V110"/>
    <mergeCell ref="AK109:AN109"/>
    <mergeCell ref="AK110:AN110"/>
    <mergeCell ref="C109:C110"/>
    <mergeCell ref="D109:D110"/>
    <mergeCell ref="E109:E110"/>
    <mergeCell ref="G109:G110"/>
    <mergeCell ref="H109:H110"/>
    <mergeCell ref="I109:J110"/>
    <mergeCell ref="K109:K110"/>
    <mergeCell ref="L109:L110"/>
    <mergeCell ref="M109:N110"/>
    <mergeCell ref="W109:X110"/>
    <mergeCell ref="Y109:Y110"/>
    <mergeCell ref="Z109:Z110"/>
    <mergeCell ref="AA109:AA110"/>
    <mergeCell ref="AB109:AC110"/>
    <mergeCell ref="AD109:AD110"/>
    <mergeCell ref="AE109:AE110"/>
    <mergeCell ref="AF109:AF110"/>
    <mergeCell ref="AG109:AH110"/>
    <mergeCell ref="AI109:AI110"/>
    <mergeCell ref="AJ109:AJ110"/>
    <mergeCell ref="F109:F110"/>
    <mergeCell ref="O107:O108"/>
    <mergeCell ref="P107:P108"/>
    <mergeCell ref="Q107:Q108"/>
    <mergeCell ref="R107:S108"/>
    <mergeCell ref="T107:T108"/>
    <mergeCell ref="U107:U108"/>
    <mergeCell ref="V107:V108"/>
    <mergeCell ref="AK107:AN107"/>
    <mergeCell ref="AK108:AN108"/>
    <mergeCell ref="C107:C108"/>
    <mergeCell ref="D107:D108"/>
    <mergeCell ref="E107:E108"/>
    <mergeCell ref="G107:G108"/>
    <mergeCell ref="H107:H108"/>
    <mergeCell ref="I107:J108"/>
    <mergeCell ref="K107:K108"/>
    <mergeCell ref="L107:L108"/>
    <mergeCell ref="M107:N108"/>
    <mergeCell ref="W107:X108"/>
    <mergeCell ref="Y107:Y108"/>
    <mergeCell ref="Z107:Z108"/>
    <mergeCell ref="AA107:AA108"/>
    <mergeCell ref="AB107:AC108"/>
    <mergeCell ref="AD107:AD108"/>
    <mergeCell ref="AE107:AE108"/>
    <mergeCell ref="AF107:AF108"/>
    <mergeCell ref="AG107:AH108"/>
    <mergeCell ref="AI107:AI108"/>
    <mergeCell ref="AJ107:AJ108"/>
    <mergeCell ref="F107:F108"/>
    <mergeCell ref="O105:O106"/>
    <mergeCell ref="P105:P106"/>
    <mergeCell ref="Q105:Q106"/>
    <mergeCell ref="R105:S106"/>
    <mergeCell ref="T105:T106"/>
    <mergeCell ref="U105:U106"/>
    <mergeCell ref="V105:V106"/>
    <mergeCell ref="AK105:AN105"/>
    <mergeCell ref="AK106:AN106"/>
    <mergeCell ref="C105:C106"/>
    <mergeCell ref="D105:D106"/>
    <mergeCell ref="E105:E106"/>
    <mergeCell ref="G105:G106"/>
    <mergeCell ref="H105:H106"/>
    <mergeCell ref="I105:J106"/>
    <mergeCell ref="K105:K106"/>
    <mergeCell ref="L105:L106"/>
    <mergeCell ref="M105:N106"/>
    <mergeCell ref="W105:X106"/>
    <mergeCell ref="Y105:Y106"/>
    <mergeCell ref="Z105:Z106"/>
    <mergeCell ref="AA105:AA106"/>
    <mergeCell ref="AB105:AC106"/>
    <mergeCell ref="AD105:AD106"/>
    <mergeCell ref="AE105:AE106"/>
    <mergeCell ref="AF105:AF106"/>
    <mergeCell ref="AG105:AH106"/>
    <mergeCell ref="AI105:AI106"/>
    <mergeCell ref="AJ105:AJ106"/>
    <mergeCell ref="F105:F106"/>
    <mergeCell ref="O103:O104"/>
    <mergeCell ref="P103:P104"/>
    <mergeCell ref="Q103:Q104"/>
    <mergeCell ref="R103:S104"/>
    <mergeCell ref="T103:T104"/>
    <mergeCell ref="U103:U104"/>
    <mergeCell ref="V103:V104"/>
    <mergeCell ref="AK103:AN103"/>
    <mergeCell ref="AK104:AN104"/>
    <mergeCell ref="C103:C104"/>
    <mergeCell ref="D103:D104"/>
    <mergeCell ref="E103:E104"/>
    <mergeCell ref="G103:G104"/>
    <mergeCell ref="H103:H104"/>
    <mergeCell ref="I103:J104"/>
    <mergeCell ref="K103:K104"/>
    <mergeCell ref="L103:L104"/>
    <mergeCell ref="M103:N104"/>
    <mergeCell ref="W103:X104"/>
    <mergeCell ref="Y103:Y104"/>
    <mergeCell ref="Z103:Z104"/>
    <mergeCell ref="AA103:AA104"/>
    <mergeCell ref="AB103:AC104"/>
    <mergeCell ref="AD103:AD104"/>
    <mergeCell ref="AE103:AE104"/>
    <mergeCell ref="AF103:AF104"/>
    <mergeCell ref="AG103:AH104"/>
    <mergeCell ref="AI103:AI104"/>
    <mergeCell ref="AJ103:AJ104"/>
    <mergeCell ref="F103:F104"/>
    <mergeCell ref="O101:O102"/>
    <mergeCell ref="P101:P102"/>
    <mergeCell ref="Q101:Q102"/>
    <mergeCell ref="R101:S102"/>
    <mergeCell ref="T101:T102"/>
    <mergeCell ref="U101:U102"/>
    <mergeCell ref="V101:V102"/>
    <mergeCell ref="AK101:AN101"/>
    <mergeCell ref="AK102:AN102"/>
    <mergeCell ref="C101:C102"/>
    <mergeCell ref="D101:D102"/>
    <mergeCell ref="E101:E102"/>
    <mergeCell ref="G101:G102"/>
    <mergeCell ref="H101:H102"/>
    <mergeCell ref="I101:J102"/>
    <mergeCell ref="K101:K102"/>
    <mergeCell ref="L101:L102"/>
    <mergeCell ref="M101:N102"/>
    <mergeCell ref="W101:X102"/>
    <mergeCell ref="Y101:Y102"/>
    <mergeCell ref="Z101:Z102"/>
    <mergeCell ref="AA101:AA102"/>
    <mergeCell ref="AB101:AC102"/>
    <mergeCell ref="AD101:AD102"/>
    <mergeCell ref="AE101:AE102"/>
    <mergeCell ref="AF101:AF102"/>
    <mergeCell ref="AG101:AH102"/>
    <mergeCell ref="AI101:AI102"/>
    <mergeCell ref="AJ101:AJ102"/>
    <mergeCell ref="F101:F102"/>
    <mergeCell ref="O99:O100"/>
    <mergeCell ref="P99:P100"/>
    <mergeCell ref="Q99:Q100"/>
    <mergeCell ref="R99:S100"/>
    <mergeCell ref="T99:T100"/>
    <mergeCell ref="U99:U100"/>
    <mergeCell ref="V99:V100"/>
    <mergeCell ref="AK99:AN99"/>
    <mergeCell ref="AK100:AN100"/>
    <mergeCell ref="C99:C100"/>
    <mergeCell ref="D99:D100"/>
    <mergeCell ref="E99:E100"/>
    <mergeCell ref="G99:G100"/>
    <mergeCell ref="H99:H100"/>
    <mergeCell ref="I99:J100"/>
    <mergeCell ref="K99:K100"/>
    <mergeCell ref="L99:L100"/>
    <mergeCell ref="M99:N100"/>
    <mergeCell ref="W99:X100"/>
    <mergeCell ref="Y99:Y100"/>
    <mergeCell ref="Z99:Z100"/>
    <mergeCell ref="AA99:AA100"/>
    <mergeCell ref="AB99:AC100"/>
    <mergeCell ref="AD99:AD100"/>
    <mergeCell ref="AE99:AE100"/>
    <mergeCell ref="AF99:AF100"/>
    <mergeCell ref="AG99:AH100"/>
    <mergeCell ref="AI99:AI100"/>
    <mergeCell ref="AJ99:AJ100"/>
    <mergeCell ref="F99:F100"/>
    <mergeCell ref="O97:O98"/>
    <mergeCell ref="P97:P98"/>
    <mergeCell ref="Q97:Q98"/>
    <mergeCell ref="R97:S98"/>
    <mergeCell ref="T97:T98"/>
    <mergeCell ref="U97:U98"/>
    <mergeCell ref="V97:V98"/>
    <mergeCell ref="AK97:AN97"/>
    <mergeCell ref="AK98:AN98"/>
    <mergeCell ref="C97:C98"/>
    <mergeCell ref="D97:D98"/>
    <mergeCell ref="E97:E98"/>
    <mergeCell ref="G97:G98"/>
    <mergeCell ref="H97:H98"/>
    <mergeCell ref="I97:J98"/>
    <mergeCell ref="K97:K98"/>
    <mergeCell ref="L97:L98"/>
    <mergeCell ref="M97:N98"/>
    <mergeCell ref="W97:X98"/>
    <mergeCell ref="Y97:Y98"/>
    <mergeCell ref="Z97:Z98"/>
    <mergeCell ref="AA97:AA98"/>
    <mergeCell ref="AB97:AC98"/>
    <mergeCell ref="AD97:AD98"/>
    <mergeCell ref="AE97:AE98"/>
    <mergeCell ref="AF97:AF98"/>
    <mergeCell ref="AG97:AH98"/>
    <mergeCell ref="AI97:AI98"/>
    <mergeCell ref="AJ97:AJ98"/>
    <mergeCell ref="O95:O96"/>
    <mergeCell ref="P95:P96"/>
    <mergeCell ref="Q95:Q96"/>
    <mergeCell ref="R95:S96"/>
    <mergeCell ref="T95:T96"/>
    <mergeCell ref="U95:U96"/>
    <mergeCell ref="V95:V96"/>
    <mergeCell ref="AK95:AN95"/>
    <mergeCell ref="AK96:AN96"/>
    <mergeCell ref="C95:C96"/>
    <mergeCell ref="D95:D96"/>
    <mergeCell ref="E95:E96"/>
    <mergeCell ref="G95:G96"/>
    <mergeCell ref="H95:H96"/>
    <mergeCell ref="I95:J96"/>
    <mergeCell ref="K95:K96"/>
    <mergeCell ref="L95:L96"/>
    <mergeCell ref="M95:N96"/>
    <mergeCell ref="W95:X96"/>
    <mergeCell ref="Y95:Y96"/>
    <mergeCell ref="Z95:Z96"/>
    <mergeCell ref="AA95:AA96"/>
    <mergeCell ref="AB95:AC96"/>
    <mergeCell ref="AD95:AD96"/>
    <mergeCell ref="AE95:AE96"/>
    <mergeCell ref="AF95:AF96"/>
    <mergeCell ref="AG95:AH96"/>
    <mergeCell ref="AI95:AI96"/>
    <mergeCell ref="AJ95:AJ96"/>
    <mergeCell ref="O93:O94"/>
    <mergeCell ref="P93:P94"/>
    <mergeCell ref="Q93:Q94"/>
    <mergeCell ref="R93:S94"/>
    <mergeCell ref="T93:T94"/>
    <mergeCell ref="U93:U94"/>
    <mergeCell ref="V93:V94"/>
    <mergeCell ref="AK93:AN93"/>
    <mergeCell ref="AK94:AN94"/>
    <mergeCell ref="C93:C94"/>
    <mergeCell ref="D93:D94"/>
    <mergeCell ref="E93:E94"/>
    <mergeCell ref="G93:G94"/>
    <mergeCell ref="H93:H94"/>
    <mergeCell ref="I93:J94"/>
    <mergeCell ref="K93:K94"/>
    <mergeCell ref="L93:L94"/>
    <mergeCell ref="M93:N94"/>
    <mergeCell ref="W93:X94"/>
    <mergeCell ref="Y93:Y94"/>
    <mergeCell ref="Z93:Z94"/>
    <mergeCell ref="AA93:AA94"/>
    <mergeCell ref="AB93:AC94"/>
    <mergeCell ref="AD93:AD94"/>
    <mergeCell ref="AE93:AE94"/>
    <mergeCell ref="AF93:AF94"/>
    <mergeCell ref="AG93:AH94"/>
    <mergeCell ref="AI93:AI94"/>
    <mergeCell ref="AJ93:AJ94"/>
    <mergeCell ref="O91:O92"/>
    <mergeCell ref="P91:P92"/>
    <mergeCell ref="Q91:Q92"/>
    <mergeCell ref="R91:S92"/>
    <mergeCell ref="T91:T92"/>
    <mergeCell ref="U91:U92"/>
    <mergeCell ref="V91:V92"/>
    <mergeCell ref="AK91:AN91"/>
    <mergeCell ref="AK92:AN92"/>
    <mergeCell ref="C91:C92"/>
    <mergeCell ref="D91:D92"/>
    <mergeCell ref="E91:E92"/>
    <mergeCell ref="G91:G92"/>
    <mergeCell ref="H91:H92"/>
    <mergeCell ref="I91:J92"/>
    <mergeCell ref="K91:K92"/>
    <mergeCell ref="L91:L92"/>
    <mergeCell ref="M91:N92"/>
    <mergeCell ref="W91:X92"/>
    <mergeCell ref="Y91:Y92"/>
    <mergeCell ref="Z91:Z92"/>
    <mergeCell ref="AA91:AA92"/>
    <mergeCell ref="AB91:AC92"/>
    <mergeCell ref="AD91:AD92"/>
    <mergeCell ref="AE91:AE92"/>
    <mergeCell ref="AF91:AF92"/>
    <mergeCell ref="AG91:AH92"/>
    <mergeCell ref="AI91:AI92"/>
    <mergeCell ref="AJ91:AJ92"/>
    <mergeCell ref="O89:O90"/>
    <mergeCell ref="P89:P90"/>
    <mergeCell ref="Q89:Q90"/>
    <mergeCell ref="R89:S90"/>
    <mergeCell ref="T89:T90"/>
    <mergeCell ref="U89:U90"/>
    <mergeCell ref="V89:V90"/>
    <mergeCell ref="AK89:AN89"/>
    <mergeCell ref="AK90:AN90"/>
    <mergeCell ref="C89:C90"/>
    <mergeCell ref="D89:D90"/>
    <mergeCell ref="E89:E90"/>
    <mergeCell ref="G89:G90"/>
    <mergeCell ref="H89:H90"/>
    <mergeCell ref="I89:J90"/>
    <mergeCell ref="K89:K90"/>
    <mergeCell ref="L89:L90"/>
    <mergeCell ref="M89:N90"/>
    <mergeCell ref="W89:X90"/>
    <mergeCell ref="Y89:Y90"/>
    <mergeCell ref="Z89:Z90"/>
    <mergeCell ref="AA89:AA90"/>
    <mergeCell ref="AB89:AC90"/>
    <mergeCell ref="AD89:AD90"/>
    <mergeCell ref="AE89:AE90"/>
    <mergeCell ref="AF89:AF90"/>
    <mergeCell ref="AG89:AH90"/>
    <mergeCell ref="AI89:AI90"/>
    <mergeCell ref="AJ89:AJ90"/>
    <mergeCell ref="O87:O88"/>
    <mergeCell ref="P87:P88"/>
    <mergeCell ref="Q87:Q88"/>
    <mergeCell ref="R87:S88"/>
    <mergeCell ref="T87:T88"/>
    <mergeCell ref="U87:U88"/>
    <mergeCell ref="V87:V88"/>
    <mergeCell ref="AK87:AN87"/>
    <mergeCell ref="AK88:AN88"/>
    <mergeCell ref="C87:C88"/>
    <mergeCell ref="D87:D88"/>
    <mergeCell ref="E87:E88"/>
    <mergeCell ref="G87:G88"/>
    <mergeCell ref="H87:H88"/>
    <mergeCell ref="I87:J88"/>
    <mergeCell ref="K87:K88"/>
    <mergeCell ref="L87:L88"/>
    <mergeCell ref="M87:N88"/>
    <mergeCell ref="W87:X88"/>
    <mergeCell ref="Y87:Y88"/>
    <mergeCell ref="Z87:Z88"/>
    <mergeCell ref="AA87:AA88"/>
    <mergeCell ref="AB87:AC88"/>
    <mergeCell ref="AD87:AD88"/>
    <mergeCell ref="AE87:AE88"/>
    <mergeCell ref="AF87:AF88"/>
    <mergeCell ref="AG87:AH88"/>
    <mergeCell ref="AI87:AI88"/>
    <mergeCell ref="AJ87:AJ88"/>
    <mergeCell ref="O85:O86"/>
    <mergeCell ref="P85:P86"/>
    <mergeCell ref="Q85:Q86"/>
    <mergeCell ref="R85:S86"/>
    <mergeCell ref="T85:T86"/>
    <mergeCell ref="U85:U86"/>
    <mergeCell ref="V85:V86"/>
    <mergeCell ref="AK85:AN85"/>
    <mergeCell ref="AK86:AN86"/>
    <mergeCell ref="C85:C86"/>
    <mergeCell ref="D85:D86"/>
    <mergeCell ref="E85:E86"/>
    <mergeCell ref="G85:G86"/>
    <mergeCell ref="H85:H86"/>
    <mergeCell ref="I85:J86"/>
    <mergeCell ref="K85:K86"/>
    <mergeCell ref="L85:L86"/>
    <mergeCell ref="M85:N86"/>
    <mergeCell ref="W85:X86"/>
    <mergeCell ref="Y85:Y86"/>
    <mergeCell ref="Z85:Z86"/>
    <mergeCell ref="AA85:AA86"/>
    <mergeCell ref="AB85:AC86"/>
    <mergeCell ref="AD85:AD86"/>
    <mergeCell ref="AE85:AE86"/>
    <mergeCell ref="AF85:AF86"/>
    <mergeCell ref="AG85:AH86"/>
    <mergeCell ref="AI85:AI86"/>
    <mergeCell ref="AJ85:AJ86"/>
    <mergeCell ref="O83:O84"/>
    <mergeCell ref="P83:P84"/>
    <mergeCell ref="Q83:Q84"/>
    <mergeCell ref="R83:S84"/>
    <mergeCell ref="T83:T84"/>
    <mergeCell ref="U83:U84"/>
    <mergeCell ref="V83:V84"/>
    <mergeCell ref="AK83:AN83"/>
    <mergeCell ref="AK84:AN84"/>
    <mergeCell ref="C83:C84"/>
    <mergeCell ref="D83:D84"/>
    <mergeCell ref="E83:E84"/>
    <mergeCell ref="G83:G84"/>
    <mergeCell ref="H83:H84"/>
    <mergeCell ref="I83:J84"/>
    <mergeCell ref="K83:K84"/>
    <mergeCell ref="L83:L84"/>
    <mergeCell ref="M83:N84"/>
    <mergeCell ref="W83:X84"/>
    <mergeCell ref="Y83:Y84"/>
    <mergeCell ref="Z83:Z84"/>
    <mergeCell ref="AA83:AA84"/>
    <mergeCell ref="AB83:AC84"/>
    <mergeCell ref="AD83:AD84"/>
    <mergeCell ref="AE83:AE84"/>
    <mergeCell ref="AF83:AF84"/>
    <mergeCell ref="AG83:AH84"/>
    <mergeCell ref="AI83:AI84"/>
    <mergeCell ref="AJ83:AJ84"/>
    <mergeCell ref="O81:O82"/>
    <mergeCell ref="P81:P82"/>
    <mergeCell ref="Q81:Q82"/>
    <mergeCell ref="R81:S82"/>
    <mergeCell ref="T81:T82"/>
    <mergeCell ref="U81:U82"/>
    <mergeCell ref="V81:V82"/>
    <mergeCell ref="AK81:AN81"/>
    <mergeCell ref="AK82:AN82"/>
    <mergeCell ref="C81:C82"/>
    <mergeCell ref="D81:D82"/>
    <mergeCell ref="E81:E82"/>
    <mergeCell ref="G81:G82"/>
    <mergeCell ref="H81:H82"/>
    <mergeCell ref="I81:J82"/>
    <mergeCell ref="K81:K82"/>
    <mergeCell ref="L81:L82"/>
    <mergeCell ref="M81:N82"/>
    <mergeCell ref="W81:X82"/>
    <mergeCell ref="Y81:Y82"/>
    <mergeCell ref="Z81:Z82"/>
    <mergeCell ref="AA81:AA82"/>
    <mergeCell ref="AB81:AC82"/>
    <mergeCell ref="AD81:AD82"/>
    <mergeCell ref="AE81:AE82"/>
    <mergeCell ref="AF81:AF82"/>
    <mergeCell ref="AG81:AH82"/>
    <mergeCell ref="AI81:AI82"/>
    <mergeCell ref="AJ81:AJ82"/>
    <mergeCell ref="O79:O80"/>
    <mergeCell ref="P79:P80"/>
    <mergeCell ref="Q79:Q80"/>
    <mergeCell ref="R79:S80"/>
    <mergeCell ref="T79:T80"/>
    <mergeCell ref="U79:U80"/>
    <mergeCell ref="V79:V80"/>
    <mergeCell ref="AK79:AN79"/>
    <mergeCell ref="AK80:AN80"/>
    <mergeCell ref="C79:C80"/>
    <mergeCell ref="D79:D80"/>
    <mergeCell ref="E79:E80"/>
    <mergeCell ref="G79:G80"/>
    <mergeCell ref="H79:H80"/>
    <mergeCell ref="I79:J80"/>
    <mergeCell ref="K79:K80"/>
    <mergeCell ref="L79:L80"/>
    <mergeCell ref="M79:N80"/>
    <mergeCell ref="W79:X80"/>
    <mergeCell ref="Y79:Y80"/>
    <mergeCell ref="Z79:Z80"/>
    <mergeCell ref="AA79:AA80"/>
    <mergeCell ref="AB79:AC80"/>
    <mergeCell ref="AD79:AD80"/>
    <mergeCell ref="AE79:AE80"/>
    <mergeCell ref="AF79:AF80"/>
    <mergeCell ref="AK77:AN77"/>
    <mergeCell ref="AK78:AN78"/>
    <mergeCell ref="C77:C78"/>
    <mergeCell ref="D77:D78"/>
    <mergeCell ref="E77:E78"/>
    <mergeCell ref="G77:G78"/>
    <mergeCell ref="H77:H78"/>
    <mergeCell ref="I77:J78"/>
    <mergeCell ref="K77:K78"/>
    <mergeCell ref="L77:L78"/>
    <mergeCell ref="M77:N78"/>
    <mergeCell ref="W77:X78"/>
    <mergeCell ref="Y77:Y78"/>
    <mergeCell ref="Z77:Z78"/>
    <mergeCell ref="AA77:AA78"/>
    <mergeCell ref="AB77:AC78"/>
    <mergeCell ref="AD77:AD78"/>
    <mergeCell ref="AE77:AE78"/>
    <mergeCell ref="AF77:AF78"/>
    <mergeCell ref="O77:O78"/>
    <mergeCell ref="P77:P78"/>
    <mergeCell ref="Q77:Q78"/>
    <mergeCell ref="R77:S78"/>
    <mergeCell ref="T77:T78"/>
    <mergeCell ref="U77:U78"/>
    <mergeCell ref="AA73:AA74"/>
    <mergeCell ref="AB73:AC74"/>
    <mergeCell ref="AK75:AN75"/>
    <mergeCell ref="AK76:AN76"/>
    <mergeCell ref="C75:C76"/>
    <mergeCell ref="D75:D76"/>
    <mergeCell ref="E75:E76"/>
    <mergeCell ref="G75:G76"/>
    <mergeCell ref="H75:H76"/>
    <mergeCell ref="I75:J76"/>
    <mergeCell ref="K75:K76"/>
    <mergeCell ref="L75:L76"/>
    <mergeCell ref="M75:N76"/>
    <mergeCell ref="W75:X76"/>
    <mergeCell ref="Y75:Y76"/>
    <mergeCell ref="Z75:Z76"/>
    <mergeCell ref="AA75:AA76"/>
    <mergeCell ref="AB75:AC76"/>
    <mergeCell ref="AD75:AD76"/>
    <mergeCell ref="AE75:AE76"/>
    <mergeCell ref="AF75:AF76"/>
    <mergeCell ref="AD73:AD74"/>
    <mergeCell ref="AE73:AE74"/>
    <mergeCell ref="AF73:AF74"/>
    <mergeCell ref="U69:U70"/>
    <mergeCell ref="V69:V70"/>
    <mergeCell ref="C71:C72"/>
    <mergeCell ref="AK71:AN71"/>
    <mergeCell ref="AK72:AN72"/>
    <mergeCell ref="C73:C74"/>
    <mergeCell ref="D73:D74"/>
    <mergeCell ref="E73:E74"/>
    <mergeCell ref="G73:G74"/>
    <mergeCell ref="H73:H74"/>
    <mergeCell ref="I73:J74"/>
    <mergeCell ref="K73:K74"/>
    <mergeCell ref="L73:L74"/>
    <mergeCell ref="M73:N74"/>
    <mergeCell ref="O73:O74"/>
    <mergeCell ref="P73:P74"/>
    <mergeCell ref="Q73:Q74"/>
    <mergeCell ref="R73:S74"/>
    <mergeCell ref="T73:T74"/>
    <mergeCell ref="U73:U74"/>
    <mergeCell ref="V73:V74"/>
    <mergeCell ref="AK73:AN73"/>
    <mergeCell ref="AK74:AN74"/>
    <mergeCell ref="W71:X72"/>
    <mergeCell ref="Y71:Y72"/>
    <mergeCell ref="Z71:Z72"/>
    <mergeCell ref="AA71:AA72"/>
    <mergeCell ref="AB71:AC72"/>
    <mergeCell ref="AD71:AD72"/>
    <mergeCell ref="AE71:AE72"/>
    <mergeCell ref="AJ71:AJ72"/>
    <mergeCell ref="AG73:AH74"/>
    <mergeCell ref="K57:K58"/>
    <mergeCell ref="L57:L58"/>
    <mergeCell ref="M57:N58"/>
    <mergeCell ref="O57:O58"/>
    <mergeCell ref="P57:P58"/>
    <mergeCell ref="Q57:Q58"/>
    <mergeCell ref="R57:S58"/>
    <mergeCell ref="AI67:AI68"/>
    <mergeCell ref="AJ67:AJ68"/>
    <mergeCell ref="T69:T70"/>
    <mergeCell ref="C69:C70"/>
    <mergeCell ref="D69:D70"/>
    <mergeCell ref="E69:E70"/>
    <mergeCell ref="G69:G70"/>
    <mergeCell ref="H69:H70"/>
    <mergeCell ref="K69:K70"/>
    <mergeCell ref="Q69:Q70"/>
    <mergeCell ref="R65:S66"/>
    <mergeCell ref="R67:S68"/>
    <mergeCell ref="R69:S70"/>
    <mergeCell ref="T65:T66"/>
    <mergeCell ref="U65:U66"/>
    <mergeCell ref="V65:V66"/>
    <mergeCell ref="C63:C64"/>
    <mergeCell ref="C67:C68"/>
    <mergeCell ref="D67:D68"/>
    <mergeCell ref="E67:E68"/>
    <mergeCell ref="AB67:AC68"/>
    <mergeCell ref="G67:G68"/>
    <mergeCell ref="H67:H68"/>
    <mergeCell ref="K67:K68"/>
    <mergeCell ref="L67:L68"/>
    <mergeCell ref="G59:G60"/>
    <mergeCell ref="H59:H60"/>
    <mergeCell ref="I59:J60"/>
    <mergeCell ref="K59:K60"/>
    <mergeCell ref="L59:L60"/>
    <mergeCell ref="M59:N60"/>
    <mergeCell ref="O59:O60"/>
    <mergeCell ref="P59:P60"/>
    <mergeCell ref="Q59:Q60"/>
    <mergeCell ref="R59:S60"/>
    <mergeCell ref="T59:T60"/>
    <mergeCell ref="U59:U60"/>
    <mergeCell ref="V59:V60"/>
    <mergeCell ref="G63:G64"/>
    <mergeCell ref="H63:H64"/>
    <mergeCell ref="I63:J64"/>
    <mergeCell ref="K63:K64"/>
    <mergeCell ref="L63:L64"/>
    <mergeCell ref="M63:N64"/>
    <mergeCell ref="O63:O64"/>
    <mergeCell ref="D61:D62"/>
    <mergeCell ref="E61:E62"/>
    <mergeCell ref="G61:G62"/>
    <mergeCell ref="H61:H62"/>
    <mergeCell ref="I61:J62"/>
    <mergeCell ref="K61:K62"/>
    <mergeCell ref="L61:L62"/>
    <mergeCell ref="M61:N62"/>
    <mergeCell ref="P63:P64"/>
    <mergeCell ref="Q63:Q64"/>
    <mergeCell ref="R63:S64"/>
    <mergeCell ref="I71:J72"/>
    <mergeCell ref="O61:O62"/>
    <mergeCell ref="P61:P62"/>
    <mergeCell ref="Q61:Q62"/>
    <mergeCell ref="R61:S62"/>
    <mergeCell ref="G71:G72"/>
    <mergeCell ref="H71:H72"/>
    <mergeCell ref="K71:K72"/>
    <mergeCell ref="L69:L70"/>
    <mergeCell ref="O69:O70"/>
    <mergeCell ref="O67:O68"/>
    <mergeCell ref="P67:P68"/>
    <mergeCell ref="I65:J66"/>
    <mergeCell ref="I67:J68"/>
    <mergeCell ref="I69:J70"/>
    <mergeCell ref="Q65:Q66"/>
    <mergeCell ref="AK59:AN59"/>
    <mergeCell ref="AK60:AN60"/>
    <mergeCell ref="AK61:AN61"/>
    <mergeCell ref="AK62:AN62"/>
    <mergeCell ref="AK63:AN63"/>
    <mergeCell ref="AK64:AN64"/>
    <mergeCell ref="I19:J20"/>
    <mergeCell ref="I21:J22"/>
    <mergeCell ref="I23:J24"/>
    <mergeCell ref="I25:J26"/>
    <mergeCell ref="I27:J28"/>
    <mergeCell ref="I29:J30"/>
    <mergeCell ref="I31:J32"/>
    <mergeCell ref="I33:J34"/>
    <mergeCell ref="I35:J36"/>
    <mergeCell ref="I37:J38"/>
    <mergeCell ref="I39:J40"/>
    <mergeCell ref="I41:J42"/>
    <mergeCell ref="M19:N20"/>
    <mergeCell ref="M21:N22"/>
    <mergeCell ref="M23:N24"/>
    <mergeCell ref="M25:N26"/>
    <mergeCell ref="M27:N28"/>
    <mergeCell ref="M29:N30"/>
    <mergeCell ref="AK47:AN47"/>
    <mergeCell ref="AK48:AN48"/>
    <mergeCell ref="AK49:AN49"/>
    <mergeCell ref="AK50:AN50"/>
    <mergeCell ref="AK51:AN51"/>
    <mergeCell ref="AK52:AN52"/>
    <mergeCell ref="AK53:AN53"/>
    <mergeCell ref="AK54:AN54"/>
    <mergeCell ref="AD15:AD16"/>
    <mergeCell ref="AK55:AN55"/>
    <mergeCell ref="AK35:AN35"/>
    <mergeCell ref="AK36:AN36"/>
    <mergeCell ref="AK37:AN37"/>
    <mergeCell ref="AK38:AN38"/>
    <mergeCell ref="AK39:AN39"/>
    <mergeCell ref="AK40:AN40"/>
    <mergeCell ref="AK41:AN41"/>
    <mergeCell ref="AK42:AN42"/>
    <mergeCell ref="AK43:AN43"/>
    <mergeCell ref="AK21:AN21"/>
    <mergeCell ref="AK22:AN22"/>
    <mergeCell ref="AK23:AN23"/>
    <mergeCell ref="W21:X22"/>
    <mergeCell ref="Y21:Y22"/>
    <mergeCell ref="Z21:Z22"/>
    <mergeCell ref="AA21:AA22"/>
    <mergeCell ref="AB21:AC22"/>
    <mergeCell ref="AD21:AD22"/>
    <mergeCell ref="AK24:AN24"/>
    <mergeCell ref="AK25:AN25"/>
    <mergeCell ref="AK26:AN26"/>
    <mergeCell ref="AK27:AN27"/>
    <mergeCell ref="AE15:AE16"/>
    <mergeCell ref="AF15:AF16"/>
    <mergeCell ref="AE21:AE22"/>
    <mergeCell ref="AA17:AA18"/>
    <mergeCell ref="AB17:AC18"/>
    <mergeCell ref="AD17:AD18"/>
    <mergeCell ref="AE17:AE18"/>
    <mergeCell ref="AF17:AF18"/>
    <mergeCell ref="V19:V20"/>
    <mergeCell ref="L19:L20"/>
    <mergeCell ref="O19:O20"/>
    <mergeCell ref="P19:P20"/>
    <mergeCell ref="Q19:Q20"/>
    <mergeCell ref="R19:S20"/>
    <mergeCell ref="L13:L14"/>
    <mergeCell ref="M13:N14"/>
    <mergeCell ref="O13:O14"/>
    <mergeCell ref="W19:X20"/>
    <mergeCell ref="Y19:Y20"/>
    <mergeCell ref="Z19:Z20"/>
    <mergeCell ref="AA19:AA20"/>
    <mergeCell ref="AB19:AC20"/>
    <mergeCell ref="L21:L22"/>
    <mergeCell ref="O21:O22"/>
    <mergeCell ref="P21:P22"/>
    <mergeCell ref="Q21:Q22"/>
    <mergeCell ref="T21:T22"/>
    <mergeCell ref="U21:U22"/>
    <mergeCell ref="V21:V22"/>
    <mergeCell ref="T17:T18"/>
    <mergeCell ref="U17:U18"/>
    <mergeCell ref="V17:V18"/>
    <mergeCell ref="L17:L18"/>
    <mergeCell ref="W15:X16"/>
    <mergeCell ref="Y15:Y16"/>
    <mergeCell ref="Z15:Z16"/>
    <mergeCell ref="AA15:AA16"/>
    <mergeCell ref="AB15:AC16"/>
    <mergeCell ref="U43:U44"/>
    <mergeCell ref="V43:V44"/>
    <mergeCell ref="L43:L44"/>
    <mergeCell ref="T57:T58"/>
    <mergeCell ref="U57:U58"/>
    <mergeCell ref="V57:V58"/>
    <mergeCell ref="W17:X18"/>
    <mergeCell ref="Y17:Y18"/>
    <mergeCell ref="Z17:Z18"/>
    <mergeCell ref="V53:V54"/>
    <mergeCell ref="O53:O54"/>
    <mergeCell ref="P53:P54"/>
    <mergeCell ref="Q53:Q54"/>
    <mergeCell ref="T49:T50"/>
    <mergeCell ref="AK28:AN28"/>
    <mergeCell ref="AK29:AN29"/>
    <mergeCell ref="AK30:AN30"/>
    <mergeCell ref="AK31:AN31"/>
    <mergeCell ref="AK32:AN32"/>
    <mergeCell ref="AK33:AN33"/>
    <mergeCell ref="AK56:AN56"/>
    <mergeCell ref="AK57:AN57"/>
    <mergeCell ref="AK58:AN58"/>
    <mergeCell ref="AK44:AN44"/>
    <mergeCell ref="AK45:AN45"/>
    <mergeCell ref="AK46:AN46"/>
    <mergeCell ref="AK34:AN34"/>
    <mergeCell ref="U49:U50"/>
    <mergeCell ref="V49:V50"/>
    <mergeCell ref="O49:O50"/>
    <mergeCell ref="T19:T20"/>
    <mergeCell ref="U19:U20"/>
    <mergeCell ref="T47:T48"/>
    <mergeCell ref="AB31:AC32"/>
    <mergeCell ref="AD31:AD32"/>
    <mergeCell ref="AE31:AE32"/>
    <mergeCell ref="AF31:AF32"/>
    <mergeCell ref="W33:X34"/>
    <mergeCell ref="Y33:Y34"/>
    <mergeCell ref="Z33:Z34"/>
    <mergeCell ref="AA33:AA34"/>
    <mergeCell ref="O199:O200"/>
    <mergeCell ref="P199:P200"/>
    <mergeCell ref="Q199:Q200"/>
    <mergeCell ref="O203:O204"/>
    <mergeCell ref="P203:P204"/>
    <mergeCell ref="Q203:Q204"/>
    <mergeCell ref="O185:O186"/>
    <mergeCell ref="P185:P186"/>
    <mergeCell ref="Q185:Q186"/>
    <mergeCell ref="R185:S186"/>
    <mergeCell ref="T185:T186"/>
    <mergeCell ref="U185:U186"/>
    <mergeCell ref="U193:U194"/>
    <mergeCell ref="T63:T64"/>
    <mergeCell ref="U63:U64"/>
    <mergeCell ref="O75:O76"/>
    <mergeCell ref="P75:P76"/>
    <mergeCell ref="Q75:Q76"/>
    <mergeCell ref="R75:S76"/>
    <mergeCell ref="T75:T76"/>
    <mergeCell ref="U75:U76"/>
    <mergeCell ref="R41:S42"/>
    <mergeCell ref="T43:T44"/>
    <mergeCell ref="O181:O182"/>
    <mergeCell ref="P181:P182"/>
    <mergeCell ref="Q181:Q182"/>
    <mergeCell ref="O65:O66"/>
    <mergeCell ref="P65:P66"/>
    <mergeCell ref="AK185:AN185"/>
    <mergeCell ref="AK186:AN186"/>
    <mergeCell ref="O187:O188"/>
    <mergeCell ref="P187:P188"/>
    <mergeCell ref="Q187:Q188"/>
    <mergeCell ref="R187:S188"/>
    <mergeCell ref="T187:T188"/>
    <mergeCell ref="U187:U188"/>
    <mergeCell ref="V187:V188"/>
    <mergeCell ref="AK187:AN187"/>
    <mergeCell ref="AK188:AN188"/>
    <mergeCell ref="O191:O192"/>
    <mergeCell ref="P191:P192"/>
    <mergeCell ref="Q191:Q192"/>
    <mergeCell ref="R191:S192"/>
    <mergeCell ref="T191:T192"/>
    <mergeCell ref="AK191:AN191"/>
    <mergeCell ref="AK192:AN192"/>
    <mergeCell ref="U191:U192"/>
    <mergeCell ref="V191:V192"/>
    <mergeCell ref="W191:X192"/>
    <mergeCell ref="Y191:Y192"/>
    <mergeCell ref="Z191:Z192"/>
    <mergeCell ref="AA191:AA192"/>
    <mergeCell ref="AB191:AC192"/>
    <mergeCell ref="AD191:AD192"/>
    <mergeCell ref="AE191:AE192"/>
    <mergeCell ref="AF191:AF192"/>
    <mergeCell ref="AJ185:AJ186"/>
    <mergeCell ref="AK65:AN65"/>
    <mergeCell ref="AK66:AN66"/>
    <mergeCell ref="P69:P70"/>
    <mergeCell ref="T71:T72"/>
    <mergeCell ref="U71:U72"/>
    <mergeCell ref="V71:V72"/>
    <mergeCell ref="L71:L72"/>
    <mergeCell ref="Q67:Q68"/>
    <mergeCell ref="O71:O72"/>
    <mergeCell ref="P71:P72"/>
    <mergeCell ref="Q71:Q72"/>
    <mergeCell ref="M65:N66"/>
    <mergeCell ref="M67:N68"/>
    <mergeCell ref="M69:N70"/>
    <mergeCell ref="M71:N72"/>
    <mergeCell ref="L65:L66"/>
    <mergeCell ref="T67:T68"/>
    <mergeCell ref="U67:U68"/>
    <mergeCell ref="V67:V68"/>
    <mergeCell ref="AK67:AN67"/>
    <mergeCell ref="AK68:AN68"/>
    <mergeCell ref="AE69:AE70"/>
    <mergeCell ref="AF69:AF70"/>
    <mergeCell ref="W65:X66"/>
    <mergeCell ref="Y65:Y66"/>
    <mergeCell ref="Z65:Z66"/>
    <mergeCell ref="AA65:AA66"/>
    <mergeCell ref="AB65:AC66"/>
    <mergeCell ref="AD65:AD66"/>
    <mergeCell ref="R71:S72"/>
    <mergeCell ref="AK69:AN69"/>
    <mergeCell ref="AK70:AN70"/>
    <mergeCell ref="C49:C50"/>
    <mergeCell ref="C57:C58"/>
    <mergeCell ref="C61:C62"/>
    <mergeCell ref="P55:P56"/>
    <mergeCell ref="Q55:Q56"/>
    <mergeCell ref="C59:C60"/>
    <mergeCell ref="E65:E66"/>
    <mergeCell ref="G65:G66"/>
    <mergeCell ref="H65:H66"/>
    <mergeCell ref="K65:K66"/>
    <mergeCell ref="T55:T56"/>
    <mergeCell ref="U55:U56"/>
    <mergeCell ref="V55:V56"/>
    <mergeCell ref="L55:L56"/>
    <mergeCell ref="C55:C56"/>
    <mergeCell ref="D55:D56"/>
    <mergeCell ref="E55:E56"/>
    <mergeCell ref="G55:G56"/>
    <mergeCell ref="H55:H56"/>
    <mergeCell ref="K55:K56"/>
    <mergeCell ref="C65:C66"/>
    <mergeCell ref="D65:D66"/>
    <mergeCell ref="F61:F62"/>
    <mergeCell ref="F63:F64"/>
    <mergeCell ref="T61:T62"/>
    <mergeCell ref="U61:U62"/>
    <mergeCell ref="V61:V62"/>
    <mergeCell ref="D57:D58"/>
    <mergeCell ref="E57:E58"/>
    <mergeCell ref="G57:G58"/>
    <mergeCell ref="H57:H58"/>
    <mergeCell ref="I57:J58"/>
    <mergeCell ref="C53:C54"/>
    <mergeCell ref="D53:D54"/>
    <mergeCell ref="E53:E54"/>
    <mergeCell ref="G53:G54"/>
    <mergeCell ref="H53:H54"/>
    <mergeCell ref="K53:K54"/>
    <mergeCell ref="O55:O56"/>
    <mergeCell ref="T51:T52"/>
    <mergeCell ref="U51:U52"/>
    <mergeCell ref="V51:V52"/>
    <mergeCell ref="L51:L52"/>
    <mergeCell ref="O51:O52"/>
    <mergeCell ref="P51:P52"/>
    <mergeCell ref="Q51:Q52"/>
    <mergeCell ref="R51:S52"/>
    <mergeCell ref="C51:C52"/>
    <mergeCell ref="D51:D52"/>
    <mergeCell ref="E51:E52"/>
    <mergeCell ref="G51:G52"/>
    <mergeCell ref="H51:H52"/>
    <mergeCell ref="K51:K52"/>
    <mergeCell ref="L53:L54"/>
    <mergeCell ref="M51:N52"/>
    <mergeCell ref="M53:N54"/>
    <mergeCell ref="M55:N56"/>
    <mergeCell ref="R53:S54"/>
    <mergeCell ref="R55:S56"/>
    <mergeCell ref="I51:J52"/>
    <mergeCell ref="I53:J54"/>
    <mergeCell ref="I55:J56"/>
    <mergeCell ref="T53:T54"/>
    <mergeCell ref="U53:U54"/>
    <mergeCell ref="D49:D50"/>
    <mergeCell ref="E49:E50"/>
    <mergeCell ref="G49:G50"/>
    <mergeCell ref="H49:H50"/>
    <mergeCell ref="K49:K50"/>
    <mergeCell ref="R49:S50"/>
    <mergeCell ref="C47:C48"/>
    <mergeCell ref="D47:D48"/>
    <mergeCell ref="E47:E48"/>
    <mergeCell ref="G47:G48"/>
    <mergeCell ref="H47:H48"/>
    <mergeCell ref="K47:K48"/>
    <mergeCell ref="T45:T46"/>
    <mergeCell ref="U45:U46"/>
    <mergeCell ref="V45:V46"/>
    <mergeCell ref="L45:L46"/>
    <mergeCell ref="O45:O46"/>
    <mergeCell ref="P45:P46"/>
    <mergeCell ref="Q45:Q46"/>
    <mergeCell ref="L49:L50"/>
    <mergeCell ref="U47:U48"/>
    <mergeCell ref="V47:V48"/>
    <mergeCell ref="L47:L48"/>
    <mergeCell ref="O47:O48"/>
    <mergeCell ref="P47:P48"/>
    <mergeCell ref="Q47:Q48"/>
    <mergeCell ref="M47:N48"/>
    <mergeCell ref="M49:N50"/>
    <mergeCell ref="I45:J46"/>
    <mergeCell ref="I47:J48"/>
    <mergeCell ref="I49:J50"/>
    <mergeCell ref="R47:S48"/>
    <mergeCell ref="O43:O44"/>
    <mergeCell ref="P43:P44"/>
    <mergeCell ref="Q43:Q44"/>
    <mergeCell ref="M43:N44"/>
    <mergeCell ref="R43:S44"/>
    <mergeCell ref="C45:C46"/>
    <mergeCell ref="D45:D46"/>
    <mergeCell ref="E45:E46"/>
    <mergeCell ref="G45:G46"/>
    <mergeCell ref="H45:H46"/>
    <mergeCell ref="K45:K46"/>
    <mergeCell ref="M45:N46"/>
    <mergeCell ref="R45:S46"/>
    <mergeCell ref="C43:C44"/>
    <mergeCell ref="D43:D44"/>
    <mergeCell ref="E43:E44"/>
    <mergeCell ref="G43:G44"/>
    <mergeCell ref="H43:H44"/>
    <mergeCell ref="K43:K44"/>
    <mergeCell ref="I43:J44"/>
    <mergeCell ref="P49:P50"/>
    <mergeCell ref="Q49:Q50"/>
    <mergeCell ref="T41:T42"/>
    <mergeCell ref="U41:U42"/>
    <mergeCell ref="V41:V42"/>
    <mergeCell ref="L41:L42"/>
    <mergeCell ref="O41:O42"/>
    <mergeCell ref="P41:P42"/>
    <mergeCell ref="Q41:Q42"/>
    <mergeCell ref="T39:T40"/>
    <mergeCell ref="U39:U40"/>
    <mergeCell ref="V39:V40"/>
    <mergeCell ref="L39:L40"/>
    <mergeCell ref="O39:O40"/>
    <mergeCell ref="P39:P40"/>
    <mergeCell ref="Q39:Q40"/>
    <mergeCell ref="M39:N40"/>
    <mergeCell ref="R39:S40"/>
    <mergeCell ref="C41:C42"/>
    <mergeCell ref="D41:D42"/>
    <mergeCell ref="E41:E42"/>
    <mergeCell ref="G41:G42"/>
    <mergeCell ref="H41:H42"/>
    <mergeCell ref="K41:K42"/>
    <mergeCell ref="M41:N42"/>
    <mergeCell ref="C39:C40"/>
    <mergeCell ref="D39:D40"/>
    <mergeCell ref="E39:E40"/>
    <mergeCell ref="G39:G40"/>
    <mergeCell ref="H39:H40"/>
    <mergeCell ref="K39:K40"/>
    <mergeCell ref="T37:T38"/>
    <mergeCell ref="U37:U38"/>
    <mergeCell ref="V37:V38"/>
    <mergeCell ref="L37:L38"/>
    <mergeCell ref="O37:O38"/>
    <mergeCell ref="P37:P38"/>
    <mergeCell ref="Q37:Q38"/>
    <mergeCell ref="T35:T36"/>
    <mergeCell ref="U35:U36"/>
    <mergeCell ref="V35:V36"/>
    <mergeCell ref="L35:L36"/>
    <mergeCell ref="O35:O36"/>
    <mergeCell ref="P35:P36"/>
    <mergeCell ref="Q35:Q36"/>
    <mergeCell ref="M35:N36"/>
    <mergeCell ref="R35:S36"/>
    <mergeCell ref="C37:C38"/>
    <mergeCell ref="D37:D38"/>
    <mergeCell ref="E37:E38"/>
    <mergeCell ref="G37:G38"/>
    <mergeCell ref="H37:H38"/>
    <mergeCell ref="K37:K38"/>
    <mergeCell ref="M37:N38"/>
    <mergeCell ref="R37:S38"/>
    <mergeCell ref="C35:C36"/>
    <mergeCell ref="D35:D36"/>
    <mergeCell ref="E35:E36"/>
    <mergeCell ref="G35:G36"/>
    <mergeCell ref="H35:H36"/>
    <mergeCell ref="K35:K36"/>
    <mergeCell ref="T33:T34"/>
    <mergeCell ref="U33:U34"/>
    <mergeCell ref="V33:V34"/>
    <mergeCell ref="L33:L34"/>
    <mergeCell ref="O33:O34"/>
    <mergeCell ref="P33:P34"/>
    <mergeCell ref="Q33:Q34"/>
    <mergeCell ref="T31:T32"/>
    <mergeCell ref="U31:U32"/>
    <mergeCell ref="V31:V32"/>
    <mergeCell ref="L31:L32"/>
    <mergeCell ref="O31:O32"/>
    <mergeCell ref="P31:P32"/>
    <mergeCell ref="Q31:Q32"/>
    <mergeCell ref="M31:N32"/>
    <mergeCell ref="R31:S32"/>
    <mergeCell ref="C33:C34"/>
    <mergeCell ref="D33:D34"/>
    <mergeCell ref="E33:E34"/>
    <mergeCell ref="G33:G34"/>
    <mergeCell ref="H33:H34"/>
    <mergeCell ref="K33:K34"/>
    <mergeCell ref="M33:N34"/>
    <mergeCell ref="R33:S34"/>
    <mergeCell ref="C31:C32"/>
    <mergeCell ref="D31:D32"/>
    <mergeCell ref="E31:E32"/>
    <mergeCell ref="G31:G32"/>
    <mergeCell ref="H31:H32"/>
    <mergeCell ref="K31:K32"/>
    <mergeCell ref="T29:T30"/>
    <mergeCell ref="U29:U30"/>
    <mergeCell ref="V29:V30"/>
    <mergeCell ref="L29:L30"/>
    <mergeCell ref="O29:O30"/>
    <mergeCell ref="P29:P30"/>
    <mergeCell ref="Q29:Q30"/>
    <mergeCell ref="T27:T28"/>
    <mergeCell ref="U27:U28"/>
    <mergeCell ref="V27:V28"/>
    <mergeCell ref="L27:L28"/>
    <mergeCell ref="O27:O28"/>
    <mergeCell ref="P27:P28"/>
    <mergeCell ref="Q27:Q28"/>
    <mergeCell ref="R27:S28"/>
    <mergeCell ref="C29:C30"/>
    <mergeCell ref="D29:D30"/>
    <mergeCell ref="E29:E30"/>
    <mergeCell ref="G29:G30"/>
    <mergeCell ref="H29:H30"/>
    <mergeCell ref="K29:K30"/>
    <mergeCell ref="R29:S30"/>
    <mergeCell ref="C27:C28"/>
    <mergeCell ref="D27:D28"/>
    <mergeCell ref="E27:E28"/>
    <mergeCell ref="G27:G28"/>
    <mergeCell ref="H27:H28"/>
    <mergeCell ref="K27:K28"/>
    <mergeCell ref="T25:T26"/>
    <mergeCell ref="U25:U26"/>
    <mergeCell ref="V25:V26"/>
    <mergeCell ref="L25:L26"/>
    <mergeCell ref="O25:O26"/>
    <mergeCell ref="P25:P26"/>
    <mergeCell ref="Q25:Q26"/>
    <mergeCell ref="T23:T24"/>
    <mergeCell ref="U23:U24"/>
    <mergeCell ref="V23:V24"/>
    <mergeCell ref="L23:L24"/>
    <mergeCell ref="O23:O24"/>
    <mergeCell ref="P23:P24"/>
    <mergeCell ref="Q23:Q24"/>
    <mergeCell ref="R23:S24"/>
    <mergeCell ref="C25:C26"/>
    <mergeCell ref="D25:D26"/>
    <mergeCell ref="E25:E26"/>
    <mergeCell ref="G25:G26"/>
    <mergeCell ref="H25:H26"/>
    <mergeCell ref="K25:K26"/>
    <mergeCell ref="R25:S26"/>
    <mergeCell ref="C23:C24"/>
    <mergeCell ref="D23:D24"/>
    <mergeCell ref="E23:E24"/>
    <mergeCell ref="G23:G24"/>
    <mergeCell ref="H23:H24"/>
    <mergeCell ref="K23:K24"/>
    <mergeCell ref="C21:C22"/>
    <mergeCell ref="D21:D22"/>
    <mergeCell ref="E21:E22"/>
    <mergeCell ref="G21:G22"/>
    <mergeCell ref="H21:H22"/>
    <mergeCell ref="K21:K22"/>
    <mergeCell ref="R21:S22"/>
    <mergeCell ref="C19:C20"/>
    <mergeCell ref="D19:D20"/>
    <mergeCell ref="E19:E20"/>
    <mergeCell ref="G19:G20"/>
    <mergeCell ref="H19:H20"/>
    <mergeCell ref="K19:K20"/>
    <mergeCell ref="W13:X14"/>
    <mergeCell ref="C17:C18"/>
    <mergeCell ref="D17:D18"/>
    <mergeCell ref="E17:E18"/>
    <mergeCell ref="G17:G18"/>
    <mergeCell ref="H17:H18"/>
    <mergeCell ref="K17:K18"/>
    <mergeCell ref="C15:C16"/>
    <mergeCell ref="D15:D16"/>
    <mergeCell ref="E15:E16"/>
    <mergeCell ref="G15:G16"/>
    <mergeCell ref="H15:H16"/>
    <mergeCell ref="K15:K16"/>
    <mergeCell ref="L15:L16"/>
    <mergeCell ref="F13:F14"/>
    <mergeCell ref="G13:G14"/>
    <mergeCell ref="H13:H14"/>
    <mergeCell ref="I13:J14"/>
    <mergeCell ref="K13:K14"/>
    <mergeCell ref="D11:D12"/>
    <mergeCell ref="E11:E12"/>
    <mergeCell ref="G11:G12"/>
    <mergeCell ref="H11:H12"/>
    <mergeCell ref="I11:J12"/>
    <mergeCell ref="M11:N12"/>
    <mergeCell ref="R11:S12"/>
    <mergeCell ref="K8:L8"/>
    <mergeCell ref="G6:H7"/>
    <mergeCell ref="O8:Q8"/>
    <mergeCell ref="R6:V6"/>
    <mergeCell ref="M6:Q6"/>
    <mergeCell ref="I6:L6"/>
    <mergeCell ref="D13:D14"/>
    <mergeCell ref="E13:E14"/>
    <mergeCell ref="R13:S14"/>
    <mergeCell ref="O17:O18"/>
    <mergeCell ref="P17:P18"/>
    <mergeCell ref="Q17:Q18"/>
    <mergeCell ref="T15:T16"/>
    <mergeCell ref="U15:U16"/>
    <mergeCell ref="V15:V16"/>
    <mergeCell ref="O15:O16"/>
    <mergeCell ref="P15:P16"/>
    <mergeCell ref="Q15:Q16"/>
    <mergeCell ref="T13:T14"/>
    <mergeCell ref="I17:J18"/>
    <mergeCell ref="M17:N18"/>
    <mergeCell ref="R17:S18"/>
    <mergeCell ref="I15:J16"/>
    <mergeCell ref="M15:N16"/>
    <mergeCell ref="R15:S16"/>
    <mergeCell ref="F11:F12"/>
    <mergeCell ref="I7:L7"/>
    <mergeCell ref="M7:Q7"/>
    <mergeCell ref="R7:V7"/>
    <mergeCell ref="W7:AA7"/>
    <mergeCell ref="AB7:AF7"/>
    <mergeCell ref="AG7:AJ7"/>
    <mergeCell ref="W11:X12"/>
    <mergeCell ref="Y11:Y12"/>
    <mergeCell ref="Z11:Z12"/>
    <mergeCell ref="AA11:AA12"/>
    <mergeCell ref="AB11:AC12"/>
    <mergeCell ref="AD11:AD12"/>
    <mergeCell ref="AE11:AE12"/>
    <mergeCell ref="T11:T12"/>
    <mergeCell ref="U11:U12"/>
    <mergeCell ref="V11:V12"/>
    <mergeCell ref="AG11:AH12"/>
    <mergeCell ref="AI11:AI12"/>
    <mergeCell ref="AJ11:AJ12"/>
    <mergeCell ref="AI8:AJ8"/>
    <mergeCell ref="AF11:AF12"/>
    <mergeCell ref="AG6:AJ6"/>
    <mergeCell ref="AB6:AF6"/>
    <mergeCell ref="W6:AA6"/>
    <mergeCell ref="U13:U14"/>
    <mergeCell ref="V13:V14"/>
    <mergeCell ref="K11:K12"/>
    <mergeCell ref="L11:L12"/>
    <mergeCell ref="O11:O12"/>
    <mergeCell ref="P11:P12"/>
    <mergeCell ref="Q11:Q12"/>
    <mergeCell ref="Y13:Y14"/>
    <mergeCell ref="Z13:Z14"/>
    <mergeCell ref="AA13:AA14"/>
    <mergeCell ref="AB13:AC14"/>
    <mergeCell ref="AD13:AD14"/>
    <mergeCell ref="P13:P14"/>
    <mergeCell ref="Q13:Q14"/>
    <mergeCell ref="AE13:AE14"/>
    <mergeCell ref="AF13:AF14"/>
    <mergeCell ref="AG13:AH14"/>
    <mergeCell ref="AI13:AI14"/>
    <mergeCell ref="AJ13:AJ14"/>
    <mergeCell ref="AD8:AF8"/>
    <mergeCell ref="AV41:AV42"/>
    <mergeCell ref="AV43:AV44"/>
    <mergeCell ref="AV45:AV46"/>
    <mergeCell ref="AW39:AW40"/>
    <mergeCell ref="AW41:AW42"/>
    <mergeCell ref="AW43:AW44"/>
    <mergeCell ref="AW45:AW46"/>
    <mergeCell ref="AV37:AV38"/>
    <mergeCell ref="AW37:AW38"/>
    <mergeCell ref="AV35:AV36"/>
    <mergeCell ref="AW35:AW36"/>
    <mergeCell ref="AV31:AV32"/>
    <mergeCell ref="AV33:AV34"/>
    <mergeCell ref="AW31:AW32"/>
    <mergeCell ref="AW33:AW34"/>
    <mergeCell ref="AX31:AX32"/>
    <mergeCell ref="AX33:AX34"/>
    <mergeCell ref="AX35:AX36"/>
    <mergeCell ref="AX37:AX38"/>
    <mergeCell ref="AX39:AX40"/>
    <mergeCell ref="AX41:AX42"/>
    <mergeCell ref="AX43:AX44"/>
    <mergeCell ref="AX45:AX46"/>
    <mergeCell ref="AU63:AU64"/>
    <mergeCell ref="AV61:AV62"/>
    <mergeCell ref="AV63:AV64"/>
    <mergeCell ref="AW61:AW62"/>
    <mergeCell ref="AW63:AW64"/>
    <mergeCell ref="AZ61:AZ62"/>
    <mergeCell ref="AZ63:AZ64"/>
    <mergeCell ref="AV57:AV58"/>
    <mergeCell ref="AV59:AV60"/>
    <mergeCell ref="AW57:AW58"/>
    <mergeCell ref="AW59:AW60"/>
    <mergeCell ref="AV47:AV48"/>
    <mergeCell ref="AV49:AV50"/>
    <mergeCell ref="AV51:AV52"/>
    <mergeCell ref="AV53:AV54"/>
    <mergeCell ref="AV55:AV56"/>
    <mergeCell ref="AW47:AW48"/>
    <mergeCell ref="AW49:AW50"/>
    <mergeCell ref="AW51:AW52"/>
    <mergeCell ref="AW53:AW54"/>
    <mergeCell ref="AW55:AW56"/>
    <mergeCell ref="AU59:AU60"/>
    <mergeCell ref="AU61:AU62"/>
    <mergeCell ref="AX47:AX48"/>
    <mergeCell ref="AX49:AX50"/>
    <mergeCell ref="AX51:AX52"/>
    <mergeCell ref="AX53:AX54"/>
    <mergeCell ref="AX55:AX56"/>
    <mergeCell ref="AX57:AX58"/>
    <mergeCell ref="AX59:AX60"/>
    <mergeCell ref="AX61:AX62"/>
    <mergeCell ref="AX63:AX64"/>
    <mergeCell ref="F187:F188"/>
    <mergeCell ref="F189:F190"/>
    <mergeCell ref="F191:F192"/>
    <mergeCell ref="F193:F194"/>
    <mergeCell ref="F195:F196"/>
    <mergeCell ref="F197:F198"/>
    <mergeCell ref="F199:F200"/>
    <mergeCell ref="F201:F202"/>
    <mergeCell ref="F203:F204"/>
    <mergeCell ref="F205:F206"/>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15:F16"/>
    <mergeCell ref="F17:F18"/>
    <mergeCell ref="F19:F20"/>
    <mergeCell ref="F21:F22"/>
    <mergeCell ref="F23:F24"/>
    <mergeCell ref="F25:F26"/>
    <mergeCell ref="F27:F28"/>
    <mergeCell ref="F29:F30"/>
    <mergeCell ref="F175:F176"/>
    <mergeCell ref="F177:F178"/>
    <mergeCell ref="F179:F180"/>
    <mergeCell ref="F181:F182"/>
    <mergeCell ref="F183:F184"/>
    <mergeCell ref="F185:F186"/>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AK6:AN6"/>
    <mergeCell ref="AK14:AN14"/>
    <mergeCell ref="AO14:AR14"/>
    <mergeCell ref="AO15:AR16"/>
    <mergeCell ref="AO17:AR18"/>
    <mergeCell ref="AO19:AR20"/>
    <mergeCell ref="AO21:AR22"/>
    <mergeCell ref="AV15:AV16"/>
    <mergeCell ref="AV17:AV18"/>
    <mergeCell ref="AV19:AV20"/>
    <mergeCell ref="AV21:AV22"/>
    <mergeCell ref="AO6:AR6"/>
    <mergeCell ref="AO11:AR11"/>
    <mergeCell ref="AO12:AR12"/>
    <mergeCell ref="AK11:AN11"/>
    <mergeCell ref="AK12:AN12"/>
    <mergeCell ref="AK15:AN15"/>
    <mergeCell ref="AK16:AN16"/>
    <mergeCell ref="AK17:AN17"/>
    <mergeCell ref="AK18:AN18"/>
    <mergeCell ref="AK19:AN19"/>
    <mergeCell ref="AK20:AN20"/>
    <mergeCell ref="AW17:AW18"/>
    <mergeCell ref="AW19:AW20"/>
    <mergeCell ref="AW21:AW22"/>
    <mergeCell ref="AX15:AX16"/>
    <mergeCell ref="AX17:AX18"/>
    <mergeCell ref="AX19:AX20"/>
    <mergeCell ref="AX21:AX22"/>
    <mergeCell ref="AO23:AR24"/>
    <mergeCell ref="AO25:AR26"/>
    <mergeCell ref="AO27:AR28"/>
    <mergeCell ref="AO29:AR30"/>
    <mergeCell ref="AO31:AR32"/>
    <mergeCell ref="AO33:AR34"/>
    <mergeCell ref="AO35:AR36"/>
    <mergeCell ref="AO37:AR38"/>
    <mergeCell ref="AO39:AR40"/>
    <mergeCell ref="AV39:AV40"/>
    <mergeCell ref="AV29:AV30"/>
    <mergeCell ref="AW29:AW30"/>
    <mergeCell ref="AX29:AX30"/>
    <mergeCell ref="AV27:AV28"/>
    <mergeCell ref="AW27:AW28"/>
    <mergeCell ref="AX27:AX28"/>
    <mergeCell ref="AV25:AV26"/>
    <mergeCell ref="AW25:AW26"/>
    <mergeCell ref="AX25:AX26"/>
    <mergeCell ref="AV23:AV24"/>
    <mergeCell ref="AW23:AW24"/>
    <mergeCell ref="AX23:AX24"/>
    <mergeCell ref="AO41:AR42"/>
    <mergeCell ref="AO43:AR44"/>
    <mergeCell ref="AO45:AR46"/>
    <mergeCell ref="AO47:AR48"/>
    <mergeCell ref="AO49:AR50"/>
    <mergeCell ref="AO51:AR52"/>
    <mergeCell ref="AO53:AR54"/>
    <mergeCell ref="AO55:AR56"/>
    <mergeCell ref="AO57:AR58"/>
    <mergeCell ref="AO59:AR60"/>
    <mergeCell ref="AO65:AR66"/>
    <mergeCell ref="AO67:AR68"/>
    <mergeCell ref="AO69:AR70"/>
    <mergeCell ref="AO71:AR72"/>
    <mergeCell ref="AO73:AR74"/>
    <mergeCell ref="AO75:AR76"/>
    <mergeCell ref="AO77:AR78"/>
    <mergeCell ref="AO79:AR80"/>
    <mergeCell ref="AO81:AR82"/>
    <mergeCell ref="AO83:AR84"/>
    <mergeCell ref="AO85:AR86"/>
    <mergeCell ref="AO87:AR88"/>
    <mergeCell ref="AO89:AR90"/>
    <mergeCell ref="AO91:AR92"/>
    <mergeCell ref="AO93:AR94"/>
    <mergeCell ref="AO99:AR100"/>
    <mergeCell ref="AO61:AR62"/>
    <mergeCell ref="AO63:AR64"/>
    <mergeCell ref="AO95:AR96"/>
    <mergeCell ref="AO97:AR98"/>
    <mergeCell ref="AO103:AR104"/>
    <mergeCell ref="AO105:AR106"/>
    <mergeCell ref="AO107:AR108"/>
    <mergeCell ref="AO109:AR110"/>
    <mergeCell ref="AO101:AR102"/>
    <mergeCell ref="AO111:AR112"/>
    <mergeCell ref="AO113:AR114"/>
    <mergeCell ref="AO115:AR116"/>
    <mergeCell ref="AO117:AR118"/>
    <mergeCell ref="AO119:AR120"/>
    <mergeCell ref="AO121:AR122"/>
    <mergeCell ref="AO123:AR124"/>
    <mergeCell ref="AO125:AR126"/>
    <mergeCell ref="AO127:AR128"/>
    <mergeCell ref="AO129:AR130"/>
    <mergeCell ref="AO131:AR132"/>
    <mergeCell ref="AO133:AR134"/>
    <mergeCell ref="AO135:AR136"/>
    <mergeCell ref="AO137:AR138"/>
    <mergeCell ref="AO139:AR140"/>
    <mergeCell ref="AO141:AR142"/>
    <mergeCell ref="AO143:AR144"/>
    <mergeCell ref="AO145:AR146"/>
    <mergeCell ref="AO147:AR148"/>
    <mergeCell ref="AO149:AR150"/>
    <mergeCell ref="AO151:AR152"/>
    <mergeCell ref="AO153:AR154"/>
    <mergeCell ref="AO155:AR156"/>
    <mergeCell ref="AO157:AR158"/>
    <mergeCell ref="AO159:AR160"/>
    <mergeCell ref="AO161:AR162"/>
    <mergeCell ref="AO163:AR164"/>
    <mergeCell ref="AO165:AR166"/>
    <mergeCell ref="AO167:AR168"/>
    <mergeCell ref="AO169:AR170"/>
    <mergeCell ref="AO171:AR172"/>
    <mergeCell ref="AO173:AR174"/>
    <mergeCell ref="AO175:AR176"/>
    <mergeCell ref="AO177:AR178"/>
    <mergeCell ref="AO179:AR180"/>
    <mergeCell ref="AO181:AR182"/>
    <mergeCell ref="AO183:AR184"/>
    <mergeCell ref="AO185:AR186"/>
    <mergeCell ref="AO187:AR188"/>
    <mergeCell ref="AO189:AR190"/>
    <mergeCell ref="AO191:AR192"/>
    <mergeCell ref="AO193:AR194"/>
    <mergeCell ref="AO195:AR196"/>
    <mergeCell ref="AO197:AR198"/>
    <mergeCell ref="AO199:AR200"/>
    <mergeCell ref="AO201:AR202"/>
    <mergeCell ref="AO203:AR204"/>
    <mergeCell ref="AO227:AR228"/>
    <mergeCell ref="AO229:AR230"/>
    <mergeCell ref="AO231:AR232"/>
    <mergeCell ref="AO233:AR234"/>
    <mergeCell ref="AO237:AR238"/>
    <mergeCell ref="AO239:AR240"/>
    <mergeCell ref="AO241:AR242"/>
    <mergeCell ref="AO243:AR244"/>
    <mergeCell ref="AO245:AR246"/>
    <mergeCell ref="AO247:AR248"/>
    <mergeCell ref="AO249:AR250"/>
    <mergeCell ref="AO251:AR252"/>
    <mergeCell ref="AO253:AR254"/>
    <mergeCell ref="AO255:AR256"/>
    <mergeCell ref="AO257:AR258"/>
    <mergeCell ref="AO259:AR260"/>
    <mergeCell ref="AO261:AR262"/>
    <mergeCell ref="AO263:AR264"/>
    <mergeCell ref="AO265:AR266"/>
    <mergeCell ref="AO267:AR268"/>
    <mergeCell ref="AO311:AR312"/>
    <mergeCell ref="AO309:AR310"/>
    <mergeCell ref="AO313:AR314"/>
    <mergeCell ref="AO315:AR316"/>
    <mergeCell ref="AO317:AR318"/>
    <mergeCell ref="AO319:AR320"/>
    <mergeCell ref="AO321:AR322"/>
    <mergeCell ref="AO323:AR324"/>
    <mergeCell ref="AO325:AR326"/>
    <mergeCell ref="AO327:AR328"/>
    <mergeCell ref="AO329:AR330"/>
    <mergeCell ref="AO331:AR332"/>
    <mergeCell ref="AO333:AR334"/>
    <mergeCell ref="AO335:AR336"/>
    <mergeCell ref="AO269:AR270"/>
    <mergeCell ref="AO271:AR272"/>
    <mergeCell ref="AO273:AR274"/>
    <mergeCell ref="AO275:AR276"/>
    <mergeCell ref="AO277:AR278"/>
    <mergeCell ref="AO279:AR280"/>
    <mergeCell ref="AO281:AR282"/>
    <mergeCell ref="AO283:AR284"/>
    <mergeCell ref="AO285:AR286"/>
    <mergeCell ref="AO287:AR288"/>
    <mergeCell ref="AO289:AR290"/>
    <mergeCell ref="AO291:AR292"/>
    <mergeCell ref="AO293:AR294"/>
    <mergeCell ref="AO295:AR296"/>
    <mergeCell ref="AO297:AR298"/>
    <mergeCell ref="AO299:AR300"/>
    <mergeCell ref="AO301:AR302"/>
    <mergeCell ref="AO303:AR304"/>
    <mergeCell ref="AO305:AR306"/>
    <mergeCell ref="AO307:AR308"/>
    <mergeCell ref="AO371:AR372"/>
    <mergeCell ref="AO373:AR374"/>
    <mergeCell ref="AO375:AR376"/>
    <mergeCell ref="AO377:AR378"/>
    <mergeCell ref="AO379:AR380"/>
    <mergeCell ref="AO381:AR382"/>
    <mergeCell ref="AO337:AR338"/>
    <mergeCell ref="AO339:AR340"/>
    <mergeCell ref="AO341:AR342"/>
    <mergeCell ref="AO343:AR344"/>
    <mergeCell ref="AO345:AR346"/>
    <mergeCell ref="AO347:AR348"/>
    <mergeCell ref="AO349:AR350"/>
    <mergeCell ref="AO351:AR352"/>
    <mergeCell ref="AO353:AR354"/>
    <mergeCell ref="AO355:AR356"/>
    <mergeCell ref="AO357:AR358"/>
    <mergeCell ref="AO359:AR360"/>
    <mergeCell ref="AO361:AR362"/>
    <mergeCell ref="AO363:AR364"/>
    <mergeCell ref="AO365:AR366"/>
    <mergeCell ref="AO367:AR368"/>
    <mergeCell ref="AO369:AR370"/>
    <mergeCell ref="B15:B16"/>
    <mergeCell ref="E63:E64"/>
    <mergeCell ref="D63:D64"/>
    <mergeCell ref="E59:E60"/>
    <mergeCell ref="D59:D60"/>
    <mergeCell ref="E71:E72"/>
    <mergeCell ref="D71:D72"/>
    <mergeCell ref="AU15:AU16"/>
    <mergeCell ref="AU17:AU18"/>
    <mergeCell ref="AU19:AU20"/>
    <mergeCell ref="AU21:AU22"/>
    <mergeCell ref="AU23:AU24"/>
    <mergeCell ref="AU25:AU26"/>
    <mergeCell ref="AU27:AU28"/>
    <mergeCell ref="AU29:AU30"/>
    <mergeCell ref="AU31:AU32"/>
    <mergeCell ref="AU33:AU34"/>
    <mergeCell ref="AU35:AU36"/>
    <mergeCell ref="AU37:AU38"/>
    <mergeCell ref="AU39:AU40"/>
    <mergeCell ref="AU41:AU42"/>
    <mergeCell ref="AU43:AU44"/>
    <mergeCell ref="AU45:AU46"/>
    <mergeCell ref="AU47:AU48"/>
    <mergeCell ref="AU49:AU50"/>
    <mergeCell ref="AU51:AU52"/>
    <mergeCell ref="AU53:AU54"/>
    <mergeCell ref="AU55:AU56"/>
    <mergeCell ref="AU57:AU58"/>
    <mergeCell ref="AU65:AU66"/>
    <mergeCell ref="AU67:AU68"/>
    <mergeCell ref="AU69:AU70"/>
    <mergeCell ref="AU71:AU72"/>
    <mergeCell ref="AU73:AU74"/>
    <mergeCell ref="AU75:AU76"/>
    <mergeCell ref="AU77:AU78"/>
    <mergeCell ref="AU79:AU80"/>
    <mergeCell ref="AU81:AU82"/>
    <mergeCell ref="AU83:AU84"/>
    <mergeCell ref="AU85:AU86"/>
    <mergeCell ref="AU87:AU88"/>
    <mergeCell ref="AU89:AU90"/>
    <mergeCell ref="AU91:AU92"/>
    <mergeCell ref="AU93:AU94"/>
    <mergeCell ref="AU95:AU96"/>
    <mergeCell ref="AU97:AU98"/>
    <mergeCell ref="AU99:AU100"/>
    <mergeCell ref="AU101:AU102"/>
    <mergeCell ref="AU103:AU104"/>
    <mergeCell ref="AU105:AU106"/>
    <mergeCell ref="AU107:AU108"/>
    <mergeCell ref="AU109:AU110"/>
    <mergeCell ref="AU111:AU112"/>
    <mergeCell ref="AU113:AU114"/>
    <mergeCell ref="AU115:AU116"/>
    <mergeCell ref="AU117:AU118"/>
    <mergeCell ref="AU119:AU120"/>
    <mergeCell ref="AU121:AU122"/>
    <mergeCell ref="AU123:AU124"/>
    <mergeCell ref="AU125:AU126"/>
    <mergeCell ref="AU127:AU128"/>
    <mergeCell ref="AU129:AU130"/>
    <mergeCell ref="AU131:AU132"/>
    <mergeCell ref="AU133:AU134"/>
    <mergeCell ref="AU135:AU136"/>
    <mergeCell ref="AU137:AU138"/>
    <mergeCell ref="AU139:AU140"/>
    <mergeCell ref="AU141:AU142"/>
    <mergeCell ref="AU143:AU144"/>
    <mergeCell ref="AU145:AU146"/>
    <mergeCell ref="AU147:AU148"/>
    <mergeCell ref="AU149:AU150"/>
    <mergeCell ref="AU151:AU152"/>
    <mergeCell ref="AU153:AU154"/>
    <mergeCell ref="AU155:AU156"/>
    <mergeCell ref="AU157:AU158"/>
    <mergeCell ref="AU159:AU160"/>
    <mergeCell ref="AU161:AU162"/>
    <mergeCell ref="AU163:AU164"/>
    <mergeCell ref="AU165:AU166"/>
    <mergeCell ref="AU167:AU168"/>
    <mergeCell ref="AU169:AU170"/>
    <mergeCell ref="AU171:AU172"/>
    <mergeCell ref="AU173:AU174"/>
    <mergeCell ref="AU175:AU176"/>
    <mergeCell ref="AU177:AU178"/>
    <mergeCell ref="AU179:AU180"/>
    <mergeCell ref="AU181:AU182"/>
    <mergeCell ref="AU183:AU184"/>
    <mergeCell ref="AU185:AU186"/>
    <mergeCell ref="AU187:AU188"/>
    <mergeCell ref="AU189:AU190"/>
    <mergeCell ref="AU191:AU192"/>
    <mergeCell ref="AU193:AU194"/>
    <mergeCell ref="AU195:AU196"/>
    <mergeCell ref="AU197:AU198"/>
    <mergeCell ref="AU199:AU200"/>
    <mergeCell ref="AU201:AU202"/>
    <mergeCell ref="AU203:AU204"/>
    <mergeCell ref="AU205:AU206"/>
    <mergeCell ref="AU207:AU208"/>
    <mergeCell ref="AU209:AU210"/>
    <mergeCell ref="AU211:AU212"/>
    <mergeCell ref="AU213:AU214"/>
    <mergeCell ref="AU215:AU216"/>
    <mergeCell ref="AU217:AU218"/>
    <mergeCell ref="AU219:AU220"/>
    <mergeCell ref="AU221:AU222"/>
    <mergeCell ref="AU223:AU224"/>
    <mergeCell ref="AU225:AU226"/>
    <mergeCell ref="AU227:AU228"/>
    <mergeCell ref="AU229:AU230"/>
    <mergeCell ref="AU231:AU232"/>
    <mergeCell ref="AU233:AU234"/>
    <mergeCell ref="AU235:AU236"/>
    <mergeCell ref="AU237:AU238"/>
    <mergeCell ref="AU239:AU240"/>
    <mergeCell ref="AU241:AU242"/>
    <mergeCell ref="AU243:AU244"/>
    <mergeCell ref="AU245:AU246"/>
    <mergeCell ref="AU247:AU248"/>
    <mergeCell ref="AU249:AU250"/>
    <mergeCell ref="AU251:AU252"/>
    <mergeCell ref="AU253:AU254"/>
    <mergeCell ref="AU255:AU256"/>
    <mergeCell ref="AU257:AU258"/>
    <mergeCell ref="AU259:AU260"/>
    <mergeCell ref="AU261:AU262"/>
    <mergeCell ref="AU263:AU264"/>
    <mergeCell ref="AU265:AU266"/>
    <mergeCell ref="AU267:AU268"/>
    <mergeCell ref="AU269:AU270"/>
    <mergeCell ref="AU271:AU272"/>
    <mergeCell ref="AU273:AU274"/>
    <mergeCell ref="AU275:AU276"/>
    <mergeCell ref="AU277:AU278"/>
    <mergeCell ref="AU279:AU280"/>
    <mergeCell ref="AU281:AU282"/>
    <mergeCell ref="AU283:AU284"/>
    <mergeCell ref="AU285:AU286"/>
    <mergeCell ref="AU287:AU288"/>
    <mergeCell ref="AU289:AU290"/>
    <mergeCell ref="AU291:AU292"/>
    <mergeCell ref="AU293:AU294"/>
    <mergeCell ref="AU295:AU296"/>
    <mergeCell ref="AU297:AU298"/>
    <mergeCell ref="AU299:AU300"/>
    <mergeCell ref="AU301:AU302"/>
    <mergeCell ref="AU303:AU304"/>
    <mergeCell ref="AU305:AU306"/>
    <mergeCell ref="AU307:AU308"/>
    <mergeCell ref="AU309:AU310"/>
    <mergeCell ref="AU311:AU312"/>
    <mergeCell ref="AU313:AU314"/>
    <mergeCell ref="AU315:AU316"/>
    <mergeCell ref="AU317:AU318"/>
    <mergeCell ref="AU319:AU320"/>
    <mergeCell ref="AU321:AU322"/>
    <mergeCell ref="AU323:AU324"/>
    <mergeCell ref="AU325:AU326"/>
    <mergeCell ref="AU327:AU328"/>
    <mergeCell ref="AU329:AU330"/>
    <mergeCell ref="AU331:AU332"/>
    <mergeCell ref="AU333:AU334"/>
    <mergeCell ref="AU335:AU336"/>
    <mergeCell ref="AU337:AU338"/>
    <mergeCell ref="AU339:AU340"/>
    <mergeCell ref="AU341:AU342"/>
    <mergeCell ref="AU343:AU344"/>
    <mergeCell ref="AU345:AU346"/>
    <mergeCell ref="AU347:AU348"/>
    <mergeCell ref="AU349:AU350"/>
    <mergeCell ref="AU351:AU352"/>
    <mergeCell ref="AU353:AU354"/>
    <mergeCell ref="AU355:AU356"/>
    <mergeCell ref="AU357:AU358"/>
    <mergeCell ref="AU359:AU360"/>
    <mergeCell ref="AU361:AU362"/>
    <mergeCell ref="AU363:AU364"/>
    <mergeCell ref="AU365:AU366"/>
    <mergeCell ref="AU367:AU368"/>
    <mergeCell ref="AU369:AU370"/>
    <mergeCell ref="AU371:AU372"/>
    <mergeCell ref="AU373:AU374"/>
    <mergeCell ref="AU375:AU376"/>
    <mergeCell ref="AU377:AU378"/>
    <mergeCell ref="AU379:AU380"/>
    <mergeCell ref="AU381:AU382"/>
    <mergeCell ref="AU383:AU384"/>
    <mergeCell ref="AU385:AU386"/>
    <mergeCell ref="AU387:AU388"/>
    <mergeCell ref="AU389:AU390"/>
    <mergeCell ref="AU391:AU392"/>
    <mergeCell ref="AU393:AU394"/>
    <mergeCell ref="AU395:AU396"/>
    <mergeCell ref="AU397:AU398"/>
    <mergeCell ref="AU399:AU400"/>
    <mergeCell ref="AU401:AU402"/>
    <mergeCell ref="AU403:AU404"/>
    <mergeCell ref="AV65:AV66"/>
    <mergeCell ref="AV67:AV68"/>
    <mergeCell ref="AV69:AV70"/>
    <mergeCell ref="AV71:AV72"/>
    <mergeCell ref="AV73:AV74"/>
    <mergeCell ref="AV75:AV76"/>
    <mergeCell ref="AV77:AV78"/>
    <mergeCell ref="AV79:AV80"/>
    <mergeCell ref="AV81:AV82"/>
    <mergeCell ref="AV83:AV84"/>
    <mergeCell ref="AV85:AV86"/>
    <mergeCell ref="AV87:AV88"/>
    <mergeCell ref="AV89:AV90"/>
    <mergeCell ref="AV91:AV92"/>
    <mergeCell ref="AV93:AV94"/>
    <mergeCell ref="AV95:AV96"/>
    <mergeCell ref="AV97:AV98"/>
    <mergeCell ref="AV99:AV100"/>
    <mergeCell ref="AV101:AV102"/>
    <mergeCell ref="AV103:AV104"/>
    <mergeCell ref="AV105:AV106"/>
    <mergeCell ref="AV107:AV108"/>
    <mergeCell ref="AV109:AV110"/>
    <mergeCell ref="AV111:AV112"/>
    <mergeCell ref="AV113:AV114"/>
    <mergeCell ref="AV115:AV116"/>
    <mergeCell ref="AV117:AV118"/>
    <mergeCell ref="AV119:AV120"/>
    <mergeCell ref="AV121:AV122"/>
    <mergeCell ref="AV123:AV124"/>
    <mergeCell ref="AV125:AV126"/>
    <mergeCell ref="AV127:AV128"/>
    <mergeCell ref="AV129:AV130"/>
    <mergeCell ref="AV131:AV132"/>
    <mergeCell ref="AV133:AV134"/>
    <mergeCell ref="AV135:AV136"/>
    <mergeCell ref="AV137:AV138"/>
    <mergeCell ref="AV139:AV140"/>
    <mergeCell ref="AV141:AV142"/>
    <mergeCell ref="AV143:AV144"/>
    <mergeCell ref="AV145:AV146"/>
    <mergeCell ref="AV147:AV148"/>
    <mergeCell ref="AV149:AV150"/>
    <mergeCell ref="AV151:AV152"/>
    <mergeCell ref="AV153:AV154"/>
    <mergeCell ref="AV155:AV156"/>
    <mergeCell ref="AV157:AV158"/>
    <mergeCell ref="AV159:AV160"/>
    <mergeCell ref="AV161:AV162"/>
    <mergeCell ref="AV163:AV164"/>
    <mergeCell ref="AV165:AV166"/>
    <mergeCell ref="AV167:AV168"/>
    <mergeCell ref="AV169:AV170"/>
    <mergeCell ref="AV171:AV172"/>
    <mergeCell ref="AV173:AV174"/>
    <mergeCell ref="AV175:AV176"/>
    <mergeCell ref="AV177:AV178"/>
    <mergeCell ref="AV179:AV180"/>
    <mergeCell ref="AV181:AV182"/>
    <mergeCell ref="AV183:AV184"/>
    <mergeCell ref="AV185:AV186"/>
    <mergeCell ref="AV187:AV188"/>
    <mergeCell ref="AV189:AV190"/>
    <mergeCell ref="AV191:AV192"/>
    <mergeCell ref="AV193:AV194"/>
    <mergeCell ref="AV195:AV196"/>
    <mergeCell ref="AV197:AV198"/>
    <mergeCell ref="AV199:AV200"/>
    <mergeCell ref="AV201:AV202"/>
    <mergeCell ref="AV203:AV204"/>
    <mergeCell ref="AV205:AV206"/>
    <mergeCell ref="AV207:AV208"/>
    <mergeCell ref="AV209:AV210"/>
    <mergeCell ref="AV211:AV212"/>
    <mergeCell ref="AV213:AV214"/>
    <mergeCell ref="AV215:AV216"/>
    <mergeCell ref="AV217:AV218"/>
    <mergeCell ref="AV219:AV220"/>
    <mergeCell ref="AV221:AV222"/>
    <mergeCell ref="AV223:AV224"/>
    <mergeCell ref="AV225:AV226"/>
    <mergeCell ref="AV227:AV228"/>
    <mergeCell ref="AV229:AV230"/>
    <mergeCell ref="AV231:AV232"/>
    <mergeCell ref="AV233:AV234"/>
    <mergeCell ref="AV235:AV236"/>
    <mergeCell ref="AV237:AV238"/>
    <mergeCell ref="AV239:AV240"/>
    <mergeCell ref="AV241:AV242"/>
    <mergeCell ref="AV243:AV244"/>
    <mergeCell ref="AV245:AV246"/>
    <mergeCell ref="AV247:AV248"/>
    <mergeCell ref="AV249:AV250"/>
    <mergeCell ref="AV251:AV252"/>
    <mergeCell ref="AV253:AV254"/>
    <mergeCell ref="AV255:AV256"/>
    <mergeCell ref="AV257:AV258"/>
    <mergeCell ref="AV259:AV260"/>
    <mergeCell ref="AV261:AV262"/>
    <mergeCell ref="AV263:AV264"/>
    <mergeCell ref="AV265:AV266"/>
    <mergeCell ref="AV267:AV268"/>
    <mergeCell ref="AV269:AV270"/>
    <mergeCell ref="AV271:AV272"/>
    <mergeCell ref="AV273:AV274"/>
    <mergeCell ref="AV275:AV276"/>
    <mergeCell ref="AV277:AV278"/>
    <mergeCell ref="AV279:AV280"/>
    <mergeCell ref="AV281:AV282"/>
    <mergeCell ref="AV283:AV284"/>
    <mergeCell ref="AV285:AV286"/>
    <mergeCell ref="AV287:AV288"/>
    <mergeCell ref="AV289:AV290"/>
    <mergeCell ref="AV291:AV292"/>
    <mergeCell ref="AV293:AV294"/>
    <mergeCell ref="AV295:AV296"/>
    <mergeCell ref="AV297:AV298"/>
    <mergeCell ref="AV299:AV300"/>
    <mergeCell ref="AV301:AV302"/>
    <mergeCell ref="AV303:AV304"/>
    <mergeCell ref="AV305:AV306"/>
    <mergeCell ref="AV307:AV308"/>
    <mergeCell ref="AV309:AV310"/>
    <mergeCell ref="AV311:AV312"/>
    <mergeCell ref="AV313:AV314"/>
    <mergeCell ref="AV315:AV316"/>
    <mergeCell ref="AV317:AV318"/>
    <mergeCell ref="AV319:AV320"/>
    <mergeCell ref="AV321:AV322"/>
    <mergeCell ref="AV323:AV324"/>
    <mergeCell ref="AV325:AV326"/>
    <mergeCell ref="AV327:AV328"/>
    <mergeCell ref="AV329:AV330"/>
    <mergeCell ref="AV331:AV332"/>
    <mergeCell ref="AV333:AV334"/>
    <mergeCell ref="AV335:AV336"/>
    <mergeCell ref="AV337:AV338"/>
    <mergeCell ref="AV339:AV340"/>
    <mergeCell ref="AV341:AV342"/>
    <mergeCell ref="AV343:AV344"/>
    <mergeCell ref="AV345:AV346"/>
    <mergeCell ref="AV347:AV348"/>
    <mergeCell ref="AV349:AV350"/>
    <mergeCell ref="AV351:AV352"/>
    <mergeCell ref="AV353:AV354"/>
    <mergeCell ref="AV355:AV356"/>
    <mergeCell ref="AV357:AV358"/>
    <mergeCell ref="AV359:AV360"/>
    <mergeCell ref="AV361:AV362"/>
    <mergeCell ref="AV363:AV364"/>
    <mergeCell ref="AV365:AV366"/>
    <mergeCell ref="AV367:AV368"/>
    <mergeCell ref="AV369:AV370"/>
    <mergeCell ref="AV371:AV372"/>
    <mergeCell ref="AV373:AV374"/>
    <mergeCell ref="AV375:AV376"/>
    <mergeCell ref="AV377:AV378"/>
    <mergeCell ref="AV379:AV380"/>
    <mergeCell ref="AV381:AV382"/>
    <mergeCell ref="AV383:AV384"/>
    <mergeCell ref="AV385:AV386"/>
    <mergeCell ref="AV387:AV388"/>
    <mergeCell ref="AV389:AV390"/>
    <mergeCell ref="AV391:AV392"/>
    <mergeCell ref="AV393:AV394"/>
    <mergeCell ref="AV395:AV396"/>
    <mergeCell ref="AV397:AV398"/>
    <mergeCell ref="AV399:AV400"/>
    <mergeCell ref="AV401:AV402"/>
    <mergeCell ref="AV403:AV404"/>
    <mergeCell ref="AW65:AW66"/>
    <mergeCell ref="AW67:AW68"/>
    <mergeCell ref="AW69:AW70"/>
    <mergeCell ref="AW71:AW72"/>
    <mergeCell ref="AW73:AW74"/>
    <mergeCell ref="AW75:AW76"/>
    <mergeCell ref="AW77:AW78"/>
    <mergeCell ref="AW79:AW80"/>
    <mergeCell ref="AW81:AW82"/>
    <mergeCell ref="AW83:AW84"/>
    <mergeCell ref="AW85:AW86"/>
    <mergeCell ref="AW87:AW88"/>
    <mergeCell ref="AW89:AW90"/>
    <mergeCell ref="AW91:AW92"/>
    <mergeCell ref="AW93:AW94"/>
    <mergeCell ref="AW95:AW96"/>
    <mergeCell ref="AW97:AW98"/>
    <mergeCell ref="AW99:AW100"/>
    <mergeCell ref="AW101:AW102"/>
    <mergeCell ref="AW103:AW104"/>
    <mergeCell ref="AW105:AW106"/>
    <mergeCell ref="AW107:AW108"/>
    <mergeCell ref="AW109:AW110"/>
    <mergeCell ref="AW111:AW112"/>
    <mergeCell ref="AW113:AW114"/>
    <mergeCell ref="AW115:AW116"/>
    <mergeCell ref="AW117:AW118"/>
    <mergeCell ref="AW119:AW120"/>
    <mergeCell ref="AW121:AW122"/>
    <mergeCell ref="AW123:AW124"/>
    <mergeCell ref="AW125:AW126"/>
    <mergeCell ref="AW127:AW128"/>
    <mergeCell ref="AW129:AW130"/>
    <mergeCell ref="AW131:AW132"/>
    <mergeCell ref="AW133:AW134"/>
    <mergeCell ref="AW135:AW136"/>
    <mergeCell ref="AW137:AW138"/>
    <mergeCell ref="AW139:AW140"/>
    <mergeCell ref="AW141:AW142"/>
    <mergeCell ref="AW143:AW144"/>
    <mergeCell ref="AW145:AW146"/>
    <mergeCell ref="AW147:AW148"/>
    <mergeCell ref="AW149:AW150"/>
    <mergeCell ref="AW151:AW152"/>
    <mergeCell ref="AW153:AW154"/>
    <mergeCell ref="AW155:AW156"/>
    <mergeCell ref="AW157:AW158"/>
    <mergeCell ref="AW159:AW160"/>
    <mergeCell ref="AW161:AW162"/>
    <mergeCell ref="AW163:AW164"/>
    <mergeCell ref="AW165:AW166"/>
    <mergeCell ref="AW167:AW168"/>
    <mergeCell ref="AW169:AW170"/>
    <mergeCell ref="AW171:AW172"/>
    <mergeCell ref="AW173:AW174"/>
    <mergeCell ref="AW175:AW176"/>
    <mergeCell ref="AW177:AW178"/>
    <mergeCell ref="AW179:AW180"/>
    <mergeCell ref="AW181:AW182"/>
    <mergeCell ref="AW183:AW184"/>
    <mergeCell ref="AW185:AW186"/>
    <mergeCell ref="AW187:AW188"/>
    <mergeCell ref="AW189:AW190"/>
    <mergeCell ref="AW191:AW192"/>
    <mergeCell ref="AW193:AW194"/>
    <mergeCell ref="AW195:AW196"/>
    <mergeCell ref="AW197:AW198"/>
    <mergeCell ref="AW199:AW200"/>
    <mergeCell ref="AW201:AW202"/>
    <mergeCell ref="AW203:AW204"/>
    <mergeCell ref="AW205:AW206"/>
    <mergeCell ref="AW207:AW208"/>
    <mergeCell ref="AW209:AW210"/>
    <mergeCell ref="AW211:AW212"/>
    <mergeCell ref="AW213:AW214"/>
    <mergeCell ref="AW215:AW216"/>
    <mergeCell ref="AW217:AW218"/>
    <mergeCell ref="AW219:AW220"/>
    <mergeCell ref="AW221:AW222"/>
    <mergeCell ref="AW223:AW224"/>
    <mergeCell ref="AW225:AW226"/>
    <mergeCell ref="AW227:AW228"/>
    <mergeCell ref="AW229:AW230"/>
    <mergeCell ref="AW231:AW232"/>
    <mergeCell ref="AW233:AW234"/>
    <mergeCell ref="AW235:AW236"/>
    <mergeCell ref="AW237:AW238"/>
    <mergeCell ref="AW239:AW240"/>
    <mergeCell ref="AW241:AW242"/>
    <mergeCell ref="AW243:AW244"/>
    <mergeCell ref="AW245:AW246"/>
    <mergeCell ref="AW247:AW248"/>
    <mergeCell ref="AW249:AW250"/>
    <mergeCell ref="AW251:AW252"/>
    <mergeCell ref="AW253:AW254"/>
    <mergeCell ref="AW255:AW256"/>
    <mergeCell ref="AW257:AW258"/>
    <mergeCell ref="AW259:AW260"/>
    <mergeCell ref="AW261:AW262"/>
    <mergeCell ref="AW263:AW264"/>
    <mergeCell ref="AW265:AW266"/>
    <mergeCell ref="AW267:AW268"/>
    <mergeCell ref="AW269:AW270"/>
    <mergeCell ref="AW271:AW272"/>
    <mergeCell ref="AW273:AW274"/>
    <mergeCell ref="AW275:AW276"/>
    <mergeCell ref="AW277:AW278"/>
    <mergeCell ref="AW279:AW280"/>
    <mergeCell ref="AW281:AW282"/>
    <mergeCell ref="AW283:AW284"/>
    <mergeCell ref="AW285:AW286"/>
    <mergeCell ref="AW287:AW288"/>
    <mergeCell ref="AW289:AW290"/>
    <mergeCell ref="AW291:AW292"/>
    <mergeCell ref="AW293:AW294"/>
    <mergeCell ref="AW295:AW296"/>
    <mergeCell ref="AW297:AW298"/>
    <mergeCell ref="AW299:AW300"/>
    <mergeCell ref="AW301:AW302"/>
    <mergeCell ref="AW303:AW304"/>
    <mergeCell ref="AW305:AW306"/>
    <mergeCell ref="AW307:AW308"/>
    <mergeCell ref="AW309:AW310"/>
    <mergeCell ref="AW311:AW312"/>
    <mergeCell ref="AW313:AW314"/>
    <mergeCell ref="AW315:AW316"/>
    <mergeCell ref="AW317:AW318"/>
    <mergeCell ref="AW319:AW320"/>
    <mergeCell ref="AW321:AW322"/>
    <mergeCell ref="AW323:AW324"/>
    <mergeCell ref="AW325:AW326"/>
    <mergeCell ref="AW327:AW328"/>
    <mergeCell ref="AW329:AW330"/>
    <mergeCell ref="AW331:AW332"/>
    <mergeCell ref="AW333:AW334"/>
    <mergeCell ref="AW335:AW336"/>
    <mergeCell ref="AW337:AW338"/>
    <mergeCell ref="AW339:AW340"/>
    <mergeCell ref="AW341:AW342"/>
    <mergeCell ref="AW343:AW344"/>
    <mergeCell ref="AW345:AW346"/>
    <mergeCell ref="AW347:AW348"/>
    <mergeCell ref="AW349:AW350"/>
    <mergeCell ref="AW351:AW352"/>
    <mergeCell ref="AW353:AW354"/>
    <mergeCell ref="AW355:AW356"/>
    <mergeCell ref="AW357:AW358"/>
    <mergeCell ref="AW359:AW360"/>
    <mergeCell ref="AW361:AW362"/>
    <mergeCell ref="AW363:AW364"/>
    <mergeCell ref="AW365:AW366"/>
    <mergeCell ref="AW367:AW368"/>
    <mergeCell ref="AW369:AW370"/>
    <mergeCell ref="AW371:AW372"/>
    <mergeCell ref="AW373:AW374"/>
    <mergeCell ref="AW375:AW376"/>
    <mergeCell ref="AW377:AW378"/>
    <mergeCell ref="AW379:AW380"/>
    <mergeCell ref="AW381:AW382"/>
    <mergeCell ref="AW383:AW384"/>
    <mergeCell ref="AW385:AW386"/>
    <mergeCell ref="AW387:AW388"/>
    <mergeCell ref="AW389:AW390"/>
    <mergeCell ref="AW391:AW392"/>
    <mergeCell ref="AW393:AW394"/>
    <mergeCell ref="AW395:AW396"/>
    <mergeCell ref="AW397:AW398"/>
    <mergeCell ref="AW399:AW400"/>
    <mergeCell ref="AW401:AW402"/>
    <mergeCell ref="AW403:AW404"/>
    <mergeCell ref="AX65:AX66"/>
    <mergeCell ref="AX67:AX68"/>
    <mergeCell ref="AX69:AX70"/>
    <mergeCell ref="AX71:AX72"/>
    <mergeCell ref="AX73:AX74"/>
    <mergeCell ref="AX75:AX76"/>
    <mergeCell ref="AX77:AX78"/>
    <mergeCell ref="AX79:AX80"/>
    <mergeCell ref="AX81:AX82"/>
    <mergeCell ref="AX83:AX84"/>
    <mergeCell ref="AX85:AX86"/>
    <mergeCell ref="AX87:AX88"/>
    <mergeCell ref="AX89:AX90"/>
    <mergeCell ref="AX91:AX92"/>
    <mergeCell ref="AX93:AX94"/>
    <mergeCell ref="AX95:AX96"/>
    <mergeCell ref="AX97:AX98"/>
    <mergeCell ref="AX99:AX100"/>
    <mergeCell ref="AX101:AX102"/>
    <mergeCell ref="AX103:AX104"/>
    <mergeCell ref="AX105:AX106"/>
    <mergeCell ref="AX107:AX108"/>
    <mergeCell ref="AX109:AX110"/>
    <mergeCell ref="AX111:AX112"/>
    <mergeCell ref="AX113:AX114"/>
    <mergeCell ref="AX115:AX116"/>
    <mergeCell ref="AX117:AX118"/>
    <mergeCell ref="AX119:AX120"/>
    <mergeCell ref="AX121:AX122"/>
    <mergeCell ref="AX123:AX124"/>
    <mergeCell ref="AX125:AX126"/>
    <mergeCell ref="AX127:AX128"/>
    <mergeCell ref="AX129:AX130"/>
    <mergeCell ref="AX131:AX132"/>
    <mergeCell ref="AX133:AX134"/>
    <mergeCell ref="AX135:AX136"/>
    <mergeCell ref="AX137:AX138"/>
    <mergeCell ref="AX139:AX140"/>
    <mergeCell ref="AX141:AX142"/>
    <mergeCell ref="AX143:AX144"/>
    <mergeCell ref="AX145:AX146"/>
    <mergeCell ref="AX147:AX148"/>
    <mergeCell ref="AX149:AX150"/>
    <mergeCell ref="AX151:AX152"/>
    <mergeCell ref="AX153:AX154"/>
    <mergeCell ref="AX155:AX156"/>
    <mergeCell ref="AX157:AX158"/>
    <mergeCell ref="AX159:AX160"/>
    <mergeCell ref="AX161:AX162"/>
    <mergeCell ref="AX163:AX164"/>
    <mergeCell ref="AX165:AX166"/>
    <mergeCell ref="AX167:AX168"/>
    <mergeCell ref="AX169:AX170"/>
    <mergeCell ref="AX171:AX172"/>
    <mergeCell ref="AX173:AX174"/>
    <mergeCell ref="AX175:AX176"/>
    <mergeCell ref="AX177:AX178"/>
    <mergeCell ref="AX179:AX180"/>
    <mergeCell ref="AX181:AX182"/>
    <mergeCell ref="AX183:AX184"/>
    <mergeCell ref="AX185:AX186"/>
    <mergeCell ref="AX187:AX188"/>
    <mergeCell ref="AX189:AX190"/>
    <mergeCell ref="AX191:AX192"/>
    <mergeCell ref="AX193:AX194"/>
    <mergeCell ref="AX195:AX196"/>
    <mergeCell ref="AX197:AX198"/>
    <mergeCell ref="AX199:AX200"/>
    <mergeCell ref="AX201:AX202"/>
    <mergeCell ref="AX203:AX204"/>
    <mergeCell ref="AX205:AX206"/>
    <mergeCell ref="AX207:AX208"/>
    <mergeCell ref="AX209:AX210"/>
    <mergeCell ref="AX211:AX212"/>
    <mergeCell ref="AX213:AX214"/>
    <mergeCell ref="AX215:AX216"/>
    <mergeCell ref="AX217:AX218"/>
    <mergeCell ref="AX219:AX220"/>
    <mergeCell ref="AX221:AX222"/>
    <mergeCell ref="AX223:AX224"/>
    <mergeCell ref="AX225:AX226"/>
    <mergeCell ref="AX227:AX228"/>
    <mergeCell ref="AX229:AX230"/>
    <mergeCell ref="AX231:AX232"/>
    <mergeCell ref="AX233:AX234"/>
    <mergeCell ref="AX235:AX236"/>
    <mergeCell ref="AX237:AX238"/>
    <mergeCell ref="AX239:AX240"/>
    <mergeCell ref="AX241:AX242"/>
    <mergeCell ref="AX243:AX244"/>
    <mergeCell ref="AX245:AX246"/>
    <mergeCell ref="AX247:AX248"/>
    <mergeCell ref="AX249:AX250"/>
    <mergeCell ref="AX251:AX252"/>
    <mergeCell ref="AX253:AX254"/>
    <mergeCell ref="AX255:AX256"/>
    <mergeCell ref="AX257:AX258"/>
    <mergeCell ref="AX259:AX260"/>
    <mergeCell ref="AX261:AX262"/>
    <mergeCell ref="AX263:AX264"/>
    <mergeCell ref="AX265:AX266"/>
    <mergeCell ref="AX267:AX268"/>
    <mergeCell ref="AX269:AX270"/>
    <mergeCell ref="AX271:AX272"/>
    <mergeCell ref="AX273:AX274"/>
    <mergeCell ref="AX275:AX276"/>
    <mergeCell ref="AX277:AX278"/>
    <mergeCell ref="AX279:AX280"/>
    <mergeCell ref="AX281:AX282"/>
    <mergeCell ref="AX283:AX284"/>
    <mergeCell ref="AX285:AX286"/>
    <mergeCell ref="AX287:AX288"/>
    <mergeCell ref="AX289:AX290"/>
    <mergeCell ref="AX291:AX292"/>
    <mergeCell ref="AX293:AX294"/>
    <mergeCell ref="AX295:AX296"/>
    <mergeCell ref="AX297:AX298"/>
    <mergeCell ref="AX299:AX300"/>
    <mergeCell ref="AX301:AX302"/>
    <mergeCell ref="AX303:AX304"/>
    <mergeCell ref="AX305:AX306"/>
    <mergeCell ref="AX307:AX308"/>
    <mergeCell ref="AX309:AX310"/>
    <mergeCell ref="AX311:AX312"/>
    <mergeCell ref="AX313:AX314"/>
    <mergeCell ref="AX315:AX316"/>
    <mergeCell ref="AX317:AX318"/>
    <mergeCell ref="AX319:AX320"/>
    <mergeCell ref="AX321:AX322"/>
    <mergeCell ref="AX323:AX324"/>
    <mergeCell ref="AX325:AX326"/>
    <mergeCell ref="AX327:AX328"/>
    <mergeCell ref="AX329:AX330"/>
    <mergeCell ref="AX331:AX332"/>
    <mergeCell ref="AX333:AX334"/>
    <mergeCell ref="AX335:AX336"/>
    <mergeCell ref="AX337:AX338"/>
    <mergeCell ref="AX339:AX340"/>
    <mergeCell ref="AX341:AX342"/>
    <mergeCell ref="AX343:AX344"/>
    <mergeCell ref="AX345:AX346"/>
    <mergeCell ref="AX347:AX348"/>
    <mergeCell ref="AX349:AX350"/>
    <mergeCell ref="AX351:AX352"/>
    <mergeCell ref="AX353:AX354"/>
    <mergeCell ref="AX355:AX356"/>
    <mergeCell ref="AX357:AX358"/>
    <mergeCell ref="AX359:AX360"/>
    <mergeCell ref="AX361:AX362"/>
    <mergeCell ref="AX363:AX364"/>
    <mergeCell ref="AX365:AX366"/>
    <mergeCell ref="AX367:AX368"/>
    <mergeCell ref="AX369:AX370"/>
    <mergeCell ref="AX371:AX372"/>
    <mergeCell ref="AX373:AX374"/>
    <mergeCell ref="AX375:AX376"/>
    <mergeCell ref="AX377:AX378"/>
    <mergeCell ref="AX379:AX380"/>
    <mergeCell ref="AX381:AX382"/>
    <mergeCell ref="AX383:AX384"/>
    <mergeCell ref="AX385:AX386"/>
    <mergeCell ref="AX387:AX388"/>
    <mergeCell ref="AX389:AX390"/>
    <mergeCell ref="AX391:AX392"/>
    <mergeCell ref="AX393:AX394"/>
    <mergeCell ref="AX395:AX396"/>
    <mergeCell ref="AX397:AX398"/>
    <mergeCell ref="AX399:AX400"/>
    <mergeCell ref="AX401:AX402"/>
    <mergeCell ref="AX403:AX404"/>
    <mergeCell ref="AY15:AY16"/>
    <mergeCell ref="AY17:AY18"/>
    <mergeCell ref="AY19:AY20"/>
    <mergeCell ref="AY21:AY22"/>
    <mergeCell ref="AY23:AY24"/>
    <mergeCell ref="AY25:AY26"/>
    <mergeCell ref="AY27:AY28"/>
    <mergeCell ref="AY29:AY30"/>
    <mergeCell ref="AY31:AY32"/>
    <mergeCell ref="AY33:AY34"/>
    <mergeCell ref="AY35:AY36"/>
    <mergeCell ref="AY37:AY38"/>
    <mergeCell ref="AY39:AY40"/>
    <mergeCell ref="AY41:AY42"/>
    <mergeCell ref="AY43:AY44"/>
    <mergeCell ref="AY45:AY46"/>
    <mergeCell ref="AY47:AY48"/>
    <mergeCell ref="AY49:AY50"/>
    <mergeCell ref="AY51:AY52"/>
    <mergeCell ref="AY53:AY54"/>
    <mergeCell ref="AY55:AY56"/>
    <mergeCell ref="AY57:AY58"/>
    <mergeCell ref="AY59:AY60"/>
    <mergeCell ref="AY61:AY62"/>
    <mergeCell ref="AY63:AY64"/>
    <mergeCell ref="AY65:AY66"/>
    <mergeCell ref="AY67:AY68"/>
    <mergeCell ref="AY69:AY70"/>
    <mergeCell ref="AY71:AY72"/>
    <mergeCell ref="AY73:AY74"/>
    <mergeCell ref="AY75:AY76"/>
    <mergeCell ref="AY77:AY78"/>
    <mergeCell ref="AY79:AY80"/>
    <mergeCell ref="AY81:AY82"/>
    <mergeCell ref="AY83:AY84"/>
    <mergeCell ref="AY85:AY86"/>
    <mergeCell ref="AY87:AY88"/>
    <mergeCell ref="AY89:AY90"/>
    <mergeCell ref="AY91:AY92"/>
    <mergeCell ref="AY93:AY94"/>
    <mergeCell ref="AY95:AY96"/>
    <mergeCell ref="AY97:AY98"/>
    <mergeCell ref="AY99:AY100"/>
    <mergeCell ref="AY101:AY102"/>
    <mergeCell ref="AY103:AY104"/>
    <mergeCell ref="AY105:AY106"/>
    <mergeCell ref="AY107:AY108"/>
    <mergeCell ref="AY109:AY110"/>
    <mergeCell ref="AY111:AY112"/>
    <mergeCell ref="AY113:AY114"/>
    <mergeCell ref="AY115:AY116"/>
    <mergeCell ref="AY117:AY118"/>
    <mergeCell ref="AY119:AY120"/>
    <mergeCell ref="AY121:AY122"/>
    <mergeCell ref="AY123:AY124"/>
    <mergeCell ref="AY125:AY126"/>
    <mergeCell ref="AY127:AY128"/>
    <mergeCell ref="AY129:AY130"/>
    <mergeCell ref="AY131:AY132"/>
    <mergeCell ref="AY133:AY134"/>
    <mergeCell ref="AY135:AY136"/>
    <mergeCell ref="AY137:AY138"/>
    <mergeCell ref="AY139:AY140"/>
    <mergeCell ref="AY141:AY142"/>
    <mergeCell ref="AY143:AY144"/>
    <mergeCell ref="AY145:AY146"/>
    <mergeCell ref="AY147:AY148"/>
    <mergeCell ref="AY149:AY150"/>
    <mergeCell ref="AY151:AY152"/>
    <mergeCell ref="AY153:AY154"/>
    <mergeCell ref="AY155:AY156"/>
    <mergeCell ref="AY157:AY158"/>
    <mergeCell ref="AY159:AY160"/>
    <mergeCell ref="AY161:AY162"/>
    <mergeCell ref="AY163:AY164"/>
    <mergeCell ref="AY165:AY166"/>
    <mergeCell ref="AY167:AY168"/>
    <mergeCell ref="AY169:AY170"/>
    <mergeCell ref="AY171:AY172"/>
    <mergeCell ref="AY173:AY174"/>
    <mergeCell ref="AY175:AY176"/>
    <mergeCell ref="AY177:AY178"/>
    <mergeCell ref="AY179:AY180"/>
    <mergeCell ref="AY181:AY182"/>
    <mergeCell ref="AY183:AY184"/>
    <mergeCell ref="AY185:AY186"/>
    <mergeCell ref="AY187:AY188"/>
    <mergeCell ref="AY189:AY190"/>
    <mergeCell ref="AY191:AY192"/>
    <mergeCell ref="AY193:AY194"/>
    <mergeCell ref="AY195:AY196"/>
    <mergeCell ref="AY197:AY198"/>
    <mergeCell ref="AY199:AY200"/>
    <mergeCell ref="AY201:AY202"/>
    <mergeCell ref="AY203:AY204"/>
    <mergeCell ref="AY205:AY206"/>
    <mergeCell ref="AY207:AY208"/>
    <mergeCell ref="AY209:AY210"/>
    <mergeCell ref="AY211:AY212"/>
    <mergeCell ref="AY213:AY214"/>
    <mergeCell ref="AY215:AY216"/>
    <mergeCell ref="AY217:AY218"/>
    <mergeCell ref="AY219:AY220"/>
    <mergeCell ref="AY221:AY222"/>
    <mergeCell ref="AY223:AY224"/>
    <mergeCell ref="AY225:AY226"/>
    <mergeCell ref="AY227:AY228"/>
    <mergeCell ref="AY229:AY230"/>
    <mergeCell ref="AY231:AY232"/>
    <mergeCell ref="AY233:AY234"/>
    <mergeCell ref="AY235:AY236"/>
    <mergeCell ref="AY237:AY238"/>
    <mergeCell ref="AY239:AY240"/>
    <mergeCell ref="AY241:AY242"/>
    <mergeCell ref="AY243:AY244"/>
    <mergeCell ref="AY245:AY246"/>
    <mergeCell ref="AY247:AY248"/>
    <mergeCell ref="AY249:AY250"/>
    <mergeCell ref="AY251:AY252"/>
    <mergeCell ref="AY253:AY254"/>
    <mergeCell ref="AY255:AY256"/>
    <mergeCell ref="AY257:AY258"/>
    <mergeCell ref="AY259:AY260"/>
    <mergeCell ref="AY261:AY262"/>
    <mergeCell ref="AY263:AY264"/>
    <mergeCell ref="AY265:AY266"/>
    <mergeCell ref="AY267:AY268"/>
    <mergeCell ref="AY269:AY270"/>
    <mergeCell ref="AY271:AY272"/>
    <mergeCell ref="AY273:AY274"/>
    <mergeCell ref="AY275:AY276"/>
    <mergeCell ref="AY277:AY278"/>
    <mergeCell ref="AY279:AY280"/>
    <mergeCell ref="AY281:AY282"/>
    <mergeCell ref="AY283:AY284"/>
    <mergeCell ref="AY285:AY286"/>
    <mergeCell ref="AY287:AY288"/>
    <mergeCell ref="AY289:AY290"/>
    <mergeCell ref="AY291:AY292"/>
    <mergeCell ref="AY293:AY294"/>
    <mergeCell ref="AY295:AY296"/>
    <mergeCell ref="AY297:AY298"/>
    <mergeCell ref="AY299:AY300"/>
    <mergeCell ref="AY301:AY302"/>
    <mergeCell ref="AY303:AY304"/>
    <mergeCell ref="AY305:AY306"/>
    <mergeCell ref="AY307:AY308"/>
    <mergeCell ref="AY309:AY310"/>
    <mergeCell ref="AY311:AY312"/>
    <mergeCell ref="AY313:AY314"/>
    <mergeCell ref="AY315:AY316"/>
    <mergeCell ref="AY317:AY318"/>
    <mergeCell ref="AY319:AY320"/>
    <mergeCell ref="AY321:AY322"/>
    <mergeCell ref="AY323:AY324"/>
    <mergeCell ref="AY325:AY326"/>
    <mergeCell ref="AY327:AY328"/>
    <mergeCell ref="AY329:AY330"/>
    <mergeCell ref="AY331:AY332"/>
    <mergeCell ref="AY333:AY334"/>
    <mergeCell ref="AY335:AY336"/>
    <mergeCell ref="AY337:AY338"/>
    <mergeCell ref="AY339:AY340"/>
    <mergeCell ref="AY341:AY342"/>
    <mergeCell ref="AY343:AY344"/>
    <mergeCell ref="AY345:AY346"/>
    <mergeCell ref="AY347:AY348"/>
    <mergeCell ref="AY349:AY350"/>
    <mergeCell ref="AY351:AY352"/>
    <mergeCell ref="AY353:AY354"/>
    <mergeCell ref="AY355:AY356"/>
    <mergeCell ref="AY357:AY358"/>
    <mergeCell ref="AY359:AY360"/>
    <mergeCell ref="AY361:AY362"/>
    <mergeCell ref="AY363:AY364"/>
    <mergeCell ref="AY365:AY366"/>
    <mergeCell ref="AY367:AY368"/>
    <mergeCell ref="AY369:AY370"/>
    <mergeCell ref="AY371:AY372"/>
    <mergeCell ref="AY373:AY374"/>
    <mergeCell ref="AY375:AY376"/>
    <mergeCell ref="AY377:AY378"/>
    <mergeCell ref="AY379:AY380"/>
    <mergeCell ref="AY381:AY382"/>
    <mergeCell ref="AY383:AY384"/>
    <mergeCell ref="AY385:AY386"/>
    <mergeCell ref="AY387:AY388"/>
    <mergeCell ref="AY389:AY390"/>
    <mergeCell ref="AY391:AY392"/>
    <mergeCell ref="AY393:AY394"/>
    <mergeCell ref="AY395:AY396"/>
    <mergeCell ref="AY397:AY398"/>
    <mergeCell ref="AY399:AY400"/>
    <mergeCell ref="AY401:AY402"/>
    <mergeCell ref="AY403:AY404"/>
    <mergeCell ref="AZ15:AZ16"/>
    <mergeCell ref="AZ17:AZ18"/>
    <mergeCell ref="AZ19:AZ20"/>
    <mergeCell ref="AZ21:AZ22"/>
    <mergeCell ref="AZ23:AZ24"/>
    <mergeCell ref="AZ25:AZ26"/>
    <mergeCell ref="AZ27:AZ28"/>
    <mergeCell ref="AZ29:AZ30"/>
    <mergeCell ref="AZ31:AZ32"/>
    <mergeCell ref="AZ33:AZ34"/>
    <mergeCell ref="AZ35:AZ36"/>
    <mergeCell ref="AZ37:AZ38"/>
    <mergeCell ref="AZ39:AZ40"/>
    <mergeCell ref="AZ41:AZ42"/>
    <mergeCell ref="AZ43:AZ44"/>
    <mergeCell ref="AZ45:AZ46"/>
    <mergeCell ref="AZ47:AZ48"/>
    <mergeCell ref="AZ49:AZ50"/>
    <mergeCell ref="AZ51:AZ52"/>
    <mergeCell ref="AZ53:AZ54"/>
    <mergeCell ref="AZ55:AZ56"/>
    <mergeCell ref="AZ57:AZ58"/>
    <mergeCell ref="AZ59:AZ60"/>
    <mergeCell ref="AZ65:AZ66"/>
    <mergeCell ref="AZ67:AZ68"/>
    <mergeCell ref="AZ69:AZ70"/>
    <mergeCell ref="AZ71:AZ72"/>
    <mergeCell ref="AZ73:AZ74"/>
    <mergeCell ref="AZ75:AZ76"/>
    <mergeCell ref="AZ77:AZ78"/>
    <mergeCell ref="AZ79:AZ80"/>
    <mergeCell ref="AZ81:AZ82"/>
    <mergeCell ref="AZ83:AZ84"/>
    <mergeCell ref="AZ85:AZ86"/>
    <mergeCell ref="AZ87:AZ88"/>
    <mergeCell ref="AZ89:AZ90"/>
    <mergeCell ref="AZ91:AZ92"/>
    <mergeCell ref="AZ93:AZ94"/>
    <mergeCell ref="AZ95:AZ96"/>
    <mergeCell ref="AZ97:AZ98"/>
    <mergeCell ref="AZ99:AZ100"/>
    <mergeCell ref="AZ101:AZ102"/>
    <mergeCell ref="AZ103:AZ104"/>
    <mergeCell ref="AZ105:AZ106"/>
    <mergeCell ref="AZ107:AZ108"/>
    <mergeCell ref="AZ109:AZ110"/>
    <mergeCell ref="AZ111:AZ112"/>
    <mergeCell ref="AZ113:AZ114"/>
    <mergeCell ref="AZ115:AZ116"/>
    <mergeCell ref="AZ117:AZ118"/>
    <mergeCell ref="AZ119:AZ120"/>
    <mergeCell ref="AZ121:AZ122"/>
    <mergeCell ref="AZ123:AZ124"/>
    <mergeCell ref="AZ125:AZ126"/>
    <mergeCell ref="AZ127:AZ128"/>
    <mergeCell ref="AZ129:AZ130"/>
    <mergeCell ref="AZ131:AZ132"/>
    <mergeCell ref="AZ133:AZ134"/>
    <mergeCell ref="AZ135:AZ136"/>
    <mergeCell ref="AZ137:AZ138"/>
    <mergeCell ref="AZ139:AZ140"/>
    <mergeCell ref="AZ141:AZ142"/>
    <mergeCell ref="AZ143:AZ144"/>
    <mergeCell ref="AZ145:AZ146"/>
    <mergeCell ref="AZ147:AZ148"/>
    <mergeCell ref="AZ149:AZ150"/>
    <mergeCell ref="AZ151:AZ152"/>
    <mergeCell ref="AZ153:AZ154"/>
    <mergeCell ref="AZ155:AZ156"/>
    <mergeCell ref="AZ157:AZ158"/>
    <mergeCell ref="AZ159:AZ160"/>
    <mergeCell ref="AZ161:AZ162"/>
    <mergeCell ref="AZ163:AZ164"/>
    <mergeCell ref="AZ165:AZ166"/>
    <mergeCell ref="AZ167:AZ168"/>
    <mergeCell ref="AZ169:AZ170"/>
    <mergeCell ref="AZ171:AZ172"/>
    <mergeCell ref="AZ173:AZ174"/>
    <mergeCell ref="AZ175:AZ176"/>
    <mergeCell ref="AZ177:AZ178"/>
    <mergeCell ref="AZ179:AZ180"/>
    <mergeCell ref="AZ181:AZ182"/>
    <mergeCell ref="AZ183:AZ184"/>
    <mergeCell ref="AZ185:AZ186"/>
    <mergeCell ref="AZ187:AZ188"/>
    <mergeCell ref="AZ189:AZ190"/>
    <mergeCell ref="AZ191:AZ192"/>
    <mergeCell ref="AZ193:AZ194"/>
    <mergeCell ref="AZ195:AZ196"/>
    <mergeCell ref="AZ197:AZ198"/>
    <mergeCell ref="AZ199:AZ200"/>
    <mergeCell ref="AZ201:AZ202"/>
    <mergeCell ref="AZ203:AZ204"/>
    <mergeCell ref="AZ205:AZ206"/>
    <mergeCell ref="AZ207:AZ208"/>
    <mergeCell ref="AZ209:AZ210"/>
    <mergeCell ref="AZ211:AZ212"/>
    <mergeCell ref="AZ213:AZ214"/>
    <mergeCell ref="AZ215:AZ216"/>
    <mergeCell ref="AZ217:AZ218"/>
    <mergeCell ref="AZ219:AZ220"/>
    <mergeCell ref="AZ221:AZ222"/>
    <mergeCell ref="AZ223:AZ224"/>
    <mergeCell ref="AZ225:AZ226"/>
    <mergeCell ref="AZ267:AZ268"/>
    <mergeCell ref="AZ269:AZ270"/>
    <mergeCell ref="AZ271:AZ272"/>
    <mergeCell ref="AZ273:AZ274"/>
    <mergeCell ref="AZ275:AZ276"/>
    <mergeCell ref="AZ277:AZ278"/>
    <mergeCell ref="AZ279:AZ280"/>
    <mergeCell ref="AZ281:AZ282"/>
    <mergeCell ref="AZ283:AZ284"/>
    <mergeCell ref="AZ285:AZ286"/>
    <mergeCell ref="AZ287:AZ288"/>
    <mergeCell ref="AZ289:AZ290"/>
    <mergeCell ref="AZ291:AZ292"/>
    <mergeCell ref="AZ293:AZ294"/>
    <mergeCell ref="AZ227:AZ228"/>
    <mergeCell ref="AZ229:AZ230"/>
    <mergeCell ref="AZ231:AZ232"/>
    <mergeCell ref="AZ233:AZ234"/>
    <mergeCell ref="AZ235:AZ236"/>
    <mergeCell ref="AZ237:AZ238"/>
    <mergeCell ref="AZ239:AZ240"/>
    <mergeCell ref="AZ241:AZ242"/>
    <mergeCell ref="AZ243:AZ244"/>
    <mergeCell ref="AZ245:AZ246"/>
    <mergeCell ref="AZ247:AZ248"/>
    <mergeCell ref="AZ249:AZ250"/>
    <mergeCell ref="AZ251:AZ252"/>
    <mergeCell ref="AZ253:AZ254"/>
    <mergeCell ref="AZ255:AZ256"/>
    <mergeCell ref="AZ257:AZ258"/>
    <mergeCell ref="AZ259:AZ260"/>
    <mergeCell ref="AZ397:AZ398"/>
    <mergeCell ref="AZ399:AZ400"/>
    <mergeCell ref="AZ401:AZ402"/>
    <mergeCell ref="AZ403:AZ404"/>
    <mergeCell ref="AO5:AT5"/>
    <mergeCell ref="AZ339:AZ340"/>
    <mergeCell ref="AZ341:AZ342"/>
    <mergeCell ref="AZ343:AZ344"/>
    <mergeCell ref="AZ345:AZ346"/>
    <mergeCell ref="AZ347:AZ348"/>
    <mergeCell ref="AZ349:AZ350"/>
    <mergeCell ref="AZ351:AZ352"/>
    <mergeCell ref="AZ353:AZ354"/>
    <mergeCell ref="AZ355:AZ356"/>
    <mergeCell ref="AZ357:AZ358"/>
    <mergeCell ref="AZ359:AZ360"/>
    <mergeCell ref="AZ361:AZ362"/>
    <mergeCell ref="AZ363:AZ364"/>
    <mergeCell ref="AZ295:AZ296"/>
    <mergeCell ref="AZ297:AZ298"/>
    <mergeCell ref="AZ299:AZ300"/>
    <mergeCell ref="AZ301:AZ302"/>
    <mergeCell ref="AZ303:AZ304"/>
    <mergeCell ref="AZ365:AZ366"/>
    <mergeCell ref="AZ367:AZ368"/>
    <mergeCell ref="AZ369:AZ370"/>
    <mergeCell ref="AZ371:AZ372"/>
    <mergeCell ref="AZ305:AZ306"/>
    <mergeCell ref="AZ307:AZ308"/>
    <mergeCell ref="AZ309:AZ310"/>
    <mergeCell ref="AZ311:AZ312"/>
    <mergeCell ref="AZ313:AZ314"/>
    <mergeCell ref="AO3:AR3"/>
    <mergeCell ref="T8:V8"/>
    <mergeCell ref="Y8:AA8"/>
    <mergeCell ref="U2:V3"/>
    <mergeCell ref="AF2:AG3"/>
    <mergeCell ref="AZ373:AZ374"/>
    <mergeCell ref="AZ375:AZ376"/>
    <mergeCell ref="AZ377:AZ378"/>
    <mergeCell ref="AZ379:AZ380"/>
    <mergeCell ref="AZ381:AZ382"/>
    <mergeCell ref="AZ383:AZ384"/>
    <mergeCell ref="AZ385:AZ386"/>
    <mergeCell ref="AZ387:AZ388"/>
    <mergeCell ref="AZ389:AZ390"/>
    <mergeCell ref="AZ391:AZ392"/>
    <mergeCell ref="AZ393:AZ394"/>
    <mergeCell ref="AZ395:AZ396"/>
    <mergeCell ref="AZ315:AZ316"/>
    <mergeCell ref="AZ317:AZ318"/>
    <mergeCell ref="AZ319:AZ320"/>
    <mergeCell ref="AZ321:AZ322"/>
    <mergeCell ref="AZ323:AZ324"/>
    <mergeCell ref="AZ325:AZ326"/>
    <mergeCell ref="AZ327:AZ328"/>
    <mergeCell ref="AZ329:AZ330"/>
    <mergeCell ref="AZ331:AZ332"/>
    <mergeCell ref="AZ333:AZ334"/>
    <mergeCell ref="AZ335:AZ336"/>
    <mergeCell ref="AZ337:AZ338"/>
    <mergeCell ref="AZ261:AZ262"/>
    <mergeCell ref="AZ263:AZ264"/>
    <mergeCell ref="AZ265:AZ266"/>
    <mergeCell ref="BS15:BT15"/>
    <mergeCell ref="BU15:BV15"/>
    <mergeCell ref="BW15:BX15"/>
    <mergeCell ref="BY15:BZ15"/>
    <mergeCell ref="CA15:CB15"/>
    <mergeCell ref="CC15:CD15"/>
    <mergeCell ref="CE15:CF15"/>
    <mergeCell ref="CG15:CH15"/>
    <mergeCell ref="CI15:CJ15"/>
    <mergeCell ref="CK15:CL15"/>
    <mergeCell ref="CM15:CN15"/>
    <mergeCell ref="CO15:CP15"/>
    <mergeCell ref="F4:T5"/>
    <mergeCell ref="AK8:AN10"/>
    <mergeCell ref="AO7:AR10"/>
    <mergeCell ref="D6:D10"/>
    <mergeCell ref="E6:E10"/>
    <mergeCell ref="F6:F10"/>
    <mergeCell ref="G8:G10"/>
    <mergeCell ref="H8:H10"/>
    <mergeCell ref="I8:J10"/>
    <mergeCell ref="M8:N10"/>
    <mergeCell ref="R8:S10"/>
    <mergeCell ref="W8:X10"/>
    <mergeCell ref="AB8:AC10"/>
    <mergeCell ref="AG8:AH10"/>
    <mergeCell ref="D4:E5"/>
    <mergeCell ref="AO4:AR4"/>
    <mergeCell ref="AW15:AW16"/>
    <mergeCell ref="AK13:AN13"/>
    <mergeCell ref="AO13:AR13"/>
    <mergeCell ref="AK7:AN7"/>
    <mergeCell ref="BU17:BV17"/>
    <mergeCell ref="BW17:BX17"/>
    <mergeCell ref="BY17:BZ17"/>
    <mergeCell ref="CA17:CB17"/>
    <mergeCell ref="CC17:CD17"/>
    <mergeCell ref="CE17:CF17"/>
    <mergeCell ref="CG17:CH17"/>
    <mergeCell ref="CI17:CJ17"/>
    <mergeCell ref="CK17:CL17"/>
    <mergeCell ref="CM17:CN17"/>
    <mergeCell ref="CO17:CP17"/>
    <mergeCell ref="BN18:BO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C19:CD19"/>
    <mergeCell ref="CE19:CF19"/>
    <mergeCell ref="CG19:CH19"/>
    <mergeCell ref="CI19:CJ19"/>
    <mergeCell ref="CK19:CL19"/>
    <mergeCell ref="CM19:CN19"/>
    <mergeCell ref="CO19:CP19"/>
    <mergeCell ref="BN20:BO20"/>
    <mergeCell ref="BS20:BT20"/>
    <mergeCell ref="BU20:BV20"/>
    <mergeCell ref="BW20:BX20"/>
    <mergeCell ref="BY20:BZ20"/>
    <mergeCell ref="CA20:CB20"/>
    <mergeCell ref="CC20:CD20"/>
    <mergeCell ref="CE20:CF20"/>
    <mergeCell ref="CG20:CH20"/>
    <mergeCell ref="CI20:CJ20"/>
    <mergeCell ref="CK20:CL20"/>
    <mergeCell ref="CM20:CN20"/>
    <mergeCell ref="CO20:CP20"/>
    <mergeCell ref="CC21:CD21"/>
    <mergeCell ref="CE21:CF21"/>
    <mergeCell ref="CG21:CH21"/>
    <mergeCell ref="CI21:CJ21"/>
    <mergeCell ref="CK21:CL21"/>
    <mergeCell ref="CM21:CN21"/>
    <mergeCell ref="CO21:CP21"/>
    <mergeCell ref="BN22:BO22"/>
    <mergeCell ref="BS22:BT22"/>
    <mergeCell ref="BU22:BV22"/>
    <mergeCell ref="BW22:BX22"/>
    <mergeCell ref="BY22:BZ22"/>
    <mergeCell ref="CA22:CB22"/>
    <mergeCell ref="CC22:CD22"/>
    <mergeCell ref="CE22:CF22"/>
    <mergeCell ref="CG22:CH22"/>
    <mergeCell ref="CI22:CJ22"/>
    <mergeCell ref="CK22:CL22"/>
    <mergeCell ref="CM22:CN22"/>
    <mergeCell ref="CO22:CP22"/>
    <mergeCell ref="CC23:CD23"/>
    <mergeCell ref="CE23:CF23"/>
    <mergeCell ref="CG23:CH23"/>
    <mergeCell ref="CI23:CJ23"/>
    <mergeCell ref="CK23:CL23"/>
    <mergeCell ref="CM23:CN23"/>
    <mergeCell ref="CO23:CP23"/>
    <mergeCell ref="BS24:BT24"/>
    <mergeCell ref="BU24:BV24"/>
    <mergeCell ref="BW24:BX24"/>
    <mergeCell ref="BY24:BZ24"/>
    <mergeCell ref="CA24:CB24"/>
    <mergeCell ref="CC24:CD24"/>
    <mergeCell ref="CE24:CF24"/>
    <mergeCell ref="CG24:CH24"/>
    <mergeCell ref="CI24:CJ24"/>
    <mergeCell ref="CK24:CL24"/>
    <mergeCell ref="CM24:CN24"/>
    <mergeCell ref="CO24:CP24"/>
    <mergeCell ref="CC26:CD26"/>
    <mergeCell ref="CE26:CF26"/>
    <mergeCell ref="CG26:CH26"/>
    <mergeCell ref="CI26:CJ26"/>
    <mergeCell ref="CK26:CL26"/>
    <mergeCell ref="CM26:CN26"/>
    <mergeCell ref="CO26:CP26"/>
    <mergeCell ref="BS27:BT27"/>
    <mergeCell ref="BU27:BV27"/>
    <mergeCell ref="BW27:BX27"/>
    <mergeCell ref="BY27:BZ27"/>
    <mergeCell ref="CA27:CB27"/>
    <mergeCell ref="CC27:CD27"/>
    <mergeCell ref="CE27:CF27"/>
    <mergeCell ref="CG27:CH27"/>
    <mergeCell ref="CI27:CJ27"/>
    <mergeCell ref="CK27:CL27"/>
    <mergeCell ref="CM27:CN27"/>
    <mergeCell ref="CO27:CP27"/>
    <mergeCell ref="CI31:CJ31"/>
    <mergeCell ref="CK31:CL31"/>
    <mergeCell ref="CM31:CN31"/>
    <mergeCell ref="CO31:CP31"/>
    <mergeCell ref="BS28:BT28"/>
    <mergeCell ref="BU28:BV28"/>
    <mergeCell ref="BW28:BX28"/>
    <mergeCell ref="BY28:BZ28"/>
    <mergeCell ref="CA28:CB28"/>
    <mergeCell ref="CC28:CD28"/>
    <mergeCell ref="CE28:CF28"/>
    <mergeCell ref="CG28:CH28"/>
    <mergeCell ref="CI28:CJ28"/>
    <mergeCell ref="CK28:CL28"/>
    <mergeCell ref="CM28:CN28"/>
    <mergeCell ref="CO28:CP28"/>
    <mergeCell ref="BS29:BT29"/>
    <mergeCell ref="BU29:BV29"/>
    <mergeCell ref="BW29:BX29"/>
    <mergeCell ref="BY29:BZ29"/>
    <mergeCell ref="CA29:CB29"/>
    <mergeCell ref="CC29:CD29"/>
    <mergeCell ref="CE29:CF29"/>
    <mergeCell ref="CG29:CH29"/>
    <mergeCell ref="CI29:CJ29"/>
    <mergeCell ref="CK29:CL29"/>
    <mergeCell ref="CM29:CN29"/>
    <mergeCell ref="CO29:CP29"/>
    <mergeCell ref="CC32:CD32"/>
    <mergeCell ref="CE32:CF32"/>
    <mergeCell ref="CG32:CH32"/>
    <mergeCell ref="CI32:CJ32"/>
    <mergeCell ref="CK32:CL32"/>
    <mergeCell ref="CM32:CN32"/>
    <mergeCell ref="CO32:CP32"/>
    <mergeCell ref="BS13:BV14"/>
    <mergeCell ref="BW13:BZ14"/>
    <mergeCell ref="CA13:CD14"/>
    <mergeCell ref="CE13:CH14"/>
    <mergeCell ref="CI13:CL14"/>
    <mergeCell ref="CM13:CP14"/>
    <mergeCell ref="BS30:BT30"/>
    <mergeCell ref="BU30:BV30"/>
    <mergeCell ref="BW30:BX30"/>
    <mergeCell ref="BY30:BZ30"/>
    <mergeCell ref="CA30:CB30"/>
    <mergeCell ref="CC30:CD30"/>
    <mergeCell ref="CE30:CF30"/>
    <mergeCell ref="CG30:CH30"/>
    <mergeCell ref="CI30:CJ30"/>
    <mergeCell ref="CK30:CL30"/>
    <mergeCell ref="CM30:CN30"/>
    <mergeCell ref="CO30:CP30"/>
    <mergeCell ref="BS31:BT31"/>
    <mergeCell ref="BU31:BV31"/>
    <mergeCell ref="BW31:BX31"/>
    <mergeCell ref="BY31:BZ31"/>
    <mergeCell ref="CC31:CD31"/>
    <mergeCell ref="CE31:CF31"/>
    <mergeCell ref="CG31:CH31"/>
    <mergeCell ref="BS32:BT32"/>
    <mergeCell ref="BU32:BV32"/>
    <mergeCell ref="BW32:BX32"/>
    <mergeCell ref="BY32:BZ32"/>
    <mergeCell ref="CA32:CB32"/>
    <mergeCell ref="CA31:CB31"/>
    <mergeCell ref="BN23:BO23"/>
    <mergeCell ref="BS23:BT23"/>
    <mergeCell ref="BU23:BV23"/>
    <mergeCell ref="BW23:BX23"/>
    <mergeCell ref="BY23:BZ23"/>
    <mergeCell ref="CA23:CB23"/>
    <mergeCell ref="BN21:BO21"/>
    <mergeCell ref="BS21:BT21"/>
    <mergeCell ref="BU21:BV21"/>
    <mergeCell ref="BW21:BX21"/>
    <mergeCell ref="BY21:BZ21"/>
    <mergeCell ref="BS26:BT26"/>
    <mergeCell ref="BU26:BV26"/>
    <mergeCell ref="BW26:BX26"/>
    <mergeCell ref="BY26:BZ26"/>
    <mergeCell ref="CA26:CB26"/>
    <mergeCell ref="CA21:CB21"/>
    <mergeCell ref="BO30:BR30"/>
    <mergeCell ref="BO31:BR31"/>
    <mergeCell ref="BO32:BR32"/>
    <mergeCell ref="BQ3:BR3"/>
    <mergeCell ref="BQ4:BR4"/>
    <mergeCell ref="BQ5:BR5"/>
    <mergeCell ref="BQ6:BR6"/>
    <mergeCell ref="BQ7:BR7"/>
    <mergeCell ref="BQ8:BR8"/>
    <mergeCell ref="BQ9:BR9"/>
    <mergeCell ref="BQ10:BR10"/>
    <mergeCell ref="BQ11:BR11"/>
    <mergeCell ref="BN8:BO8"/>
    <mergeCell ref="BU8:BV8"/>
    <mergeCell ref="BW8:BX8"/>
    <mergeCell ref="BY8:BZ8"/>
    <mergeCell ref="CA8:CB8"/>
    <mergeCell ref="BN9:BO9"/>
    <mergeCell ref="BU9:BV9"/>
    <mergeCell ref="BW9:BX9"/>
    <mergeCell ref="BY9:BZ9"/>
    <mergeCell ref="CA9:CB9"/>
    <mergeCell ref="BN10:BO10"/>
    <mergeCell ref="BU10:BV10"/>
    <mergeCell ref="BW10:BX10"/>
    <mergeCell ref="BW3:BX3"/>
    <mergeCell ref="BY3:BZ3"/>
    <mergeCell ref="CA3:CB3"/>
    <mergeCell ref="BN3:BP3"/>
    <mergeCell ref="BU4:BV4"/>
    <mergeCell ref="BW4:BX4"/>
    <mergeCell ref="BY4:BZ4"/>
    <mergeCell ref="CA4:CB4"/>
    <mergeCell ref="BN5:BO5"/>
    <mergeCell ref="BU5:BV5"/>
    <mergeCell ref="BY10:BZ10"/>
    <mergeCell ref="CA10:CB10"/>
    <mergeCell ref="BN11:BO11"/>
    <mergeCell ref="BU11:BV11"/>
    <mergeCell ref="BW11:BX11"/>
    <mergeCell ref="BY11:BZ11"/>
    <mergeCell ref="CA11:CB11"/>
    <mergeCell ref="BN4:BO4"/>
    <mergeCell ref="BW6:BX6"/>
    <mergeCell ref="BY6:BZ6"/>
    <mergeCell ref="CA6:CB6"/>
    <mergeCell ref="BN7:BO7"/>
    <mergeCell ref="BU7:BV7"/>
    <mergeCell ref="BW7:BX7"/>
    <mergeCell ref="BY7:BZ7"/>
    <mergeCell ref="CA7:CB7"/>
    <mergeCell ref="BN24:BR24"/>
    <mergeCell ref="BS4:BT4"/>
    <mergeCell ref="BW5:BX5"/>
    <mergeCell ref="BY5:BZ5"/>
    <mergeCell ref="CA5:CB5"/>
    <mergeCell ref="BN6:BO6"/>
    <mergeCell ref="BU6:BV6"/>
    <mergeCell ref="BN19:BO19"/>
    <mergeCell ref="BS19:BT19"/>
    <mergeCell ref="BU19:BV19"/>
    <mergeCell ref="BW19:BX19"/>
    <mergeCell ref="BY19:BZ19"/>
    <mergeCell ref="CA19:CB19"/>
    <mergeCell ref="BN16:BO16"/>
    <mergeCell ref="BN17:BO17"/>
    <mergeCell ref="BS17:BT17"/>
  </mergeCells>
  <phoneticPr fontId="1"/>
  <dataValidations count="7">
    <dataValidation type="list" allowBlank="1" showInputMessage="1" showErrorMessage="1" sqref="I15:J404" xr:uid="{00000000-0002-0000-0500-000000000000}">
      <formula1>"　,宿泊,日帰り"</formula1>
    </dataValidation>
    <dataValidation type="list" allowBlank="1" showInputMessage="1" showErrorMessage="1" sqref="O15:Q404 K15:L404 G15:H404 T15:V404 Y15:AA404 AD15:AF404 AI15:AJ404" xr:uid="{00000000-0002-0000-0500-000001000000}">
      <formula1>"　,○"</formula1>
    </dataValidation>
    <dataValidation imeMode="disabled" allowBlank="1" showInputMessage="1" showErrorMessage="1" sqref="AF2 AL2" xr:uid="{00000000-0002-0000-0500-000002000000}"/>
    <dataValidation type="list" allowBlank="1" showInputMessage="1" showErrorMessage="1" sqref="F11:F14" xr:uid="{00000000-0002-0000-0500-000003000000}">
      <formula1>"2歳児以下,3歳-学齢前,小学生,中学生,高校生(～18歳),一般(19歳～)"</formula1>
    </dataValidation>
    <dataValidation type="list" allowBlank="1" showInputMessage="1" showErrorMessage="1" sqref="M15:N404 R15:S404 W15:X404 AB15:AC404" xr:uid="{00000000-0002-0000-0500-000004000000}">
      <formula1>"　,宿泊,日帰り,退所"</formula1>
    </dataValidation>
    <dataValidation type="list" allowBlank="1" showInputMessage="1" showErrorMessage="1" sqref="AG15:AH404" xr:uid="{00000000-0002-0000-0500-000005000000}">
      <formula1>"　,日帰り,退所"</formula1>
    </dataValidation>
    <dataValidation type="list" allowBlank="1" showInputMessage="1" showErrorMessage="1" sqref="F15:F404" xr:uid="{00000000-0002-0000-0500-000006000000}">
      <formula1>$AU15:$BA15</formula1>
    </dataValidation>
  </dataValidations>
  <pageMargins left="0.70866141732283472" right="0.11811023622047245" top="0.39370078740157483" bottom="0.39370078740157483" header="0" footer="0"/>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BC97"/>
  <sheetViews>
    <sheetView showGridLines="0" tabSelected="1" zoomScale="75" zoomScaleNormal="75" zoomScaleSheetLayoutView="75" zoomScalePageLayoutView="59" workbookViewId="0">
      <pane ySplit="7" topLeftCell="A8" activePane="bottomLeft" state="frozen"/>
      <selection pane="bottomLeft" activeCell="AB12" sqref="AB12:AD13"/>
    </sheetView>
  </sheetViews>
  <sheetFormatPr defaultRowHeight="13.5" x14ac:dyDescent="0.15"/>
  <cols>
    <col min="1" max="1" width="0.375" style="48" customWidth="1"/>
    <col min="2" max="2" width="5.5" style="48" customWidth="1"/>
    <col min="3" max="38" width="5.125" style="48" customWidth="1"/>
    <col min="39" max="39" width="3.125" style="48" customWidth="1"/>
    <col min="40" max="40" width="2.125" style="48" customWidth="1"/>
    <col min="41" max="41" width="5.125" style="48" customWidth="1"/>
    <col min="42" max="42" width="5" style="48" customWidth="1"/>
    <col min="43" max="43" width="1.25" style="48" customWidth="1"/>
    <col min="44" max="44" width="3.875" style="48" customWidth="1"/>
    <col min="45" max="45" width="1.375" style="48" customWidth="1"/>
    <col min="46" max="47" width="5.125" style="48" customWidth="1"/>
    <col min="48" max="16384" width="9" style="48"/>
  </cols>
  <sheetData>
    <row r="1" spans="2:55" ht="2.25" customHeight="1" thickBot="1" x14ac:dyDescent="0.4">
      <c r="B1" s="111"/>
      <c r="C1" s="112"/>
      <c r="D1" s="112"/>
      <c r="E1" s="111"/>
      <c r="F1" s="111"/>
      <c r="G1" s="111"/>
      <c r="H1" s="111"/>
      <c r="I1" s="111"/>
      <c r="J1" s="111"/>
      <c r="M1" s="111"/>
      <c r="N1" s="111"/>
      <c r="R1" s="111"/>
      <c r="S1" s="112"/>
      <c r="T1" s="113"/>
      <c r="U1" s="113"/>
      <c r="V1" s="113"/>
      <c r="W1" s="112"/>
      <c r="X1" s="111"/>
      <c r="AB1" s="111"/>
      <c r="AC1" s="111"/>
      <c r="AG1" s="111"/>
      <c r="AH1" s="111"/>
      <c r="AI1" s="2458" t="s">
        <v>55</v>
      </c>
      <c r="AJ1" s="2458"/>
      <c r="AK1" s="2458"/>
      <c r="AL1" s="2458"/>
      <c r="AM1" s="2459" t="str">
        <f>IF(入力ページ!F21&gt;=3,"2","1")</f>
        <v>1</v>
      </c>
      <c r="AN1" s="2459"/>
      <c r="AO1" s="2460" t="s">
        <v>56</v>
      </c>
      <c r="AP1" s="2460"/>
      <c r="AQ1" s="2460"/>
      <c r="AS1" s="639"/>
      <c r="AT1" s="639"/>
      <c r="AU1" s="639"/>
    </row>
    <row r="2" spans="2:55" ht="18.75" customHeight="1" thickBot="1" x14ac:dyDescent="0.4">
      <c r="B2" s="2449" t="s">
        <v>495</v>
      </c>
      <c r="C2" s="2450"/>
      <c r="D2" s="2451"/>
      <c r="E2" s="2441" t="str">
        <f>IF(AND(M2="○",P2="○",M3="○"),"ＯＫ","未完成")</f>
        <v>未完成</v>
      </c>
      <c r="F2" s="2441"/>
      <c r="G2" s="2441"/>
      <c r="H2" s="2441"/>
      <c r="I2" s="2442"/>
      <c r="J2" s="2205"/>
      <c r="K2" s="2445" t="s">
        <v>497</v>
      </c>
      <c r="L2" s="2446"/>
      <c r="M2" s="640" t="str">
        <f>IF(AND(B5="○",B6="○",Z5="○"),"○","×")</f>
        <v>×</v>
      </c>
      <c r="N2" s="2439" t="s">
        <v>496</v>
      </c>
      <c r="O2" s="2440"/>
      <c r="P2" s="641" t="str">
        <f>IF(AND(AB12&lt;&gt;"",AF12&lt;&gt;"",AJ12&lt;&gt;""),"○","×")</f>
        <v>○</v>
      </c>
      <c r="Q2" s="2455" t="s">
        <v>502</v>
      </c>
      <c r="R2" s="2456"/>
      <c r="S2" s="2456"/>
      <c r="T2" s="2456"/>
      <c r="U2" s="2456"/>
      <c r="V2" s="2456"/>
      <c r="W2" s="2456"/>
      <c r="X2" s="2456"/>
      <c r="Y2" s="2456"/>
      <c r="Z2" s="2456"/>
      <c r="AA2" s="2456"/>
      <c r="AB2" s="2456"/>
      <c r="AC2" s="2456"/>
      <c r="AD2" s="2456"/>
      <c r="AE2" s="2456"/>
      <c r="AF2" s="2456"/>
      <c r="AG2" s="2456"/>
      <c r="AH2" s="2456"/>
      <c r="AI2" s="2458"/>
      <c r="AJ2" s="2458"/>
      <c r="AK2" s="2458"/>
      <c r="AL2" s="2458"/>
      <c r="AM2" s="2459"/>
      <c r="AN2" s="2459"/>
      <c r="AO2" s="2460"/>
      <c r="AP2" s="2460"/>
      <c r="AQ2" s="2460"/>
      <c r="AR2" s="639"/>
      <c r="AZ2" s="134"/>
      <c r="BA2" s="134"/>
    </row>
    <row r="3" spans="2:55" ht="18.75" customHeight="1" thickBot="1" x14ac:dyDescent="0.2">
      <c r="B3" s="2452"/>
      <c r="C3" s="2453"/>
      <c r="D3" s="2454"/>
      <c r="E3" s="2443"/>
      <c r="F3" s="2443"/>
      <c r="G3" s="2443"/>
      <c r="H3" s="2443"/>
      <c r="I3" s="2444"/>
      <c r="J3" s="2206"/>
      <c r="K3" s="2447" t="s">
        <v>501</v>
      </c>
      <c r="L3" s="2448"/>
      <c r="M3" s="644" t="str">
        <f>AV9</f>
        <v>×</v>
      </c>
      <c r="N3" s="2455" t="s">
        <v>505</v>
      </c>
      <c r="O3" s="2456"/>
      <c r="P3" s="2456"/>
      <c r="Q3" s="2456"/>
      <c r="R3" s="2456"/>
      <c r="S3" s="2456"/>
      <c r="T3" s="2456"/>
      <c r="U3" s="2456"/>
      <c r="V3" s="2456"/>
      <c r="W3" s="2456"/>
      <c r="X3" s="2456"/>
      <c r="Y3" s="2456"/>
      <c r="Z3" s="2456"/>
      <c r="AA3" s="2456"/>
      <c r="AB3" s="2456"/>
      <c r="AC3" s="2456"/>
      <c r="AD3" s="2456"/>
      <c r="AE3" s="2456"/>
      <c r="AF3" s="2456"/>
      <c r="AG3" s="2456"/>
      <c r="AH3" s="2456"/>
      <c r="AI3" s="2456"/>
      <c r="AJ3" s="2461" t="s">
        <v>506</v>
      </c>
      <c r="AK3" s="2461"/>
      <c r="AL3" s="2461"/>
      <c r="AM3" s="2461"/>
      <c r="AN3" s="2461"/>
      <c r="AO3" s="2461"/>
      <c r="AP3" s="2461"/>
      <c r="AQ3" s="2461"/>
      <c r="AR3" s="2461"/>
      <c r="AS3" s="2461"/>
      <c r="AT3" s="2461"/>
      <c r="AU3" s="642"/>
      <c r="AV3" s="633"/>
      <c r="AW3" s="633"/>
      <c r="AX3" s="633"/>
      <c r="AY3" s="633"/>
      <c r="AZ3" s="633"/>
      <c r="BA3" s="633"/>
      <c r="BB3" s="633"/>
    </row>
    <row r="4" spans="2:55" s="228" customFormat="1" ht="23.25" customHeight="1" x14ac:dyDescent="0.15">
      <c r="B4" s="2467" t="s">
        <v>504</v>
      </c>
      <c r="C4" s="2467"/>
      <c r="D4" s="2467"/>
      <c r="E4" s="2467"/>
      <c r="F4" s="2467"/>
      <c r="G4" s="2467"/>
      <c r="H4" s="2467"/>
      <c r="I4" s="2467"/>
      <c r="J4" s="2467"/>
      <c r="K4" s="2467"/>
      <c r="L4" s="2467"/>
      <c r="M4" s="2467"/>
      <c r="N4" s="2467"/>
      <c r="O4" s="2467"/>
      <c r="P4" s="2467"/>
      <c r="Q4" s="2467"/>
      <c r="R4" s="2467"/>
      <c r="S4" s="2467"/>
      <c r="T4" s="2467"/>
      <c r="U4" s="2467"/>
      <c r="V4" s="2467"/>
      <c r="W4" s="2467"/>
      <c r="X4" s="2467"/>
      <c r="Y4" s="2467"/>
      <c r="Z4" s="2467"/>
      <c r="AA4" s="2467"/>
      <c r="AB4" s="2467"/>
      <c r="AC4" s="635"/>
      <c r="AD4" s="635"/>
      <c r="AE4" s="635"/>
      <c r="AF4" s="635"/>
      <c r="AG4" s="635"/>
      <c r="AH4" s="635"/>
      <c r="AI4" s="635"/>
      <c r="AJ4" s="2461"/>
      <c r="AK4" s="2461"/>
      <c r="AL4" s="2461"/>
      <c r="AM4" s="2461"/>
      <c r="AN4" s="2461"/>
      <c r="AO4" s="2461"/>
      <c r="AP4" s="2461"/>
      <c r="AQ4" s="2461"/>
      <c r="AR4" s="2461"/>
      <c r="AS4" s="2461"/>
      <c r="AT4" s="2461"/>
      <c r="AU4" s="642"/>
      <c r="AV4" s="633"/>
      <c r="AW4" s="633"/>
      <c r="AX4" s="633"/>
      <c r="AY4" s="633"/>
      <c r="AZ4" s="633"/>
      <c r="BA4" s="633"/>
      <c r="BB4" s="633"/>
      <c r="BC4" s="633"/>
    </row>
    <row r="5" spans="2:55" s="22" customFormat="1" ht="30" customHeight="1" x14ac:dyDescent="0.15">
      <c r="B5" s="556" t="str">
        <f>IF(W5="","×","○")</f>
        <v>×</v>
      </c>
      <c r="C5" s="2477" t="s">
        <v>499</v>
      </c>
      <c r="D5" s="2478"/>
      <c r="E5" s="2478"/>
      <c r="F5" s="2478"/>
      <c r="G5" s="2478"/>
      <c r="H5" s="2478"/>
      <c r="I5" s="2478"/>
      <c r="J5" s="2478"/>
      <c r="K5" s="2478"/>
      <c r="L5" s="2478"/>
      <c r="M5" s="2478"/>
      <c r="N5" s="2478"/>
      <c r="O5" s="2478"/>
      <c r="P5" s="2478"/>
      <c r="Q5" s="2478"/>
      <c r="R5" s="2478"/>
      <c r="S5" s="2478"/>
      <c r="T5" s="2478"/>
      <c r="U5" s="2478"/>
      <c r="V5" s="2479"/>
      <c r="W5" s="2475"/>
      <c r="X5" s="2476"/>
      <c r="Z5" s="2457" t="str">
        <f>IF(OR(AC7="×",AE7="×",AG7="×",AI7="×",AK7="×",AM7="×"),"×","○")</f>
        <v>×</v>
      </c>
      <c r="AA5" s="2471" t="s">
        <v>507</v>
      </c>
      <c r="AB5" s="2472"/>
      <c r="AC5" s="2462" t="s">
        <v>500</v>
      </c>
      <c r="AD5" s="2463"/>
      <c r="AE5" s="2464" t="str">
        <f>IF(入力ページ!H21&lt;2," ","２日目")</f>
        <v>２日目</v>
      </c>
      <c r="AF5" s="2463"/>
      <c r="AG5" s="2464" t="str">
        <f>IF(入力ページ!H21&lt;3," ","３日目")</f>
        <v>３日目</v>
      </c>
      <c r="AH5" s="2463"/>
      <c r="AI5" s="2464" t="str">
        <f>IF(入力ページ!H21&lt;4," ","４日目")</f>
        <v>４日目</v>
      </c>
      <c r="AJ5" s="2464"/>
      <c r="AK5" s="2462" t="str">
        <f>IF(入力ページ!H21&lt;5," ","５日目")</f>
        <v>５日目</v>
      </c>
      <c r="AL5" s="2463"/>
      <c r="AM5" s="2462" t="str">
        <f>IF(入力ページ!H21&lt;6," ","６日目")</f>
        <v>６日目</v>
      </c>
      <c r="AN5" s="2464"/>
      <c r="AO5" s="2463"/>
      <c r="AP5" s="632"/>
      <c r="AQ5" s="632"/>
      <c r="AR5" s="632"/>
      <c r="AS5" s="632"/>
      <c r="AT5" s="633"/>
      <c r="AU5" s="633"/>
      <c r="AV5" s="633"/>
      <c r="AW5" s="633"/>
      <c r="AX5" s="633"/>
      <c r="AY5" s="633"/>
      <c r="AZ5" s="633"/>
      <c r="BA5" s="633"/>
      <c r="BB5" s="633"/>
      <c r="BC5" s="633"/>
    </row>
    <row r="6" spans="2:55" s="22" customFormat="1" ht="33.75" customHeight="1" x14ac:dyDescent="0.15">
      <c r="B6" s="556" t="str">
        <f>IF(AND(入力ページ!F21&lt;&gt;0,W6=""),"×","○")</f>
        <v>○</v>
      </c>
      <c r="C6" s="2477" t="s">
        <v>498</v>
      </c>
      <c r="D6" s="2478"/>
      <c r="E6" s="2478"/>
      <c r="F6" s="2478"/>
      <c r="G6" s="2478"/>
      <c r="H6" s="2478"/>
      <c r="I6" s="2478"/>
      <c r="J6" s="2478"/>
      <c r="K6" s="2478"/>
      <c r="L6" s="2478"/>
      <c r="M6" s="2478"/>
      <c r="N6" s="2478"/>
      <c r="O6" s="2478"/>
      <c r="P6" s="2478"/>
      <c r="Q6" s="2478"/>
      <c r="R6" s="2478"/>
      <c r="S6" s="2478"/>
      <c r="T6" s="2478"/>
      <c r="U6" s="2478"/>
      <c r="V6" s="2479"/>
      <c r="W6" s="2475"/>
      <c r="X6" s="2476"/>
      <c r="Z6" s="2457"/>
      <c r="AA6" s="2473"/>
      <c r="AB6" s="2474"/>
      <c r="AC6" s="2465"/>
      <c r="AD6" s="2466"/>
      <c r="AE6" s="2465"/>
      <c r="AF6" s="2466"/>
      <c r="AG6" s="2465"/>
      <c r="AH6" s="2466"/>
      <c r="AI6" s="2465"/>
      <c r="AJ6" s="2466"/>
      <c r="AK6" s="2465"/>
      <c r="AL6" s="2466"/>
      <c r="AM6" s="2468"/>
      <c r="AN6" s="2469"/>
      <c r="AO6" s="2470"/>
      <c r="AP6" s="210"/>
      <c r="AQ6" s="632"/>
      <c r="AR6" s="632"/>
      <c r="AS6" s="632"/>
    </row>
    <row r="7" spans="2:55" s="347" customFormat="1" ht="2.25" customHeight="1" x14ac:dyDescent="0.15">
      <c r="M7" s="634"/>
      <c r="N7" s="634"/>
      <c r="O7" s="634"/>
      <c r="P7" s="634"/>
      <c r="Q7" s="634"/>
      <c r="R7" s="634"/>
      <c r="S7" s="634"/>
      <c r="T7" s="1099"/>
      <c r="U7" s="1099"/>
      <c r="V7" s="1099"/>
      <c r="W7" s="1099"/>
      <c r="X7" s="1099"/>
      <c r="Y7" s="1099"/>
      <c r="Z7" s="1099"/>
      <c r="AA7" s="1100"/>
      <c r="AB7" s="1099"/>
      <c r="AC7" s="1101" t="str">
        <f>IF(AC6="","×","○")</f>
        <v>×</v>
      </c>
      <c r="AD7" s="1102"/>
      <c r="AE7" s="1101" t="str">
        <f>IF(OR(AND(AE5=" ",AE6=""),AND(AE5&lt;&gt;"",AE6&lt;&gt;"")),"○","×")</f>
        <v>×</v>
      </c>
      <c r="AF7" s="1102"/>
      <c r="AG7" s="1101" t="str">
        <f>IF(OR(AND(AG5=" ",AG6=""),AND(AG5&lt;&gt;"",AG6&lt;&gt;"")),"○","×")</f>
        <v>×</v>
      </c>
      <c r="AH7" s="1103"/>
      <c r="AI7" s="1101" t="str">
        <f>IF(OR(AND(AI5=" ",AI6=""),AND(AI5&lt;&gt;"",AI6&lt;&gt;"")),"○","×")</f>
        <v>×</v>
      </c>
      <c r="AJ7" s="1104"/>
      <c r="AK7" s="1101" t="str">
        <f>IF(OR(AND(AK5=" ",AK6=""),AND(AK5&lt;&gt;"",AK6&lt;&gt;"")),"○","×")</f>
        <v>×</v>
      </c>
      <c r="AL7" s="1104"/>
      <c r="AM7" s="1101" t="str">
        <f>IF(OR(AND(AM5=" ",AM6=""),AND(AM5&lt;&gt;"",AM6&lt;&gt;"")),"○","×")</f>
        <v>×</v>
      </c>
      <c r="AN7" s="1104"/>
      <c r="AO7" s="1104"/>
      <c r="AP7" s="1105"/>
      <c r="AQ7" s="1105"/>
      <c r="AR7" s="1105"/>
      <c r="AS7" s="1105"/>
    </row>
    <row r="8" spans="2:55" ht="30" customHeight="1" x14ac:dyDescent="0.25">
      <c r="B8" s="2401" t="s">
        <v>203</v>
      </c>
      <c r="C8" s="2401"/>
      <c r="D8" s="2401"/>
      <c r="E8" s="2401"/>
      <c r="F8" s="2401"/>
      <c r="G8" s="2401"/>
      <c r="H8" s="2401"/>
      <c r="I8" s="2401"/>
      <c r="J8" s="2401"/>
      <c r="K8" s="2401"/>
      <c r="L8" s="2401"/>
      <c r="M8" s="2401"/>
      <c r="N8" s="2401"/>
      <c r="O8" s="1226" t="s">
        <v>283</v>
      </c>
      <c r="P8" s="1226"/>
      <c r="Q8" s="1226"/>
      <c r="R8" s="1226"/>
      <c r="S8" s="1226"/>
      <c r="T8" s="1226"/>
      <c r="U8" s="1226"/>
      <c r="V8" s="1226"/>
      <c r="W8" s="1226"/>
      <c r="X8" s="1226"/>
      <c r="Y8" s="1226"/>
      <c r="Z8" s="1226"/>
      <c r="AA8" s="1226"/>
      <c r="AB8" s="1226"/>
      <c r="AC8" s="1226"/>
      <c r="AD8" s="1226"/>
      <c r="AE8" s="1194"/>
      <c r="AF8" s="1194"/>
      <c r="AG8" s="1194"/>
      <c r="AH8" s="1194"/>
      <c r="AI8" s="1194"/>
      <c r="AJ8" s="1194"/>
      <c r="AK8" s="1194"/>
      <c r="AL8" s="1194"/>
      <c r="AM8" s="1194"/>
      <c r="AN8" s="1194"/>
      <c r="AO8" s="2393" t="s">
        <v>211</v>
      </c>
      <c r="AP8" s="2393"/>
      <c r="AQ8" s="2311">
        <v>1</v>
      </c>
      <c r="AR8" s="2311"/>
      <c r="AS8" s="2311" t="s">
        <v>212</v>
      </c>
      <c r="AT8" s="2311"/>
      <c r="AU8" s="629"/>
      <c r="AV8" s="587" t="str">
        <f>IF(入力ページ!G19="","",入力ページ!G19)</f>
        <v/>
      </c>
      <c r="AW8" s="587" t="str">
        <f>IF(入力ページ!J19="","",入力ページ!J19)</f>
        <v/>
      </c>
      <c r="AX8" s="587" t="str">
        <f>IF(入力ページ!M19="","",入力ページ!M19)</f>
        <v/>
      </c>
    </row>
    <row r="9" spans="2:55" ht="45" customHeight="1" x14ac:dyDescent="0.15">
      <c r="B9" s="2402" t="s">
        <v>66</v>
      </c>
      <c r="C9" s="2403"/>
      <c r="D9" s="2404">
        <f>入力ページ!F11</f>
        <v>0</v>
      </c>
      <c r="E9" s="2405"/>
      <c r="F9" s="2405"/>
      <c r="G9" s="2405"/>
      <c r="H9" s="2405"/>
      <c r="I9" s="2405"/>
      <c r="J9" s="2405"/>
      <c r="K9" s="2405"/>
      <c r="L9" s="2405"/>
      <c r="M9" s="2405"/>
      <c r="N9" s="2405"/>
      <c r="O9" s="2405"/>
      <c r="P9" s="2405"/>
      <c r="Q9" s="137" t="s">
        <v>204</v>
      </c>
      <c r="R9" s="2382" t="str">
        <f>入力ページ!L16&amp;入力ページ!N16&amp;" 　"</f>
        <v>県 　</v>
      </c>
      <c r="S9" s="2382"/>
      <c r="T9" s="2382"/>
      <c r="U9" s="2432"/>
      <c r="V9" s="2432"/>
      <c r="W9" s="2432"/>
      <c r="X9" s="636" t="s">
        <v>489</v>
      </c>
      <c r="Y9" s="139" t="s">
        <v>205</v>
      </c>
      <c r="Z9" s="2408" t="s">
        <v>202</v>
      </c>
      <c r="AA9" s="2409"/>
      <c r="AB9" s="2410">
        <f>入力ページ!G22</f>
        <v>0</v>
      </c>
      <c r="AC9" s="2411"/>
      <c r="AD9" s="140" t="s">
        <v>4</v>
      </c>
      <c r="AE9" s="602">
        <f>入力ページ!J22</f>
        <v>0</v>
      </c>
      <c r="AF9" s="583" t="s">
        <v>0</v>
      </c>
      <c r="AG9" s="602">
        <f>入力ページ!L22</f>
        <v>0</v>
      </c>
      <c r="AH9" s="141" t="s">
        <v>206</v>
      </c>
      <c r="AI9" s="603" t="str">
        <f>入力ページ!O22</f>
        <v/>
      </c>
      <c r="AJ9" s="584" t="s">
        <v>34</v>
      </c>
      <c r="AK9" s="604" t="s">
        <v>490</v>
      </c>
      <c r="AL9" s="605" t="str">
        <f>入力ページ!T22</f>
        <v/>
      </c>
      <c r="AM9" s="2280" t="s">
        <v>0</v>
      </c>
      <c r="AN9" s="2280"/>
      <c r="AO9" s="601" t="str">
        <f>入力ページ!V22</f>
        <v/>
      </c>
      <c r="AP9" s="141" t="s">
        <v>206</v>
      </c>
      <c r="AQ9" s="2280" t="str">
        <f>入力ページ!Y22</f>
        <v/>
      </c>
      <c r="AR9" s="2280"/>
      <c r="AS9" s="2281" t="s">
        <v>17</v>
      </c>
      <c r="AT9" s="2282"/>
      <c r="AU9" s="1136"/>
      <c r="AV9" s="1136" t="str">
        <f>IF(OR(U9="",AW9="×"),"×","○")</f>
        <v>×</v>
      </c>
      <c r="AW9" s="652" t="str">
        <f>IF(OR(AX9="×",AY9="×",AZ9="×",BA9="×"),"×","○")</f>
        <v>○</v>
      </c>
      <c r="AX9" s="652" t="str">
        <f>IF(OR(COUNTIF(U9, "*市")), "×", "○")</f>
        <v>○</v>
      </c>
      <c r="AY9" s="652" t="str">
        <f>IF(OR(COUNTIF(U9, "*区")), "×", "○")</f>
        <v>○</v>
      </c>
      <c r="AZ9" s="652" t="str">
        <f>IF(COUNTIF(U9, "*町"), "×", "○")</f>
        <v>○</v>
      </c>
      <c r="BA9" s="652" t="str">
        <f>IF(COUNTIF(U9, "*村"), "×", "○")</f>
        <v>○</v>
      </c>
    </row>
    <row r="10" spans="2:55" ht="19.5" customHeight="1" x14ac:dyDescent="0.15">
      <c r="B10" s="2412" t="s">
        <v>201</v>
      </c>
      <c r="C10" s="2413"/>
      <c r="D10" s="2418" t="s">
        <v>200</v>
      </c>
      <c r="E10" s="2419"/>
      <c r="F10" s="2420" t="str">
        <f>入力ページ!Q13</f>
        <v/>
      </c>
      <c r="G10" s="2421"/>
      <c r="H10" s="2421"/>
      <c r="I10" s="2421"/>
      <c r="J10" s="2421"/>
      <c r="K10" s="2421"/>
      <c r="L10" s="2421"/>
      <c r="M10" s="2421"/>
      <c r="N10" s="2421"/>
      <c r="O10" s="2421"/>
      <c r="P10" s="2422"/>
      <c r="Q10" s="142" t="s">
        <v>199</v>
      </c>
      <c r="R10" s="143"/>
      <c r="S10" s="143"/>
      <c r="T10" s="143"/>
      <c r="U10" s="143"/>
      <c r="V10" s="143"/>
      <c r="W10" s="143"/>
      <c r="X10" s="143"/>
      <c r="Y10" s="143"/>
      <c r="Z10" s="143"/>
      <c r="AA10" s="144"/>
      <c r="AB10" s="660" t="s">
        <v>198</v>
      </c>
      <c r="AC10" s="661"/>
      <c r="AD10" s="661"/>
      <c r="AE10" s="661"/>
      <c r="AF10" s="662"/>
      <c r="AG10" s="143"/>
      <c r="AH10" s="143"/>
      <c r="AI10" s="143"/>
      <c r="AJ10" s="143"/>
      <c r="AK10" s="143"/>
      <c r="AL10" s="144"/>
      <c r="AM10" s="2304" t="s">
        <v>210</v>
      </c>
      <c r="AN10" s="2305"/>
      <c r="AO10" s="2305"/>
      <c r="AP10" s="2305"/>
      <c r="AQ10" s="2305">
        <f>入力ページ!F32</f>
        <v>0</v>
      </c>
      <c r="AR10" s="2305"/>
      <c r="AS10" s="2307" t="s">
        <v>207</v>
      </c>
      <c r="AT10" s="2308"/>
      <c r="AU10" s="627"/>
      <c r="AV10" s="643"/>
    </row>
    <row r="11" spans="2:55" ht="6" customHeight="1" x14ac:dyDescent="0.15">
      <c r="B11" s="2414"/>
      <c r="C11" s="2415"/>
      <c r="D11" s="2423" t="s">
        <v>197</v>
      </c>
      <c r="E11" s="2424"/>
      <c r="F11" s="2425">
        <f>入力ページ!Q14</f>
        <v>0</v>
      </c>
      <c r="G11" s="2429"/>
      <c r="H11" s="2429"/>
      <c r="I11" s="2429"/>
      <c r="J11" s="2429"/>
      <c r="K11" s="2429"/>
      <c r="L11" s="2429"/>
      <c r="M11" s="2429"/>
      <c r="N11" s="2429"/>
      <c r="O11" s="2429"/>
      <c r="P11" s="2426"/>
      <c r="Q11" s="1137"/>
      <c r="R11" s="1131"/>
      <c r="S11" s="1131"/>
      <c r="T11" s="1137"/>
      <c r="U11" s="1137"/>
      <c r="V11" s="1131"/>
      <c r="W11" s="1131"/>
      <c r="X11" s="1137"/>
      <c r="Y11" s="1137"/>
      <c r="Z11" s="1131"/>
      <c r="AA11" s="1132"/>
      <c r="AB11" s="1137"/>
      <c r="AC11" s="1138"/>
      <c r="AD11" s="1138"/>
      <c r="AE11" s="1137"/>
      <c r="AF11" s="1137"/>
      <c r="AG11" s="1137"/>
      <c r="AH11" s="1137"/>
      <c r="AI11" s="1137"/>
      <c r="AJ11" s="1137"/>
      <c r="AK11" s="1137"/>
      <c r="AL11" s="1137"/>
      <c r="AM11" s="2306"/>
      <c r="AN11" s="2286"/>
      <c r="AO11" s="2286"/>
      <c r="AP11" s="2286"/>
      <c r="AQ11" s="2286"/>
      <c r="AR11" s="2286"/>
      <c r="AS11" s="2309"/>
      <c r="AT11" s="2310"/>
      <c r="AU11" s="627"/>
    </row>
    <row r="12" spans="2:55" ht="13.5" customHeight="1" x14ac:dyDescent="0.15">
      <c r="B12" s="2414"/>
      <c r="C12" s="2415"/>
      <c r="D12" s="2425"/>
      <c r="E12" s="2426"/>
      <c r="F12" s="2425"/>
      <c r="G12" s="2429"/>
      <c r="H12" s="2429"/>
      <c r="I12" s="2429"/>
      <c r="J12" s="2429"/>
      <c r="K12" s="2429"/>
      <c r="L12" s="2429"/>
      <c r="M12" s="2429"/>
      <c r="N12" s="2429"/>
      <c r="O12" s="2429"/>
      <c r="P12" s="2426"/>
      <c r="Q12" s="2243">
        <f>入力ページ!Q19</f>
        <v>0</v>
      </c>
      <c r="R12" s="2244"/>
      <c r="S12" s="2244"/>
      <c r="T12" s="2247" t="s">
        <v>213</v>
      </c>
      <c r="U12" s="2247">
        <f>入力ページ!T19</f>
        <v>0</v>
      </c>
      <c r="V12" s="2247"/>
      <c r="W12" s="2247"/>
      <c r="X12" s="2247" t="s">
        <v>44</v>
      </c>
      <c r="Y12" s="2249">
        <f>入力ページ!W19</f>
        <v>0</v>
      </c>
      <c r="Z12" s="2249"/>
      <c r="AA12" s="2250"/>
      <c r="AB12" s="2253">
        <f>入力ページ!G19</f>
        <v>0</v>
      </c>
      <c r="AC12" s="2254"/>
      <c r="AD12" s="2254"/>
      <c r="AE12" s="2235" t="s">
        <v>213</v>
      </c>
      <c r="AF12" s="2257">
        <f>入力ページ!J19</f>
        <v>0</v>
      </c>
      <c r="AG12" s="2257"/>
      <c r="AH12" s="2257"/>
      <c r="AI12" s="2235" t="s">
        <v>44</v>
      </c>
      <c r="AJ12" s="2227">
        <f>入力ページ!M19</f>
        <v>0</v>
      </c>
      <c r="AK12" s="2227"/>
      <c r="AL12" s="2228"/>
      <c r="AM12" s="2261" t="s">
        <v>208</v>
      </c>
      <c r="AN12" s="2262"/>
      <c r="AO12" s="2262"/>
      <c r="AP12" s="2262"/>
      <c r="AQ12" s="2286">
        <f>入力ページ!M32</f>
        <v>0</v>
      </c>
      <c r="AR12" s="2286"/>
      <c r="AS12" s="2288" t="s">
        <v>209</v>
      </c>
      <c r="AT12" s="2289"/>
      <c r="AU12" s="628"/>
    </row>
    <row r="13" spans="2:55" ht="22.5" customHeight="1" x14ac:dyDescent="0.15">
      <c r="B13" s="2416"/>
      <c r="C13" s="2417"/>
      <c r="D13" s="2427"/>
      <c r="E13" s="2428"/>
      <c r="F13" s="2427"/>
      <c r="G13" s="2430"/>
      <c r="H13" s="2430"/>
      <c r="I13" s="2430"/>
      <c r="J13" s="2430"/>
      <c r="K13" s="2430"/>
      <c r="L13" s="2430"/>
      <c r="M13" s="2430"/>
      <c r="N13" s="2430"/>
      <c r="O13" s="2430"/>
      <c r="P13" s="2428"/>
      <c r="Q13" s="2245"/>
      <c r="R13" s="2246"/>
      <c r="S13" s="2246"/>
      <c r="T13" s="2248"/>
      <c r="U13" s="2248"/>
      <c r="V13" s="2248"/>
      <c r="W13" s="2248"/>
      <c r="X13" s="2248"/>
      <c r="Y13" s="2251"/>
      <c r="Z13" s="2251"/>
      <c r="AA13" s="2252"/>
      <c r="AB13" s="2255"/>
      <c r="AC13" s="2256"/>
      <c r="AD13" s="2256"/>
      <c r="AE13" s="2236"/>
      <c r="AF13" s="2258"/>
      <c r="AG13" s="2258"/>
      <c r="AH13" s="2258"/>
      <c r="AI13" s="2236"/>
      <c r="AJ13" s="2229"/>
      <c r="AK13" s="2229"/>
      <c r="AL13" s="2230"/>
      <c r="AM13" s="2263"/>
      <c r="AN13" s="2264"/>
      <c r="AO13" s="2264"/>
      <c r="AP13" s="2264"/>
      <c r="AQ13" s="2287"/>
      <c r="AR13" s="2287"/>
      <c r="AS13" s="2290"/>
      <c r="AT13" s="2291"/>
      <c r="AU13" s="628"/>
    </row>
    <row r="14" spans="2:55" ht="21" customHeight="1" x14ac:dyDescent="0.15">
      <c r="B14" s="2394" t="s">
        <v>196</v>
      </c>
      <c r="C14" s="2394"/>
      <c r="D14" s="2394"/>
      <c r="E14" s="128"/>
      <c r="F14" s="127"/>
      <c r="G14" s="130"/>
      <c r="H14" s="2377" t="s">
        <v>194</v>
      </c>
      <c r="I14" s="2378"/>
      <c r="J14" s="2395"/>
      <c r="K14" s="127"/>
      <c r="L14" s="2375" t="s">
        <v>195</v>
      </c>
      <c r="M14" s="2375"/>
      <c r="N14" s="2375"/>
      <c r="O14" s="127"/>
      <c r="P14" s="127"/>
      <c r="Q14" s="127"/>
      <c r="R14" s="2377" t="s">
        <v>194</v>
      </c>
      <c r="S14" s="2378"/>
      <c r="T14" s="2378"/>
      <c r="U14" s="127" t="s">
        <v>195</v>
      </c>
      <c r="V14" s="127"/>
      <c r="W14" s="127"/>
      <c r="X14" s="127"/>
      <c r="Y14" s="127"/>
      <c r="Z14" s="127"/>
      <c r="AA14" s="127"/>
      <c r="AB14" s="2379" t="s">
        <v>194</v>
      </c>
      <c r="AC14" s="2380"/>
      <c r="AD14" s="2380"/>
      <c r="AE14" s="2380"/>
      <c r="AF14" s="2381"/>
      <c r="AG14" s="127"/>
      <c r="AH14" s="127"/>
      <c r="AI14" s="127"/>
      <c r="AJ14" s="2375" t="s">
        <v>193</v>
      </c>
      <c r="AK14" s="2375"/>
      <c r="AL14" s="2376"/>
      <c r="AM14" s="2375"/>
      <c r="AN14" s="2375"/>
      <c r="AO14" s="127"/>
      <c r="AP14" s="127"/>
      <c r="AQ14" s="2375"/>
      <c r="AR14" s="2375"/>
      <c r="AS14" s="2375"/>
      <c r="AT14" s="2376"/>
      <c r="AU14" s="625"/>
    </row>
    <row r="15" spans="2:55" ht="21" customHeight="1" x14ac:dyDescent="0.15">
      <c r="B15" s="2396" t="s">
        <v>62</v>
      </c>
      <c r="C15" s="2397" t="s">
        <v>192</v>
      </c>
      <c r="D15" s="2397"/>
      <c r="E15" s="2374">
        <v>6</v>
      </c>
      <c r="F15" s="2354"/>
      <c r="G15" s="2354">
        <v>7</v>
      </c>
      <c r="H15" s="2354"/>
      <c r="I15" s="2354">
        <v>8</v>
      </c>
      <c r="J15" s="2354"/>
      <c r="K15" s="2354">
        <v>9</v>
      </c>
      <c r="L15" s="2354"/>
      <c r="M15" s="2354">
        <v>10</v>
      </c>
      <c r="N15" s="2354"/>
      <c r="O15" s="2354">
        <v>11</v>
      </c>
      <c r="P15" s="2354"/>
      <c r="Q15" s="2354">
        <v>12</v>
      </c>
      <c r="R15" s="2354"/>
      <c r="S15" s="2354">
        <v>13</v>
      </c>
      <c r="T15" s="2354"/>
      <c r="U15" s="2354">
        <v>14</v>
      </c>
      <c r="V15" s="2354"/>
      <c r="W15" s="2354">
        <v>15</v>
      </c>
      <c r="X15" s="2354"/>
      <c r="Y15" s="2354">
        <v>16</v>
      </c>
      <c r="Z15" s="2354"/>
      <c r="AA15" s="2354">
        <v>17</v>
      </c>
      <c r="AB15" s="2354"/>
      <c r="AC15" s="2354">
        <v>18</v>
      </c>
      <c r="AD15" s="2354"/>
      <c r="AE15" s="2354">
        <v>19</v>
      </c>
      <c r="AF15" s="2354"/>
      <c r="AG15" s="2354">
        <v>20</v>
      </c>
      <c r="AH15" s="2354"/>
      <c r="AI15" s="2354">
        <v>21</v>
      </c>
      <c r="AJ15" s="2354"/>
      <c r="AK15" s="2354">
        <v>22</v>
      </c>
      <c r="AL15" s="2355"/>
      <c r="AM15" s="2356" t="s">
        <v>191</v>
      </c>
      <c r="AN15" s="2356"/>
      <c r="AO15" s="2357"/>
      <c r="AP15" s="2360" t="s">
        <v>190</v>
      </c>
      <c r="AQ15" s="2356"/>
      <c r="AR15" s="2356"/>
      <c r="AS15" s="2356"/>
      <c r="AT15" s="2357"/>
      <c r="AU15" s="656"/>
    </row>
    <row r="16" spans="2:55" ht="9.75" customHeight="1" x14ac:dyDescent="0.15">
      <c r="B16" s="2396"/>
      <c r="C16" s="2397"/>
      <c r="D16" s="2397"/>
      <c r="E16" s="120"/>
      <c r="F16" s="121"/>
      <c r="G16" s="120"/>
      <c r="H16" s="121"/>
      <c r="I16" s="120"/>
      <c r="J16" s="121"/>
      <c r="K16" s="120"/>
      <c r="L16" s="121"/>
      <c r="M16" s="120"/>
      <c r="N16" s="121"/>
      <c r="O16" s="120"/>
      <c r="P16" s="121"/>
      <c r="Q16" s="120"/>
      <c r="R16" s="121"/>
      <c r="S16" s="120"/>
      <c r="T16" s="121"/>
      <c r="U16" s="120"/>
      <c r="V16" s="121"/>
      <c r="W16" s="120"/>
      <c r="X16" s="121"/>
      <c r="Y16" s="120"/>
      <c r="Z16" s="121"/>
      <c r="AA16" s="120"/>
      <c r="AB16" s="121"/>
      <c r="AC16" s="120"/>
      <c r="AD16" s="121"/>
      <c r="AE16" s="120"/>
      <c r="AF16" s="121"/>
      <c r="AG16" s="120"/>
      <c r="AH16" s="121"/>
      <c r="AI16" s="120"/>
      <c r="AJ16" s="121"/>
      <c r="AK16" s="120"/>
      <c r="AL16" s="120"/>
      <c r="AM16" s="2358"/>
      <c r="AN16" s="2358"/>
      <c r="AO16" s="2359"/>
      <c r="AP16" s="2361"/>
      <c r="AQ16" s="2358"/>
      <c r="AR16" s="2358"/>
      <c r="AS16" s="2358"/>
      <c r="AT16" s="2359"/>
      <c r="AU16" s="656"/>
    </row>
    <row r="17" spans="2:47" ht="24.75" customHeight="1" x14ac:dyDescent="0.15">
      <c r="B17" s="2383" t="s">
        <v>217</v>
      </c>
      <c r="C17" s="2385" t="s">
        <v>189</v>
      </c>
      <c r="D17" s="2386"/>
      <c r="E17" s="613"/>
      <c r="F17" s="614"/>
      <c r="G17" s="614"/>
      <c r="H17" s="615"/>
      <c r="I17" s="615"/>
      <c r="J17" s="615"/>
      <c r="K17" s="615"/>
      <c r="L17" s="1152"/>
      <c r="M17" s="1153"/>
      <c r="N17" s="1153"/>
      <c r="O17" s="1153"/>
      <c r="P17" s="1153"/>
      <c r="Q17" s="1153"/>
      <c r="R17" s="1153"/>
      <c r="S17" s="1153"/>
      <c r="T17" s="1153"/>
      <c r="U17" s="1154"/>
      <c r="V17" s="1153"/>
      <c r="W17" s="1153"/>
      <c r="X17" s="1153"/>
      <c r="Y17" s="1153"/>
      <c r="Z17" s="1153"/>
      <c r="AA17" s="1153"/>
      <c r="AB17" s="1153"/>
      <c r="AC17" s="1153"/>
      <c r="AD17" s="1153"/>
      <c r="AE17" s="1153"/>
      <c r="AF17" s="1153"/>
      <c r="AG17" s="1153"/>
      <c r="AH17" s="1153"/>
      <c r="AI17" s="1153"/>
      <c r="AJ17" s="126"/>
      <c r="AK17" s="125"/>
      <c r="AL17" s="123"/>
      <c r="AM17" s="2368" t="str">
        <f>IF(AND(入力ページ!F21&lt;&gt;0,入力ページ!$F$24="生活館"),"○","")</f>
        <v/>
      </c>
      <c r="AN17" s="2317" t="s">
        <v>226</v>
      </c>
      <c r="AO17" s="2318"/>
      <c r="AP17" s="2265"/>
      <c r="AQ17" s="2266"/>
      <c r="AR17" s="2300" t="s">
        <v>136</v>
      </c>
      <c r="AS17" s="2301"/>
      <c r="AT17" s="129" t="s">
        <v>188</v>
      </c>
      <c r="AU17" s="657"/>
    </row>
    <row r="18" spans="2:47" ht="12" customHeight="1" x14ac:dyDescent="0.15">
      <c r="B18" s="2384"/>
      <c r="C18" s="2387"/>
      <c r="D18" s="2388"/>
      <c r="E18" s="2391"/>
      <c r="F18" s="2323"/>
      <c r="G18" s="2323"/>
      <c r="H18" s="2323"/>
      <c r="I18" s="2323"/>
      <c r="J18" s="2323"/>
      <c r="K18" s="2392"/>
      <c r="L18" s="2348"/>
      <c r="M18" s="2259"/>
      <c r="N18" s="2259"/>
      <c r="O18" s="2259"/>
      <c r="P18" s="2259"/>
      <c r="Q18" s="2259"/>
      <c r="R18" s="2259"/>
      <c r="S18" s="2259"/>
      <c r="T18" s="2325"/>
      <c r="U18" s="2327"/>
      <c r="V18" s="2259"/>
      <c r="W18" s="2259"/>
      <c r="X18" s="2259"/>
      <c r="Y18" s="2259"/>
      <c r="Z18" s="2259"/>
      <c r="AA18" s="2259"/>
      <c r="AB18" s="2259"/>
      <c r="AC18" s="2259"/>
      <c r="AD18" s="2259"/>
      <c r="AE18" s="2259"/>
      <c r="AF18" s="2259"/>
      <c r="AG18" s="2259"/>
      <c r="AH18" s="2259"/>
      <c r="AI18" s="2366"/>
      <c r="AJ18" s="2352"/>
      <c r="AK18" s="2365" t="s">
        <v>187</v>
      </c>
      <c r="AL18" s="2353"/>
      <c r="AM18" s="2369"/>
      <c r="AN18" s="2319"/>
      <c r="AO18" s="2320"/>
      <c r="AP18" s="2267" t="s">
        <v>186</v>
      </c>
      <c r="AQ18" s="2268"/>
      <c r="AR18" s="2435"/>
      <c r="AS18" s="2436"/>
      <c r="AT18" s="2433"/>
      <c r="AU18" s="657"/>
    </row>
    <row r="19" spans="2:47" ht="12.75" customHeight="1" x14ac:dyDescent="0.15">
      <c r="B19" s="2384"/>
      <c r="C19" s="2387"/>
      <c r="D19" s="2388"/>
      <c r="E19" s="2391"/>
      <c r="F19" s="2323"/>
      <c r="G19" s="2323"/>
      <c r="H19" s="2323"/>
      <c r="I19" s="2323"/>
      <c r="J19" s="2323"/>
      <c r="K19" s="2392"/>
      <c r="L19" s="2348"/>
      <c r="M19" s="2259"/>
      <c r="N19" s="2259"/>
      <c r="O19" s="2259"/>
      <c r="P19" s="2259"/>
      <c r="Q19" s="2259"/>
      <c r="R19" s="2259"/>
      <c r="S19" s="2259"/>
      <c r="T19" s="2325"/>
      <c r="U19" s="2327"/>
      <c r="V19" s="2259"/>
      <c r="W19" s="2259"/>
      <c r="X19" s="2259"/>
      <c r="Y19" s="2259"/>
      <c r="Z19" s="2259"/>
      <c r="AA19" s="2259"/>
      <c r="AB19" s="2259"/>
      <c r="AC19" s="2259"/>
      <c r="AD19" s="2259"/>
      <c r="AE19" s="2259"/>
      <c r="AF19" s="2259"/>
      <c r="AG19" s="2259"/>
      <c r="AH19" s="2259"/>
      <c r="AI19" s="2366"/>
      <c r="AJ19" s="2352"/>
      <c r="AK19" s="2365"/>
      <c r="AL19" s="2353"/>
      <c r="AM19" s="2370"/>
      <c r="AN19" s="2321"/>
      <c r="AO19" s="2322"/>
      <c r="AP19" s="2269"/>
      <c r="AQ19" s="2270"/>
      <c r="AR19" s="2437"/>
      <c r="AS19" s="2438"/>
      <c r="AT19" s="2434"/>
      <c r="AU19" s="657"/>
    </row>
    <row r="20" spans="2:47" ht="12.75" customHeight="1" x14ac:dyDescent="0.15">
      <c r="B20" s="2384"/>
      <c r="C20" s="2387"/>
      <c r="D20" s="2388"/>
      <c r="E20" s="2391"/>
      <c r="F20" s="2323"/>
      <c r="G20" s="2323"/>
      <c r="H20" s="2323"/>
      <c r="I20" s="2323"/>
      <c r="J20" s="2323"/>
      <c r="K20" s="2392"/>
      <c r="L20" s="2348"/>
      <c r="M20" s="2259"/>
      <c r="N20" s="2259"/>
      <c r="O20" s="2259"/>
      <c r="P20" s="2259"/>
      <c r="Q20" s="2259"/>
      <c r="R20" s="2259"/>
      <c r="S20" s="2259"/>
      <c r="T20" s="2325"/>
      <c r="U20" s="2327"/>
      <c r="V20" s="2259"/>
      <c r="W20" s="2259"/>
      <c r="X20" s="2259"/>
      <c r="Y20" s="2259"/>
      <c r="Z20" s="2259"/>
      <c r="AA20" s="2259"/>
      <c r="AB20" s="2259"/>
      <c r="AC20" s="2259"/>
      <c r="AD20" s="2259"/>
      <c r="AE20" s="2259"/>
      <c r="AF20" s="2259"/>
      <c r="AG20" s="2259"/>
      <c r="AH20" s="2259"/>
      <c r="AI20" s="2366"/>
      <c r="AJ20" s="2352"/>
      <c r="AK20" s="2365"/>
      <c r="AL20" s="2353"/>
      <c r="AM20" s="2368" t="str">
        <f>IF(AND(入力ページ!F21&lt;&gt;0,入力ページ!$F$24="ロッジ"),"○","")</f>
        <v/>
      </c>
      <c r="AN20" s="2317" t="s">
        <v>225</v>
      </c>
      <c r="AO20" s="2318"/>
      <c r="AP20" s="2267" t="s">
        <v>185</v>
      </c>
      <c r="AQ20" s="2268"/>
      <c r="AR20" s="2292" t="str">
        <f>IF(AND(入力ページ!Z26&lt;&gt;"",SUM(入力ページ!H71:J74)&gt;=1),"○",IF(AND(入力ページ!Z26&lt;&gt;"",SUM(入力ページ!H71:J74)=0),"-",""))</f>
        <v/>
      </c>
      <c r="AS20" s="2293"/>
      <c r="AT20" s="2298" t="str">
        <f>IF(AND(入力ページ!Z26&lt;&gt;"",SUM(入力ページ!H75)&gt;=1),"○",IF(入力ページ!Z26&lt;&gt;"","-",""))</f>
        <v/>
      </c>
      <c r="AU20" s="658"/>
    </row>
    <row r="21" spans="2:47" ht="12" customHeight="1" x14ac:dyDescent="0.15">
      <c r="B21" s="2384"/>
      <c r="C21" s="2389"/>
      <c r="D21" s="2390"/>
      <c r="E21" s="2400"/>
      <c r="F21" s="2324"/>
      <c r="G21" s="2324"/>
      <c r="H21" s="2324"/>
      <c r="I21" s="2324"/>
      <c r="J21" s="2324"/>
      <c r="K21" s="2431"/>
      <c r="L21" s="2349"/>
      <c r="M21" s="2260"/>
      <c r="N21" s="2260"/>
      <c r="O21" s="2260"/>
      <c r="P21" s="2260"/>
      <c r="Q21" s="2260"/>
      <c r="R21" s="2260"/>
      <c r="S21" s="2260"/>
      <c r="T21" s="2326"/>
      <c r="U21" s="2328"/>
      <c r="V21" s="2260"/>
      <c r="W21" s="2260"/>
      <c r="X21" s="2260"/>
      <c r="Y21" s="2260"/>
      <c r="Z21" s="2260"/>
      <c r="AA21" s="2260"/>
      <c r="AB21" s="2260"/>
      <c r="AC21" s="2260"/>
      <c r="AD21" s="2260"/>
      <c r="AE21" s="2260"/>
      <c r="AF21" s="2260"/>
      <c r="AG21" s="2260"/>
      <c r="AH21" s="2260"/>
      <c r="AI21" s="2367"/>
      <c r="AJ21" s="2352"/>
      <c r="AK21" s="2365"/>
      <c r="AL21" s="2353"/>
      <c r="AM21" s="2369"/>
      <c r="AN21" s="2319"/>
      <c r="AO21" s="2320"/>
      <c r="AP21" s="2269"/>
      <c r="AQ21" s="2270"/>
      <c r="AR21" s="2294"/>
      <c r="AS21" s="2295"/>
      <c r="AT21" s="2299"/>
      <c r="AU21" s="658"/>
    </row>
    <row r="22" spans="2:47" ht="24.95" customHeight="1" x14ac:dyDescent="0.15">
      <c r="B22" s="606" t="str">
        <f>入力ページ!I65</f>
        <v/>
      </c>
      <c r="C22" s="2331" t="s">
        <v>184</v>
      </c>
      <c r="D22" s="2332"/>
      <c r="E22" s="616"/>
      <c r="F22" s="617"/>
      <c r="G22" s="617"/>
      <c r="H22" s="617"/>
      <c r="I22" s="617"/>
      <c r="J22" s="617"/>
      <c r="K22" s="617"/>
      <c r="L22" s="1155"/>
      <c r="M22" s="1156"/>
      <c r="N22" s="1156"/>
      <c r="O22" s="1156"/>
      <c r="P22" s="1156"/>
      <c r="Q22" s="1156"/>
      <c r="R22" s="1156"/>
      <c r="S22" s="1156"/>
      <c r="T22" s="1156"/>
      <c r="U22" s="1157"/>
      <c r="V22" s="1156"/>
      <c r="W22" s="1156"/>
      <c r="X22" s="1156"/>
      <c r="Y22" s="1156"/>
      <c r="Z22" s="1156"/>
      <c r="AA22" s="1156"/>
      <c r="AB22" s="1156"/>
      <c r="AC22" s="1156"/>
      <c r="AD22" s="1156"/>
      <c r="AE22" s="1156"/>
      <c r="AF22" s="1156"/>
      <c r="AG22" s="1156"/>
      <c r="AH22" s="1156"/>
      <c r="AI22" s="1156"/>
      <c r="AJ22" s="124"/>
      <c r="AK22" s="2365"/>
      <c r="AL22" s="123"/>
      <c r="AM22" s="2370"/>
      <c r="AN22" s="2321"/>
      <c r="AO22" s="2322"/>
      <c r="AP22" s="2300" t="s">
        <v>183</v>
      </c>
      <c r="AQ22" s="2301"/>
      <c r="AR22" s="2302" t="str">
        <f>IF(AND(入力ページ!Z27&lt;&gt;"",SUM(入力ページ!H76:J79)&gt;=1),"○",IF(AND(入力ページ!Z27&lt;&gt;"",SUM(入力ページ!H76:J79)=0),"-",""))</f>
        <v/>
      </c>
      <c r="AS22" s="2303"/>
      <c r="AT22" s="611" t="str">
        <f>IF(AND(入力ページ!Z27&lt;&gt;"",SUM(入力ページ!H80)&gt;=1),"○",IF(入力ページ!Z27&lt;&gt;"","-",""))</f>
        <v/>
      </c>
      <c r="AU22" s="658"/>
    </row>
    <row r="23" spans="2:47" ht="24.95" customHeight="1" x14ac:dyDescent="0.15">
      <c r="B23" s="607" t="s">
        <v>0</v>
      </c>
      <c r="C23" s="2331" t="s">
        <v>182</v>
      </c>
      <c r="D23" s="2332"/>
      <c r="E23" s="616"/>
      <c r="F23" s="617"/>
      <c r="G23" s="617"/>
      <c r="H23" s="617"/>
      <c r="I23" s="617"/>
      <c r="J23" s="617"/>
      <c r="K23" s="617"/>
      <c r="L23" s="1155"/>
      <c r="M23" s="1156"/>
      <c r="N23" s="1156"/>
      <c r="O23" s="1156"/>
      <c r="P23" s="1156"/>
      <c r="Q23" s="1156"/>
      <c r="R23" s="1156"/>
      <c r="S23" s="1156"/>
      <c r="T23" s="1156"/>
      <c r="U23" s="1157"/>
      <c r="V23" s="1156"/>
      <c r="W23" s="1156"/>
      <c r="X23" s="1156"/>
      <c r="Y23" s="1156"/>
      <c r="Z23" s="1156"/>
      <c r="AA23" s="1156"/>
      <c r="AB23" s="1156"/>
      <c r="AC23" s="1156"/>
      <c r="AD23" s="1156"/>
      <c r="AE23" s="1156"/>
      <c r="AF23" s="1156"/>
      <c r="AG23" s="1156"/>
      <c r="AH23" s="1156"/>
      <c r="AI23" s="1156"/>
      <c r="AJ23" s="124"/>
      <c r="AK23" s="2365"/>
      <c r="AL23" s="123"/>
      <c r="AM23" s="2333" t="s">
        <v>492</v>
      </c>
      <c r="AN23" s="2333"/>
      <c r="AO23" s="2334"/>
      <c r="AP23" s="2337" t="s">
        <v>181</v>
      </c>
      <c r="AQ23" s="2338"/>
      <c r="AR23" s="2338"/>
      <c r="AS23" s="2338"/>
      <c r="AT23" s="2339"/>
      <c r="AU23" s="623"/>
    </row>
    <row r="24" spans="2:47" ht="24.95" customHeight="1" thickBot="1" x14ac:dyDescent="0.2">
      <c r="B24" s="608" t="str">
        <f>入力ページ!I65</f>
        <v/>
      </c>
      <c r="C24" s="2340" t="s">
        <v>278</v>
      </c>
      <c r="D24" s="2341"/>
      <c r="E24" s="618"/>
      <c r="F24" s="615"/>
      <c r="G24" s="615"/>
      <c r="H24" s="615"/>
      <c r="I24" s="615"/>
      <c r="J24" s="615"/>
      <c r="K24" s="615"/>
      <c r="L24" s="1152"/>
      <c r="M24" s="1153"/>
      <c r="N24" s="1153"/>
      <c r="O24" s="1153"/>
      <c r="P24" s="1153"/>
      <c r="Q24" s="1153"/>
      <c r="R24" s="1153"/>
      <c r="S24" s="1153"/>
      <c r="T24" s="1153"/>
      <c r="U24" s="1154"/>
      <c r="V24" s="1153"/>
      <c r="W24" s="1153"/>
      <c r="X24" s="1153"/>
      <c r="Y24" s="1153"/>
      <c r="Z24" s="1153"/>
      <c r="AA24" s="1153"/>
      <c r="AB24" s="1153"/>
      <c r="AC24" s="1153"/>
      <c r="AD24" s="1153"/>
      <c r="AE24" s="1153"/>
      <c r="AF24" s="1153"/>
      <c r="AG24" s="1153"/>
      <c r="AH24" s="1153"/>
      <c r="AI24" s="1153"/>
      <c r="AJ24" s="124"/>
      <c r="AK24" s="2365"/>
      <c r="AL24" s="123"/>
      <c r="AM24" s="2333"/>
      <c r="AN24" s="2333"/>
      <c r="AO24" s="2334"/>
      <c r="AP24" s="2271" t="s">
        <v>180</v>
      </c>
      <c r="AQ24" s="2272"/>
      <c r="AR24" s="2272"/>
      <c r="AS24" s="2272"/>
      <c r="AT24" s="2273"/>
      <c r="AU24" s="623"/>
    </row>
    <row r="25" spans="2:47" ht="30" customHeight="1" thickTop="1" x14ac:dyDescent="0.15">
      <c r="B25" s="135" t="s">
        <v>1</v>
      </c>
      <c r="C25" s="2342" t="s">
        <v>179</v>
      </c>
      <c r="D25" s="2343"/>
      <c r="E25" s="619"/>
      <c r="F25" s="620"/>
      <c r="G25" s="620"/>
      <c r="H25" s="620"/>
      <c r="I25" s="620"/>
      <c r="J25" s="620"/>
      <c r="K25" s="620"/>
      <c r="L25" s="1158"/>
      <c r="M25" s="1159"/>
      <c r="N25" s="1159"/>
      <c r="O25" s="1159"/>
      <c r="P25" s="1159"/>
      <c r="Q25" s="1159"/>
      <c r="R25" s="1159"/>
      <c r="S25" s="1159"/>
      <c r="T25" s="1159"/>
      <c r="U25" s="1160"/>
      <c r="V25" s="1159"/>
      <c r="W25" s="1159"/>
      <c r="X25" s="1159"/>
      <c r="Y25" s="1159"/>
      <c r="Z25" s="1159"/>
      <c r="AA25" s="1159"/>
      <c r="AB25" s="1159"/>
      <c r="AC25" s="1159"/>
      <c r="AD25" s="1159"/>
      <c r="AE25" s="1159"/>
      <c r="AF25" s="1159"/>
      <c r="AG25" s="1159"/>
      <c r="AH25" s="1159"/>
      <c r="AI25" s="1159"/>
      <c r="AJ25" s="124"/>
      <c r="AK25" s="2365"/>
      <c r="AL25" s="123"/>
      <c r="AM25" s="2333"/>
      <c r="AN25" s="2333"/>
      <c r="AO25" s="2334"/>
      <c r="AP25" s="2274" t="s">
        <v>493</v>
      </c>
      <c r="AQ25" s="2275"/>
      <c r="AR25" s="2275"/>
      <c r="AS25" s="2275"/>
      <c r="AT25" s="2276"/>
      <c r="AU25" s="624"/>
    </row>
    <row r="26" spans="2:47" ht="27" customHeight="1" x14ac:dyDescent="0.15">
      <c r="B26" s="136" t="s">
        <v>218</v>
      </c>
      <c r="C26" s="2344"/>
      <c r="D26" s="2345"/>
      <c r="E26" s="621"/>
      <c r="F26" s="622"/>
      <c r="G26" s="622"/>
      <c r="H26" s="622"/>
      <c r="I26" s="622"/>
      <c r="J26" s="622"/>
      <c r="K26" s="622"/>
      <c r="L26" s="1161"/>
      <c r="M26" s="1162"/>
      <c r="N26" s="1162"/>
      <c r="O26" s="1162"/>
      <c r="P26" s="1162"/>
      <c r="Q26" s="1162"/>
      <c r="R26" s="1162"/>
      <c r="S26" s="1162"/>
      <c r="T26" s="1162"/>
      <c r="U26" s="1163"/>
      <c r="V26" s="1162"/>
      <c r="W26" s="1162"/>
      <c r="X26" s="1162"/>
      <c r="Y26" s="1162"/>
      <c r="Z26" s="1162"/>
      <c r="AA26" s="1162"/>
      <c r="AB26" s="1162"/>
      <c r="AC26" s="1162"/>
      <c r="AD26" s="1162"/>
      <c r="AE26" s="1162"/>
      <c r="AF26" s="1162"/>
      <c r="AG26" s="1162"/>
      <c r="AH26" s="1162"/>
      <c r="AI26" s="1162"/>
      <c r="AJ26" s="122"/>
      <c r="AK26" s="121"/>
      <c r="AL26" s="120"/>
      <c r="AM26" s="2335"/>
      <c r="AN26" s="2335"/>
      <c r="AO26" s="2336"/>
      <c r="AP26" s="2277"/>
      <c r="AQ26" s="2278"/>
      <c r="AR26" s="2278"/>
      <c r="AS26" s="2278"/>
      <c r="AT26" s="2279"/>
      <c r="AU26" s="624"/>
    </row>
    <row r="27" spans="2:47" ht="21" customHeight="1" x14ac:dyDescent="0.15">
      <c r="B27" s="2398" t="s">
        <v>62</v>
      </c>
      <c r="C27" s="2372" t="s">
        <v>192</v>
      </c>
      <c r="D27" s="2372"/>
      <c r="E27" s="2374">
        <v>6</v>
      </c>
      <c r="F27" s="2354"/>
      <c r="G27" s="2354">
        <v>7</v>
      </c>
      <c r="H27" s="2354"/>
      <c r="I27" s="2371">
        <v>8</v>
      </c>
      <c r="J27" s="2371"/>
      <c r="K27" s="2371">
        <v>9</v>
      </c>
      <c r="L27" s="2371"/>
      <c r="M27" s="2371">
        <v>10</v>
      </c>
      <c r="N27" s="2371"/>
      <c r="O27" s="2371">
        <v>11</v>
      </c>
      <c r="P27" s="2371"/>
      <c r="Q27" s="2371">
        <v>12</v>
      </c>
      <c r="R27" s="2371"/>
      <c r="S27" s="2371">
        <v>13</v>
      </c>
      <c r="T27" s="2371"/>
      <c r="U27" s="2371">
        <v>14</v>
      </c>
      <c r="V27" s="2371"/>
      <c r="W27" s="2371">
        <v>15</v>
      </c>
      <c r="X27" s="2371"/>
      <c r="Y27" s="2371">
        <v>16</v>
      </c>
      <c r="Z27" s="2371"/>
      <c r="AA27" s="2371">
        <v>17</v>
      </c>
      <c r="AB27" s="2371"/>
      <c r="AC27" s="2371">
        <v>18</v>
      </c>
      <c r="AD27" s="2371"/>
      <c r="AE27" s="2371">
        <v>19</v>
      </c>
      <c r="AF27" s="2371"/>
      <c r="AG27" s="2371">
        <v>20</v>
      </c>
      <c r="AH27" s="2371"/>
      <c r="AI27" s="2371">
        <v>21</v>
      </c>
      <c r="AJ27" s="2371"/>
      <c r="AK27" s="2354">
        <v>22</v>
      </c>
      <c r="AL27" s="2355"/>
      <c r="AM27" s="2356" t="s">
        <v>191</v>
      </c>
      <c r="AN27" s="2356"/>
      <c r="AO27" s="2357"/>
      <c r="AP27" s="2360" t="s">
        <v>190</v>
      </c>
      <c r="AQ27" s="2356"/>
      <c r="AR27" s="2356"/>
      <c r="AS27" s="2356"/>
      <c r="AT27" s="2357"/>
      <c r="AU27" s="656"/>
    </row>
    <row r="28" spans="2:47" ht="9.75" customHeight="1" x14ac:dyDescent="0.15">
      <c r="B28" s="2399"/>
      <c r="C28" s="2373"/>
      <c r="D28" s="2373"/>
      <c r="E28" s="120"/>
      <c r="F28" s="121"/>
      <c r="G28" s="120"/>
      <c r="H28" s="121"/>
      <c r="I28" s="123"/>
      <c r="J28" s="2362">
        <v>35</v>
      </c>
      <c r="K28" s="2363"/>
      <c r="L28" s="113"/>
      <c r="M28" s="123"/>
      <c r="N28" s="113"/>
      <c r="O28" s="123"/>
      <c r="P28" s="113"/>
      <c r="Q28" s="123"/>
      <c r="R28" s="113"/>
      <c r="S28" s="123"/>
      <c r="T28" s="113"/>
      <c r="U28" s="123"/>
      <c r="V28" s="113"/>
      <c r="W28" s="123"/>
      <c r="X28" s="113"/>
      <c r="Y28" s="123"/>
      <c r="Z28" s="113"/>
      <c r="AA28" s="123"/>
      <c r="AB28" s="113"/>
      <c r="AC28" s="123"/>
      <c r="AD28" s="113"/>
      <c r="AE28" s="123"/>
      <c r="AF28" s="113"/>
      <c r="AG28" s="123"/>
      <c r="AH28" s="113"/>
      <c r="AI28" s="123"/>
      <c r="AJ28" s="113"/>
      <c r="AK28" s="120"/>
      <c r="AL28" s="120"/>
      <c r="AM28" s="2358"/>
      <c r="AN28" s="2358"/>
      <c r="AO28" s="2359"/>
      <c r="AP28" s="2361"/>
      <c r="AQ28" s="2358"/>
      <c r="AR28" s="2358"/>
      <c r="AS28" s="2358"/>
      <c r="AT28" s="2359"/>
      <c r="AU28" s="656"/>
    </row>
    <row r="29" spans="2:47" ht="24.75" customHeight="1" x14ac:dyDescent="0.15">
      <c r="B29" s="2383" t="s">
        <v>219</v>
      </c>
      <c r="C29" s="2385" t="s">
        <v>189</v>
      </c>
      <c r="D29" s="2386"/>
      <c r="E29" s="1164"/>
      <c r="F29" s="1165"/>
      <c r="G29" s="1165"/>
      <c r="H29" s="1153"/>
      <c r="I29" s="1153"/>
      <c r="J29" s="1153"/>
      <c r="K29" s="1153"/>
      <c r="L29" s="1152"/>
      <c r="M29" s="1153"/>
      <c r="N29" s="1153"/>
      <c r="O29" s="1153"/>
      <c r="P29" s="1153"/>
      <c r="Q29" s="1153"/>
      <c r="R29" s="1153"/>
      <c r="S29" s="1153"/>
      <c r="T29" s="1153"/>
      <c r="U29" s="1154"/>
      <c r="V29" s="1153"/>
      <c r="W29" s="1153"/>
      <c r="X29" s="1153"/>
      <c r="Y29" s="1153"/>
      <c r="Z29" s="1153"/>
      <c r="AA29" s="1153"/>
      <c r="AB29" s="1153"/>
      <c r="AC29" s="1153"/>
      <c r="AD29" s="1153"/>
      <c r="AE29" s="1153"/>
      <c r="AF29" s="1153"/>
      <c r="AG29" s="1153"/>
      <c r="AH29" s="1153"/>
      <c r="AI29" s="1153"/>
      <c r="AJ29" s="126"/>
      <c r="AK29" s="125"/>
      <c r="AL29" s="123"/>
      <c r="AM29" s="2368" t="str">
        <f>IF(AND(入力ページ!F21&gt;=2,入力ページ!$F$24="生活館"),"○","")</f>
        <v/>
      </c>
      <c r="AN29" s="2317" t="s">
        <v>226</v>
      </c>
      <c r="AO29" s="2318"/>
      <c r="AP29" s="2265"/>
      <c r="AQ29" s="2266"/>
      <c r="AR29" s="2300" t="s">
        <v>136</v>
      </c>
      <c r="AS29" s="2301"/>
      <c r="AT29" s="129" t="s">
        <v>188</v>
      </c>
      <c r="AU29" s="657"/>
    </row>
    <row r="30" spans="2:47" ht="12" customHeight="1" x14ac:dyDescent="0.15">
      <c r="B30" s="2384"/>
      <c r="C30" s="2387"/>
      <c r="D30" s="2388"/>
      <c r="E30" s="2312"/>
      <c r="F30" s="2259"/>
      <c r="G30" s="2259"/>
      <c r="H30" s="2259"/>
      <c r="I30" s="2259"/>
      <c r="J30" s="2259"/>
      <c r="K30" s="2346"/>
      <c r="L30" s="2348"/>
      <c r="M30" s="2259"/>
      <c r="N30" s="2259"/>
      <c r="O30" s="2259"/>
      <c r="P30" s="2259"/>
      <c r="Q30" s="2259"/>
      <c r="R30" s="2259"/>
      <c r="S30" s="2259"/>
      <c r="T30" s="2325"/>
      <c r="U30" s="2327"/>
      <c r="V30" s="2259"/>
      <c r="W30" s="2259"/>
      <c r="X30" s="2259"/>
      <c r="Y30" s="2259"/>
      <c r="Z30" s="2259"/>
      <c r="AA30" s="2259"/>
      <c r="AB30" s="2259"/>
      <c r="AC30" s="2259"/>
      <c r="AD30" s="2259"/>
      <c r="AE30" s="2259"/>
      <c r="AF30" s="2259"/>
      <c r="AG30" s="2259"/>
      <c r="AH30" s="2259"/>
      <c r="AI30" s="2366"/>
      <c r="AJ30" s="2352"/>
      <c r="AK30" s="2365" t="s">
        <v>187</v>
      </c>
      <c r="AL30" s="2353"/>
      <c r="AM30" s="2369"/>
      <c r="AN30" s="2319"/>
      <c r="AO30" s="2320"/>
      <c r="AP30" s="2267" t="s">
        <v>186</v>
      </c>
      <c r="AQ30" s="2268"/>
      <c r="AR30" s="2292" t="str">
        <f>IF(AND(入力ページ!AA25&lt;&gt;"",SUM(入力ページ!L67:N70)&gt;=1),"○",IF(AND(入力ページ!AA25&lt;&gt;"",SUM(入力ページ!L67:N70)=0),"-",""))</f>
        <v/>
      </c>
      <c r="AS30" s="2293"/>
      <c r="AT30" s="2296"/>
      <c r="AU30" s="659"/>
    </row>
    <row r="31" spans="2:47" ht="12.75" customHeight="1" x14ac:dyDescent="0.15">
      <c r="B31" s="2384"/>
      <c r="C31" s="2387"/>
      <c r="D31" s="2388"/>
      <c r="E31" s="2312"/>
      <c r="F31" s="2259"/>
      <c r="G31" s="2259"/>
      <c r="H31" s="2259"/>
      <c r="I31" s="2259"/>
      <c r="J31" s="2259"/>
      <c r="K31" s="2346"/>
      <c r="L31" s="2348"/>
      <c r="M31" s="2259"/>
      <c r="N31" s="2259"/>
      <c r="O31" s="2259"/>
      <c r="P31" s="2259"/>
      <c r="Q31" s="2259"/>
      <c r="R31" s="2259"/>
      <c r="S31" s="2259"/>
      <c r="T31" s="2325"/>
      <c r="U31" s="2327"/>
      <c r="V31" s="2259"/>
      <c r="W31" s="2259"/>
      <c r="X31" s="2259"/>
      <c r="Y31" s="2259"/>
      <c r="Z31" s="2259"/>
      <c r="AA31" s="2259"/>
      <c r="AB31" s="2259"/>
      <c r="AC31" s="2259"/>
      <c r="AD31" s="2259"/>
      <c r="AE31" s="2259"/>
      <c r="AF31" s="2259"/>
      <c r="AG31" s="2259"/>
      <c r="AH31" s="2259"/>
      <c r="AI31" s="2366"/>
      <c r="AJ31" s="2352"/>
      <c r="AK31" s="2365"/>
      <c r="AL31" s="2353"/>
      <c r="AM31" s="2370"/>
      <c r="AN31" s="2321"/>
      <c r="AO31" s="2322"/>
      <c r="AP31" s="2269"/>
      <c r="AQ31" s="2270"/>
      <c r="AR31" s="2294"/>
      <c r="AS31" s="2295"/>
      <c r="AT31" s="2297"/>
      <c r="AU31" s="659"/>
    </row>
    <row r="32" spans="2:47" ht="12.75" customHeight="1" x14ac:dyDescent="0.15">
      <c r="B32" s="2384"/>
      <c r="C32" s="2387"/>
      <c r="D32" s="2388"/>
      <c r="E32" s="2312"/>
      <c r="F32" s="2259"/>
      <c r="G32" s="2259"/>
      <c r="H32" s="2259"/>
      <c r="I32" s="2259"/>
      <c r="J32" s="2259"/>
      <c r="K32" s="2346"/>
      <c r="L32" s="2348"/>
      <c r="M32" s="2259"/>
      <c r="N32" s="2259"/>
      <c r="O32" s="2259"/>
      <c r="P32" s="2259"/>
      <c r="Q32" s="2259"/>
      <c r="R32" s="2259"/>
      <c r="S32" s="2259"/>
      <c r="T32" s="2325"/>
      <c r="U32" s="2327"/>
      <c r="V32" s="2259"/>
      <c r="W32" s="2259"/>
      <c r="X32" s="2259"/>
      <c r="Y32" s="2259"/>
      <c r="Z32" s="2259"/>
      <c r="AA32" s="2259"/>
      <c r="AB32" s="2259"/>
      <c r="AC32" s="2259"/>
      <c r="AD32" s="2259"/>
      <c r="AE32" s="2259"/>
      <c r="AF32" s="2259"/>
      <c r="AG32" s="2259"/>
      <c r="AH32" s="2259"/>
      <c r="AI32" s="2366"/>
      <c r="AJ32" s="2352"/>
      <c r="AK32" s="2365"/>
      <c r="AL32" s="2353"/>
      <c r="AM32" s="2368" t="str">
        <f>IF(AND(入力ページ!F21&gt;=2,入力ページ!$F$24="ロッジ"),"○","")</f>
        <v/>
      </c>
      <c r="AN32" s="2317" t="s">
        <v>225</v>
      </c>
      <c r="AO32" s="2318"/>
      <c r="AP32" s="2267" t="s">
        <v>185</v>
      </c>
      <c r="AQ32" s="2268"/>
      <c r="AR32" s="2292" t="str">
        <f>IF(AND(入力ページ!AA26&lt;&gt;"",SUM(入力ページ!L71:N74)&gt;=1),"○",IF(AND(入力ページ!AA26&lt;&gt;"",SUM(入力ページ!L71:N74)=0),"-",""))</f>
        <v/>
      </c>
      <c r="AS32" s="2293"/>
      <c r="AT32" s="2298" t="str">
        <f>IF(AND(入力ページ!AA26&lt;&gt;"",SUM(入力ページ!L75)&gt;=1),"○",IF(入力ページ!AA26&lt;&gt;"","-",""))</f>
        <v/>
      </c>
      <c r="AU32" s="658"/>
    </row>
    <row r="33" spans="2:47" ht="12" customHeight="1" x14ac:dyDescent="0.15">
      <c r="B33" s="2384"/>
      <c r="C33" s="2389"/>
      <c r="D33" s="2390"/>
      <c r="E33" s="2313"/>
      <c r="F33" s="2260"/>
      <c r="G33" s="2260"/>
      <c r="H33" s="2260"/>
      <c r="I33" s="2260"/>
      <c r="J33" s="2260"/>
      <c r="K33" s="2347"/>
      <c r="L33" s="2349"/>
      <c r="M33" s="2260"/>
      <c r="N33" s="2260"/>
      <c r="O33" s="2260"/>
      <c r="P33" s="2260"/>
      <c r="Q33" s="2260"/>
      <c r="R33" s="2260"/>
      <c r="S33" s="2260"/>
      <c r="T33" s="2326"/>
      <c r="U33" s="2328"/>
      <c r="V33" s="2260"/>
      <c r="W33" s="2260"/>
      <c r="X33" s="2260"/>
      <c r="Y33" s="2260"/>
      <c r="Z33" s="2260"/>
      <c r="AA33" s="2260"/>
      <c r="AB33" s="2260"/>
      <c r="AC33" s="2260"/>
      <c r="AD33" s="2260"/>
      <c r="AE33" s="2260"/>
      <c r="AF33" s="2260"/>
      <c r="AG33" s="2260"/>
      <c r="AH33" s="2260"/>
      <c r="AI33" s="2367"/>
      <c r="AJ33" s="2352"/>
      <c r="AK33" s="2365"/>
      <c r="AL33" s="2353"/>
      <c r="AM33" s="2369"/>
      <c r="AN33" s="2319"/>
      <c r="AO33" s="2320"/>
      <c r="AP33" s="2269"/>
      <c r="AQ33" s="2270"/>
      <c r="AR33" s="2294"/>
      <c r="AS33" s="2295"/>
      <c r="AT33" s="2299"/>
      <c r="AU33" s="658"/>
    </row>
    <row r="34" spans="2:47" ht="24.95" customHeight="1" x14ac:dyDescent="0.15">
      <c r="B34" s="606" t="str">
        <f>入力ページ!M65</f>
        <v/>
      </c>
      <c r="C34" s="2364" t="s">
        <v>184</v>
      </c>
      <c r="D34" s="2364"/>
      <c r="E34" s="1166"/>
      <c r="F34" s="1156"/>
      <c r="G34" s="1156"/>
      <c r="H34" s="1156"/>
      <c r="I34" s="1156"/>
      <c r="J34" s="1156"/>
      <c r="K34" s="1156"/>
      <c r="L34" s="1155"/>
      <c r="M34" s="1156"/>
      <c r="N34" s="1156"/>
      <c r="O34" s="1156"/>
      <c r="P34" s="1156"/>
      <c r="Q34" s="1156"/>
      <c r="R34" s="1156"/>
      <c r="S34" s="1156"/>
      <c r="T34" s="1156"/>
      <c r="U34" s="1157"/>
      <c r="V34" s="1156"/>
      <c r="W34" s="1156"/>
      <c r="X34" s="1156"/>
      <c r="Y34" s="1156"/>
      <c r="Z34" s="1156"/>
      <c r="AA34" s="1156"/>
      <c r="AB34" s="1156"/>
      <c r="AC34" s="1156"/>
      <c r="AD34" s="1156"/>
      <c r="AE34" s="1156"/>
      <c r="AF34" s="1156"/>
      <c r="AG34" s="1156"/>
      <c r="AH34" s="1156"/>
      <c r="AI34" s="1156"/>
      <c r="AJ34" s="124"/>
      <c r="AK34" s="2365"/>
      <c r="AL34" s="123"/>
      <c r="AM34" s="2370"/>
      <c r="AN34" s="2321"/>
      <c r="AO34" s="2322"/>
      <c r="AP34" s="2300" t="s">
        <v>183</v>
      </c>
      <c r="AQ34" s="2301"/>
      <c r="AR34" s="2302" t="str">
        <f>IF(AND(入力ページ!AA27&lt;&gt;"",SUM(入力ページ!L76:N79)&gt;=1),"○",IF(AND(入力ページ!AA27&lt;&gt;"",SUM(入力ページ!L76:N79)=0),"-",""))</f>
        <v/>
      </c>
      <c r="AS34" s="2303"/>
      <c r="AT34" s="611" t="str">
        <f>IF(AND(入力ページ!AA27&lt;&gt;"",SUM(入力ページ!L80)&gt;=1),"○",IF(入力ページ!AA27&lt;&gt;"","-",""))</f>
        <v/>
      </c>
      <c r="AU34" s="658"/>
    </row>
    <row r="35" spans="2:47" ht="24.95" customHeight="1" x14ac:dyDescent="0.15">
      <c r="B35" s="607" t="s">
        <v>0</v>
      </c>
      <c r="C35" s="2364" t="s">
        <v>182</v>
      </c>
      <c r="D35" s="2364"/>
      <c r="E35" s="1166"/>
      <c r="F35" s="1156"/>
      <c r="G35" s="1156"/>
      <c r="H35" s="1156"/>
      <c r="I35" s="1156"/>
      <c r="J35" s="1156"/>
      <c r="K35" s="1156"/>
      <c r="L35" s="1155"/>
      <c r="M35" s="1156"/>
      <c r="N35" s="1156"/>
      <c r="O35" s="1156"/>
      <c r="P35" s="1156"/>
      <c r="Q35" s="1156"/>
      <c r="R35" s="1156"/>
      <c r="S35" s="1156"/>
      <c r="T35" s="1156"/>
      <c r="U35" s="1157"/>
      <c r="V35" s="1156"/>
      <c r="W35" s="1156"/>
      <c r="X35" s="1156"/>
      <c r="Y35" s="1156"/>
      <c r="Z35" s="1156"/>
      <c r="AA35" s="1156"/>
      <c r="AB35" s="1156"/>
      <c r="AC35" s="1156"/>
      <c r="AD35" s="1156"/>
      <c r="AE35" s="1156"/>
      <c r="AF35" s="1156"/>
      <c r="AG35" s="1156"/>
      <c r="AH35" s="1156"/>
      <c r="AI35" s="1156"/>
      <c r="AJ35" s="124"/>
      <c r="AK35" s="2365"/>
      <c r="AL35" s="123"/>
      <c r="AM35" s="2333" t="s">
        <v>492</v>
      </c>
      <c r="AN35" s="2333"/>
      <c r="AO35" s="2334"/>
      <c r="AP35" s="2337" t="s">
        <v>181</v>
      </c>
      <c r="AQ35" s="2338"/>
      <c r="AR35" s="2338"/>
      <c r="AS35" s="2338"/>
      <c r="AT35" s="2339"/>
      <c r="AU35" s="623"/>
    </row>
    <row r="36" spans="2:47" ht="24.95" customHeight="1" thickBot="1" x14ac:dyDescent="0.2">
      <c r="B36" s="608" t="str">
        <f>入力ページ!M65</f>
        <v/>
      </c>
      <c r="C36" s="2340" t="s">
        <v>278</v>
      </c>
      <c r="D36" s="2341"/>
      <c r="E36" s="1167"/>
      <c r="F36" s="1153"/>
      <c r="G36" s="1153"/>
      <c r="H36" s="1153"/>
      <c r="I36" s="1153"/>
      <c r="J36" s="1153"/>
      <c r="K36" s="1153"/>
      <c r="L36" s="1152"/>
      <c r="M36" s="1153"/>
      <c r="N36" s="1153"/>
      <c r="O36" s="1153"/>
      <c r="P36" s="1153"/>
      <c r="Q36" s="1153"/>
      <c r="R36" s="1153"/>
      <c r="S36" s="1153"/>
      <c r="T36" s="1153"/>
      <c r="U36" s="1154"/>
      <c r="V36" s="1153"/>
      <c r="W36" s="1153"/>
      <c r="X36" s="1153"/>
      <c r="Y36" s="1153"/>
      <c r="Z36" s="1153"/>
      <c r="AA36" s="1153"/>
      <c r="AB36" s="1153"/>
      <c r="AC36" s="1153"/>
      <c r="AD36" s="1153"/>
      <c r="AE36" s="1153"/>
      <c r="AF36" s="1153"/>
      <c r="AG36" s="1153"/>
      <c r="AH36" s="1153"/>
      <c r="AI36" s="1153"/>
      <c r="AJ36" s="124"/>
      <c r="AK36" s="2365"/>
      <c r="AL36" s="123"/>
      <c r="AM36" s="2333"/>
      <c r="AN36" s="2333"/>
      <c r="AO36" s="2334"/>
      <c r="AP36" s="2271" t="s">
        <v>180</v>
      </c>
      <c r="AQ36" s="2272"/>
      <c r="AR36" s="2272"/>
      <c r="AS36" s="2272"/>
      <c r="AT36" s="2273"/>
      <c r="AU36" s="623"/>
    </row>
    <row r="37" spans="2:47" ht="30" customHeight="1" thickTop="1" x14ac:dyDescent="0.15">
      <c r="B37" s="585" t="s">
        <v>1</v>
      </c>
      <c r="C37" s="2342" t="s">
        <v>179</v>
      </c>
      <c r="D37" s="2343"/>
      <c r="E37" s="1168"/>
      <c r="F37" s="1159"/>
      <c r="G37" s="1159"/>
      <c r="H37" s="1159"/>
      <c r="I37" s="1159"/>
      <c r="J37" s="1159"/>
      <c r="K37" s="1159"/>
      <c r="L37" s="1158"/>
      <c r="M37" s="1159"/>
      <c r="N37" s="1159"/>
      <c r="O37" s="1159"/>
      <c r="P37" s="1159"/>
      <c r="Q37" s="1159"/>
      <c r="R37" s="1159"/>
      <c r="S37" s="1159"/>
      <c r="T37" s="1159"/>
      <c r="U37" s="1160"/>
      <c r="V37" s="1159"/>
      <c r="W37" s="1159"/>
      <c r="X37" s="1159"/>
      <c r="Y37" s="1159"/>
      <c r="Z37" s="1159"/>
      <c r="AA37" s="1159"/>
      <c r="AB37" s="1159"/>
      <c r="AC37" s="1159"/>
      <c r="AD37" s="1159"/>
      <c r="AE37" s="1159"/>
      <c r="AF37" s="1159"/>
      <c r="AG37" s="1159"/>
      <c r="AH37" s="1159"/>
      <c r="AI37" s="1159"/>
      <c r="AJ37" s="124"/>
      <c r="AK37" s="2365"/>
      <c r="AL37" s="123"/>
      <c r="AM37" s="2333"/>
      <c r="AN37" s="2333"/>
      <c r="AO37" s="2334"/>
      <c r="AP37" s="2274" t="s">
        <v>493</v>
      </c>
      <c r="AQ37" s="2275"/>
      <c r="AR37" s="2275"/>
      <c r="AS37" s="2275"/>
      <c r="AT37" s="2276"/>
      <c r="AU37" s="624"/>
    </row>
    <row r="38" spans="2:47" ht="30" customHeight="1" x14ac:dyDescent="0.15">
      <c r="B38" s="136" t="s">
        <v>34</v>
      </c>
      <c r="C38" s="2344"/>
      <c r="D38" s="2345"/>
      <c r="E38" s="1169"/>
      <c r="F38" s="1162"/>
      <c r="G38" s="1162"/>
      <c r="H38" s="1162"/>
      <c r="I38" s="1162"/>
      <c r="J38" s="1162"/>
      <c r="K38" s="1162"/>
      <c r="L38" s="1161"/>
      <c r="M38" s="1162"/>
      <c r="N38" s="1162"/>
      <c r="O38" s="1162"/>
      <c r="P38" s="1162"/>
      <c r="Q38" s="1162"/>
      <c r="R38" s="1162"/>
      <c r="S38" s="1162"/>
      <c r="T38" s="1162"/>
      <c r="U38" s="1163"/>
      <c r="V38" s="1162"/>
      <c r="W38" s="1162"/>
      <c r="X38" s="1162"/>
      <c r="Y38" s="1162"/>
      <c r="Z38" s="1162"/>
      <c r="AA38" s="1162"/>
      <c r="AB38" s="1162"/>
      <c r="AC38" s="1162"/>
      <c r="AD38" s="1162"/>
      <c r="AE38" s="1162"/>
      <c r="AF38" s="1162"/>
      <c r="AG38" s="1162"/>
      <c r="AH38" s="1162"/>
      <c r="AI38" s="1162"/>
      <c r="AJ38" s="122"/>
      <c r="AK38" s="121"/>
      <c r="AL38" s="120"/>
      <c r="AM38" s="2335"/>
      <c r="AN38" s="2335"/>
      <c r="AO38" s="2336"/>
      <c r="AP38" s="2277"/>
      <c r="AQ38" s="2278"/>
      <c r="AR38" s="2278"/>
      <c r="AS38" s="2278"/>
      <c r="AT38" s="2279"/>
      <c r="AU38" s="624"/>
    </row>
    <row r="39" spans="2:47" ht="21" customHeight="1" x14ac:dyDescent="0.15">
      <c r="B39" s="2396" t="s">
        <v>62</v>
      </c>
      <c r="C39" s="2397" t="s">
        <v>192</v>
      </c>
      <c r="D39" s="2397"/>
      <c r="E39" s="2374">
        <v>6</v>
      </c>
      <c r="F39" s="2354"/>
      <c r="G39" s="2354">
        <v>7</v>
      </c>
      <c r="H39" s="2354"/>
      <c r="I39" s="2354">
        <v>8</v>
      </c>
      <c r="J39" s="2354"/>
      <c r="K39" s="2354">
        <v>9</v>
      </c>
      <c r="L39" s="2354"/>
      <c r="M39" s="2354">
        <v>10</v>
      </c>
      <c r="N39" s="2354"/>
      <c r="O39" s="2354">
        <v>11</v>
      </c>
      <c r="P39" s="2354"/>
      <c r="Q39" s="2354">
        <v>12</v>
      </c>
      <c r="R39" s="2354"/>
      <c r="S39" s="2354">
        <v>13</v>
      </c>
      <c r="T39" s="2354"/>
      <c r="U39" s="2354">
        <v>14</v>
      </c>
      <c r="V39" s="2354"/>
      <c r="W39" s="2354">
        <v>15</v>
      </c>
      <c r="X39" s="2354"/>
      <c r="Y39" s="2354">
        <v>16</v>
      </c>
      <c r="Z39" s="2354"/>
      <c r="AA39" s="2354">
        <v>17</v>
      </c>
      <c r="AB39" s="2354"/>
      <c r="AC39" s="2354">
        <v>18</v>
      </c>
      <c r="AD39" s="2354"/>
      <c r="AE39" s="2354">
        <v>19</v>
      </c>
      <c r="AF39" s="2354"/>
      <c r="AG39" s="2354">
        <v>20</v>
      </c>
      <c r="AH39" s="2354"/>
      <c r="AI39" s="2354">
        <v>21</v>
      </c>
      <c r="AJ39" s="2354"/>
      <c r="AK39" s="2354">
        <v>22</v>
      </c>
      <c r="AL39" s="2355"/>
      <c r="AM39" s="2356" t="s">
        <v>191</v>
      </c>
      <c r="AN39" s="2356"/>
      <c r="AO39" s="2357"/>
      <c r="AP39" s="2360" t="s">
        <v>190</v>
      </c>
      <c r="AQ39" s="2356"/>
      <c r="AR39" s="2356"/>
      <c r="AS39" s="2356"/>
      <c r="AT39" s="2357"/>
      <c r="AU39" s="656"/>
    </row>
    <row r="40" spans="2:47" ht="9.75" customHeight="1" x14ac:dyDescent="0.15">
      <c r="B40" s="2396"/>
      <c r="C40" s="2397"/>
      <c r="D40" s="2397"/>
      <c r="E40" s="120"/>
      <c r="F40" s="121"/>
      <c r="G40" s="120"/>
      <c r="H40" s="121"/>
      <c r="I40" s="120"/>
      <c r="J40" s="2362">
        <v>35</v>
      </c>
      <c r="K40" s="2363"/>
      <c r="L40" s="121"/>
      <c r="M40" s="120"/>
      <c r="N40" s="121"/>
      <c r="O40" s="120"/>
      <c r="P40" s="121"/>
      <c r="Q40" s="120"/>
      <c r="R40" s="121"/>
      <c r="S40" s="120"/>
      <c r="T40" s="121"/>
      <c r="U40" s="120"/>
      <c r="V40" s="121"/>
      <c r="W40" s="120"/>
      <c r="X40" s="121"/>
      <c r="Y40" s="120"/>
      <c r="Z40" s="121"/>
      <c r="AA40" s="120"/>
      <c r="AB40" s="121"/>
      <c r="AC40" s="120"/>
      <c r="AD40" s="121"/>
      <c r="AE40" s="120"/>
      <c r="AF40" s="121"/>
      <c r="AG40" s="120"/>
      <c r="AH40" s="121"/>
      <c r="AI40" s="120"/>
      <c r="AJ40" s="121"/>
      <c r="AK40" s="120"/>
      <c r="AL40" s="120"/>
      <c r="AM40" s="2358"/>
      <c r="AN40" s="2358"/>
      <c r="AO40" s="2359"/>
      <c r="AP40" s="2361"/>
      <c r="AQ40" s="2358"/>
      <c r="AR40" s="2358"/>
      <c r="AS40" s="2358"/>
      <c r="AT40" s="2359"/>
      <c r="AU40" s="656"/>
    </row>
    <row r="41" spans="2:47" ht="24.95" customHeight="1" x14ac:dyDescent="0.15">
      <c r="B41" s="2383" t="s">
        <v>220</v>
      </c>
      <c r="C41" s="2385" t="s">
        <v>189</v>
      </c>
      <c r="D41" s="2386"/>
      <c r="E41" s="1164"/>
      <c r="F41" s="1165"/>
      <c r="G41" s="1165"/>
      <c r="H41" s="1153"/>
      <c r="I41" s="1153"/>
      <c r="J41" s="1153"/>
      <c r="K41" s="1153"/>
      <c r="L41" s="1152"/>
      <c r="M41" s="1153"/>
      <c r="N41" s="1153"/>
      <c r="O41" s="1153"/>
      <c r="P41" s="1153"/>
      <c r="Q41" s="1153"/>
      <c r="R41" s="1153"/>
      <c r="S41" s="1153"/>
      <c r="T41" s="1153"/>
      <c r="U41" s="1154"/>
      <c r="V41" s="1153"/>
      <c r="W41" s="1153"/>
      <c r="X41" s="1153"/>
      <c r="Y41" s="1153"/>
      <c r="Z41" s="1153"/>
      <c r="AA41" s="1153"/>
      <c r="AB41" s="1153"/>
      <c r="AC41" s="1153"/>
      <c r="AD41" s="1153"/>
      <c r="AE41" s="1153"/>
      <c r="AF41" s="1153"/>
      <c r="AG41" s="1153"/>
      <c r="AH41" s="1153"/>
      <c r="AI41" s="1153"/>
      <c r="AJ41" s="126"/>
      <c r="AK41" s="125"/>
      <c r="AL41" s="123"/>
      <c r="AM41" s="2368" t="str">
        <f>IF(AND(入力ページ!F21&gt;=3,入力ページ!$F$24="生活館"),"○","")</f>
        <v/>
      </c>
      <c r="AN41" s="2317" t="s">
        <v>226</v>
      </c>
      <c r="AO41" s="2318"/>
      <c r="AP41" s="2265"/>
      <c r="AQ41" s="2266"/>
      <c r="AR41" s="2300" t="s">
        <v>136</v>
      </c>
      <c r="AS41" s="2301"/>
      <c r="AT41" s="129" t="s">
        <v>188</v>
      </c>
      <c r="AU41" s="657"/>
    </row>
    <row r="42" spans="2:47" ht="12" customHeight="1" x14ac:dyDescent="0.15">
      <c r="B42" s="2384"/>
      <c r="C42" s="2387"/>
      <c r="D42" s="2388"/>
      <c r="E42" s="2312"/>
      <c r="F42" s="2259"/>
      <c r="G42" s="2259"/>
      <c r="H42" s="2259"/>
      <c r="I42" s="2259"/>
      <c r="J42" s="2259"/>
      <c r="K42" s="2346"/>
      <c r="L42" s="2348"/>
      <c r="M42" s="2259"/>
      <c r="N42" s="2259"/>
      <c r="O42" s="2259"/>
      <c r="P42" s="2259"/>
      <c r="Q42" s="2259"/>
      <c r="R42" s="2259"/>
      <c r="S42" s="2259"/>
      <c r="T42" s="2325"/>
      <c r="U42" s="2327"/>
      <c r="V42" s="2259"/>
      <c r="W42" s="2259"/>
      <c r="X42" s="2259"/>
      <c r="Y42" s="2259"/>
      <c r="Z42" s="2259"/>
      <c r="AA42" s="2259"/>
      <c r="AB42" s="2259"/>
      <c r="AC42" s="2259"/>
      <c r="AD42" s="2259"/>
      <c r="AE42" s="2259"/>
      <c r="AF42" s="2259"/>
      <c r="AG42" s="2259"/>
      <c r="AH42" s="2259"/>
      <c r="AI42" s="2366"/>
      <c r="AJ42" s="2352"/>
      <c r="AK42" s="2365" t="s">
        <v>187</v>
      </c>
      <c r="AL42" s="2353"/>
      <c r="AM42" s="2369"/>
      <c r="AN42" s="2319"/>
      <c r="AO42" s="2320"/>
      <c r="AP42" s="2267" t="s">
        <v>186</v>
      </c>
      <c r="AQ42" s="2268"/>
      <c r="AR42" s="2292" t="str">
        <f>IF(AND(入力ページ!AB25&lt;&gt;"",SUM(入力ページ!P67:R70)&gt;=1),"○",IF(AND(入力ページ!AB25&lt;&gt;"",SUM(入力ページ!P67:R70)=0),"-",""))</f>
        <v/>
      </c>
      <c r="AS42" s="2293"/>
      <c r="AT42" s="2296"/>
      <c r="AU42" s="659"/>
    </row>
    <row r="43" spans="2:47" ht="12.75" customHeight="1" x14ac:dyDescent="0.15">
      <c r="B43" s="2384"/>
      <c r="C43" s="2387"/>
      <c r="D43" s="2388"/>
      <c r="E43" s="2312"/>
      <c r="F43" s="2259"/>
      <c r="G43" s="2259"/>
      <c r="H43" s="2259"/>
      <c r="I43" s="2259"/>
      <c r="J43" s="2259"/>
      <c r="K43" s="2346"/>
      <c r="L43" s="2348"/>
      <c r="M43" s="2259"/>
      <c r="N43" s="2259"/>
      <c r="O43" s="2259"/>
      <c r="P43" s="2259"/>
      <c r="Q43" s="2259"/>
      <c r="R43" s="2259"/>
      <c r="S43" s="2259"/>
      <c r="T43" s="2325"/>
      <c r="U43" s="2327"/>
      <c r="V43" s="2259"/>
      <c r="W43" s="2259"/>
      <c r="X43" s="2259"/>
      <c r="Y43" s="2259"/>
      <c r="Z43" s="2259"/>
      <c r="AA43" s="2259"/>
      <c r="AB43" s="2259"/>
      <c r="AC43" s="2259"/>
      <c r="AD43" s="2259"/>
      <c r="AE43" s="2259"/>
      <c r="AF43" s="2259"/>
      <c r="AG43" s="2259"/>
      <c r="AH43" s="2259"/>
      <c r="AI43" s="2366"/>
      <c r="AJ43" s="2352"/>
      <c r="AK43" s="2365"/>
      <c r="AL43" s="2353"/>
      <c r="AM43" s="2370"/>
      <c r="AN43" s="2321"/>
      <c r="AO43" s="2322"/>
      <c r="AP43" s="2269"/>
      <c r="AQ43" s="2270"/>
      <c r="AR43" s="2294"/>
      <c r="AS43" s="2295"/>
      <c r="AT43" s="2297"/>
      <c r="AU43" s="659"/>
    </row>
    <row r="44" spans="2:47" ht="12.75" customHeight="1" x14ac:dyDescent="0.15">
      <c r="B44" s="2384"/>
      <c r="C44" s="2387"/>
      <c r="D44" s="2388"/>
      <c r="E44" s="2312"/>
      <c r="F44" s="2259"/>
      <c r="G44" s="2259"/>
      <c r="H44" s="2259"/>
      <c r="I44" s="2259"/>
      <c r="J44" s="2259"/>
      <c r="K44" s="2346"/>
      <c r="L44" s="2348"/>
      <c r="M44" s="2259"/>
      <c r="N44" s="2259"/>
      <c r="O44" s="2259"/>
      <c r="P44" s="2259"/>
      <c r="Q44" s="2259"/>
      <c r="R44" s="2259"/>
      <c r="S44" s="2259"/>
      <c r="T44" s="2325"/>
      <c r="U44" s="2327"/>
      <c r="V44" s="2259"/>
      <c r="W44" s="2259"/>
      <c r="X44" s="2259"/>
      <c r="Y44" s="2259"/>
      <c r="Z44" s="2259"/>
      <c r="AA44" s="2259"/>
      <c r="AB44" s="2259"/>
      <c r="AC44" s="2259"/>
      <c r="AD44" s="2259"/>
      <c r="AE44" s="2259"/>
      <c r="AF44" s="2259"/>
      <c r="AG44" s="2259"/>
      <c r="AH44" s="2259"/>
      <c r="AI44" s="2366"/>
      <c r="AJ44" s="2352"/>
      <c r="AK44" s="2365"/>
      <c r="AL44" s="2353"/>
      <c r="AM44" s="2368" t="str">
        <f>IF(AND(入力ページ!F21&gt;=3,入力ページ!$F$24="ロッジ"),"○","")</f>
        <v/>
      </c>
      <c r="AN44" s="2317" t="s">
        <v>225</v>
      </c>
      <c r="AO44" s="2318"/>
      <c r="AP44" s="2267" t="s">
        <v>185</v>
      </c>
      <c r="AQ44" s="2268"/>
      <c r="AR44" s="2292" t="str">
        <f>IF(AND(入力ページ!AB26&lt;&gt;"",SUM(入力ページ!P71:R74)&gt;=1),"○",IF(AND(入力ページ!AB26&lt;&gt;"",SUM(入力ページ!P71:R74)=0),"-",""))</f>
        <v/>
      </c>
      <c r="AS44" s="2293"/>
      <c r="AT44" s="2298" t="str">
        <f>IF(AND(入力ページ!AB26&lt;&gt;"",SUM(入力ページ!P75)&gt;=1),"○",IF(入力ページ!AB26&lt;&gt;"","-",""))</f>
        <v/>
      </c>
      <c r="AU44" s="658"/>
    </row>
    <row r="45" spans="2:47" ht="12" customHeight="1" x14ac:dyDescent="0.15">
      <c r="B45" s="2384"/>
      <c r="C45" s="2389"/>
      <c r="D45" s="2390"/>
      <c r="E45" s="2313"/>
      <c r="F45" s="2260"/>
      <c r="G45" s="2260"/>
      <c r="H45" s="2260"/>
      <c r="I45" s="2260"/>
      <c r="J45" s="2260"/>
      <c r="K45" s="2347"/>
      <c r="L45" s="2349"/>
      <c r="M45" s="2260"/>
      <c r="N45" s="2260"/>
      <c r="O45" s="2260"/>
      <c r="P45" s="2260"/>
      <c r="Q45" s="2260"/>
      <c r="R45" s="2260"/>
      <c r="S45" s="2260"/>
      <c r="T45" s="2326"/>
      <c r="U45" s="2328"/>
      <c r="V45" s="2260"/>
      <c r="W45" s="2260"/>
      <c r="X45" s="2260"/>
      <c r="Y45" s="2260"/>
      <c r="Z45" s="2260"/>
      <c r="AA45" s="2260"/>
      <c r="AB45" s="2260"/>
      <c r="AC45" s="2260"/>
      <c r="AD45" s="2260"/>
      <c r="AE45" s="2260"/>
      <c r="AF45" s="2260"/>
      <c r="AG45" s="2260"/>
      <c r="AH45" s="2260"/>
      <c r="AI45" s="2367"/>
      <c r="AJ45" s="2352"/>
      <c r="AK45" s="2365"/>
      <c r="AL45" s="2353"/>
      <c r="AM45" s="2369"/>
      <c r="AN45" s="2319"/>
      <c r="AO45" s="2320"/>
      <c r="AP45" s="2269"/>
      <c r="AQ45" s="2270"/>
      <c r="AR45" s="2294"/>
      <c r="AS45" s="2295"/>
      <c r="AT45" s="2299"/>
      <c r="AU45" s="658"/>
    </row>
    <row r="46" spans="2:47" ht="24.95" customHeight="1" x14ac:dyDescent="0.15">
      <c r="B46" s="606" t="str">
        <f>入力ページ!Q65</f>
        <v/>
      </c>
      <c r="C46" s="2331" t="s">
        <v>184</v>
      </c>
      <c r="D46" s="2332"/>
      <c r="E46" s="1166"/>
      <c r="F46" s="1156"/>
      <c r="G46" s="1156"/>
      <c r="H46" s="1156"/>
      <c r="I46" s="1156"/>
      <c r="J46" s="1156"/>
      <c r="K46" s="1156"/>
      <c r="L46" s="1155"/>
      <c r="M46" s="1156"/>
      <c r="N46" s="1156"/>
      <c r="O46" s="1156"/>
      <c r="P46" s="1156"/>
      <c r="Q46" s="1156"/>
      <c r="R46" s="1156"/>
      <c r="S46" s="1156"/>
      <c r="T46" s="1156"/>
      <c r="U46" s="1157"/>
      <c r="V46" s="1156"/>
      <c r="W46" s="1156"/>
      <c r="X46" s="1156"/>
      <c r="Y46" s="1156"/>
      <c r="Z46" s="1156"/>
      <c r="AA46" s="1156"/>
      <c r="AB46" s="1156"/>
      <c r="AC46" s="1156"/>
      <c r="AD46" s="1156"/>
      <c r="AE46" s="1156"/>
      <c r="AF46" s="1156"/>
      <c r="AG46" s="1156"/>
      <c r="AH46" s="1156"/>
      <c r="AI46" s="1156"/>
      <c r="AJ46" s="124"/>
      <c r="AK46" s="2365"/>
      <c r="AL46" s="123"/>
      <c r="AM46" s="2370"/>
      <c r="AN46" s="2321"/>
      <c r="AO46" s="2322"/>
      <c r="AP46" s="2300" t="s">
        <v>183</v>
      </c>
      <c r="AQ46" s="2301"/>
      <c r="AR46" s="2302" t="str">
        <f>IF(AND(入力ページ!AB27&lt;&gt;"",SUM(入力ページ!P76:R79)&gt;=1),"○",IF(AND(入力ページ!AB27&lt;&gt;"",SUM(入力ページ!P76:R79)=0),"-",""))</f>
        <v/>
      </c>
      <c r="AS46" s="2303"/>
      <c r="AT46" s="611" t="str">
        <f>IF(AND(入力ページ!AB27&lt;&gt;"",SUM(入力ページ!P80)&gt;=1),"○",IF(入力ページ!AB27&lt;&gt;"","-",""))</f>
        <v/>
      </c>
      <c r="AU46" s="658"/>
    </row>
    <row r="47" spans="2:47" ht="24.95" customHeight="1" x14ac:dyDescent="0.15">
      <c r="B47" s="607" t="s">
        <v>0</v>
      </c>
      <c r="C47" s="2331" t="s">
        <v>182</v>
      </c>
      <c r="D47" s="2332"/>
      <c r="E47" s="1166"/>
      <c r="F47" s="1156"/>
      <c r="G47" s="1156"/>
      <c r="H47" s="1156"/>
      <c r="I47" s="1156"/>
      <c r="J47" s="1156"/>
      <c r="K47" s="1156"/>
      <c r="L47" s="1155"/>
      <c r="M47" s="1156"/>
      <c r="N47" s="1156"/>
      <c r="O47" s="1156"/>
      <c r="P47" s="1156"/>
      <c r="Q47" s="1156"/>
      <c r="R47" s="1156"/>
      <c r="S47" s="1156"/>
      <c r="T47" s="1156"/>
      <c r="U47" s="1157"/>
      <c r="V47" s="1156"/>
      <c r="W47" s="1156"/>
      <c r="X47" s="1156"/>
      <c r="Y47" s="1156"/>
      <c r="Z47" s="1156"/>
      <c r="AA47" s="1156"/>
      <c r="AB47" s="1156"/>
      <c r="AC47" s="1156"/>
      <c r="AD47" s="1156"/>
      <c r="AE47" s="1156"/>
      <c r="AF47" s="1156"/>
      <c r="AG47" s="1156"/>
      <c r="AH47" s="1156"/>
      <c r="AI47" s="1156"/>
      <c r="AJ47" s="124"/>
      <c r="AK47" s="2365"/>
      <c r="AL47" s="123"/>
      <c r="AM47" s="2333" t="s">
        <v>492</v>
      </c>
      <c r="AN47" s="2333"/>
      <c r="AO47" s="2334"/>
      <c r="AP47" s="2337" t="s">
        <v>181</v>
      </c>
      <c r="AQ47" s="2338"/>
      <c r="AR47" s="2338"/>
      <c r="AS47" s="2338"/>
      <c r="AT47" s="2339"/>
      <c r="AU47" s="623"/>
    </row>
    <row r="48" spans="2:47" ht="24.95" customHeight="1" thickBot="1" x14ac:dyDescent="0.2">
      <c r="B48" s="608" t="str">
        <f>入力ページ!Q65</f>
        <v/>
      </c>
      <c r="C48" s="2340" t="s">
        <v>278</v>
      </c>
      <c r="D48" s="2341"/>
      <c r="E48" s="1167"/>
      <c r="F48" s="1153"/>
      <c r="G48" s="1153"/>
      <c r="H48" s="1153"/>
      <c r="I48" s="1153"/>
      <c r="J48" s="1153"/>
      <c r="K48" s="1153"/>
      <c r="L48" s="1152"/>
      <c r="M48" s="1153"/>
      <c r="N48" s="1153"/>
      <c r="O48" s="1153"/>
      <c r="P48" s="1153"/>
      <c r="Q48" s="1153"/>
      <c r="R48" s="1153"/>
      <c r="S48" s="1153"/>
      <c r="T48" s="1153"/>
      <c r="U48" s="1154"/>
      <c r="V48" s="1153"/>
      <c r="W48" s="1153"/>
      <c r="X48" s="1153"/>
      <c r="Y48" s="1153"/>
      <c r="Z48" s="1153"/>
      <c r="AA48" s="1153"/>
      <c r="AB48" s="1153"/>
      <c r="AC48" s="1153"/>
      <c r="AD48" s="1153"/>
      <c r="AE48" s="1153"/>
      <c r="AF48" s="1153"/>
      <c r="AG48" s="1153"/>
      <c r="AH48" s="1153"/>
      <c r="AI48" s="1153"/>
      <c r="AJ48" s="124"/>
      <c r="AK48" s="2365"/>
      <c r="AL48" s="123"/>
      <c r="AM48" s="2333"/>
      <c r="AN48" s="2333"/>
      <c r="AO48" s="2334"/>
      <c r="AP48" s="2271" t="s">
        <v>180</v>
      </c>
      <c r="AQ48" s="2272"/>
      <c r="AR48" s="2272"/>
      <c r="AS48" s="2272"/>
      <c r="AT48" s="2273"/>
      <c r="AU48" s="623"/>
    </row>
    <row r="49" spans="2:47" ht="30" customHeight="1" thickTop="1" x14ac:dyDescent="0.15">
      <c r="B49" s="585" t="s">
        <v>1</v>
      </c>
      <c r="C49" s="2342" t="s">
        <v>179</v>
      </c>
      <c r="D49" s="2343"/>
      <c r="E49" s="1168"/>
      <c r="F49" s="1159"/>
      <c r="G49" s="1159"/>
      <c r="H49" s="1159"/>
      <c r="I49" s="1159"/>
      <c r="J49" s="1159"/>
      <c r="K49" s="1159"/>
      <c r="L49" s="1158"/>
      <c r="M49" s="1159"/>
      <c r="N49" s="1159"/>
      <c r="O49" s="1159"/>
      <c r="P49" s="1159"/>
      <c r="Q49" s="1159"/>
      <c r="R49" s="1159"/>
      <c r="S49" s="1159"/>
      <c r="T49" s="1159"/>
      <c r="U49" s="1160"/>
      <c r="V49" s="1159"/>
      <c r="W49" s="1159"/>
      <c r="X49" s="1159"/>
      <c r="Y49" s="1159"/>
      <c r="Z49" s="1159"/>
      <c r="AA49" s="1159"/>
      <c r="AB49" s="1159"/>
      <c r="AC49" s="1159"/>
      <c r="AD49" s="1159"/>
      <c r="AE49" s="1159"/>
      <c r="AF49" s="1159"/>
      <c r="AG49" s="1159"/>
      <c r="AH49" s="1159"/>
      <c r="AI49" s="1159"/>
      <c r="AJ49" s="124"/>
      <c r="AK49" s="2365"/>
      <c r="AL49" s="123"/>
      <c r="AM49" s="2333"/>
      <c r="AN49" s="2333"/>
      <c r="AO49" s="2334"/>
      <c r="AP49" s="2274" t="s">
        <v>493</v>
      </c>
      <c r="AQ49" s="2275"/>
      <c r="AR49" s="2275"/>
      <c r="AS49" s="2275"/>
      <c r="AT49" s="2276"/>
      <c r="AU49" s="624"/>
    </row>
    <row r="50" spans="2:47" ht="30" customHeight="1" x14ac:dyDescent="0.15">
      <c r="B50" s="136" t="s">
        <v>34</v>
      </c>
      <c r="C50" s="2344"/>
      <c r="D50" s="2345"/>
      <c r="E50" s="1169"/>
      <c r="F50" s="1162"/>
      <c r="G50" s="1162"/>
      <c r="H50" s="1162"/>
      <c r="I50" s="1162"/>
      <c r="J50" s="1162"/>
      <c r="K50" s="1162"/>
      <c r="L50" s="1161"/>
      <c r="M50" s="1162"/>
      <c r="N50" s="1162"/>
      <c r="O50" s="1162"/>
      <c r="P50" s="1162"/>
      <c r="Q50" s="1162"/>
      <c r="R50" s="1162"/>
      <c r="S50" s="1162"/>
      <c r="T50" s="1162"/>
      <c r="U50" s="1163"/>
      <c r="V50" s="1162"/>
      <c r="W50" s="1162"/>
      <c r="X50" s="1162"/>
      <c r="Y50" s="1162"/>
      <c r="Z50" s="1162"/>
      <c r="AA50" s="1162"/>
      <c r="AB50" s="1162"/>
      <c r="AC50" s="1162"/>
      <c r="AD50" s="1162"/>
      <c r="AE50" s="1162"/>
      <c r="AF50" s="1162"/>
      <c r="AG50" s="1162"/>
      <c r="AH50" s="1162"/>
      <c r="AI50" s="1162"/>
      <c r="AJ50" s="122"/>
      <c r="AK50" s="121"/>
      <c r="AL50" s="120"/>
      <c r="AM50" s="2335"/>
      <c r="AN50" s="2335"/>
      <c r="AO50" s="2336"/>
      <c r="AP50" s="2277"/>
      <c r="AQ50" s="2278"/>
      <c r="AR50" s="2278"/>
      <c r="AS50" s="2278"/>
      <c r="AT50" s="2279"/>
      <c r="AU50" s="624"/>
    </row>
    <row r="51" spans="2:47" ht="18.75" customHeight="1" x14ac:dyDescent="0.15">
      <c r="B51" s="119" t="s">
        <v>178</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O51" s="2283" t="s">
        <v>285</v>
      </c>
      <c r="AP51" s="2284"/>
      <c r="AQ51" s="2284"/>
      <c r="AR51" s="2284"/>
      <c r="AS51" s="2284"/>
      <c r="AT51" s="2284"/>
      <c r="AU51" s="657"/>
    </row>
    <row r="52" spans="2:47" ht="26.25" customHeight="1" x14ac:dyDescent="0.15">
      <c r="B52" s="1134" t="s">
        <v>284</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O52" s="2285"/>
      <c r="AP52" s="2285"/>
      <c r="AQ52" s="2285"/>
      <c r="AR52" s="2285"/>
      <c r="AS52" s="2285"/>
      <c r="AT52" s="2285"/>
      <c r="AU52" s="626"/>
    </row>
    <row r="53" spans="2:47" ht="30" customHeight="1" x14ac:dyDescent="0.25">
      <c r="B53" s="2401" t="s">
        <v>203</v>
      </c>
      <c r="C53" s="2401"/>
      <c r="D53" s="2401"/>
      <c r="E53" s="2401"/>
      <c r="F53" s="2401"/>
      <c r="G53" s="2401"/>
      <c r="H53" s="2401"/>
      <c r="I53" s="2401"/>
      <c r="J53" s="2401"/>
      <c r="K53" s="2401"/>
      <c r="L53" s="2401"/>
      <c r="M53" s="2401"/>
      <c r="N53" s="2401"/>
      <c r="O53" s="1226" t="s">
        <v>283</v>
      </c>
      <c r="P53" s="1226"/>
      <c r="Q53" s="1226"/>
      <c r="R53" s="1226"/>
      <c r="S53" s="1226"/>
      <c r="T53" s="1226"/>
      <c r="U53" s="1226"/>
      <c r="V53" s="1226"/>
      <c r="W53" s="1226"/>
      <c r="X53" s="1226"/>
      <c r="Y53" s="1226"/>
      <c r="Z53" s="1226"/>
      <c r="AA53" s="1226"/>
      <c r="AB53" s="1226"/>
      <c r="AC53" s="1226"/>
      <c r="AD53" s="1226"/>
      <c r="AE53" s="1226"/>
      <c r="AF53" s="1226"/>
      <c r="AG53" s="1226"/>
      <c r="AH53" s="1226"/>
      <c r="AI53" s="1226"/>
      <c r="AJ53" s="1226"/>
      <c r="AK53" s="1226"/>
      <c r="AL53" s="1226"/>
      <c r="AM53" s="1226"/>
      <c r="AN53" s="1226"/>
      <c r="AO53" s="2311" t="s">
        <v>211</v>
      </c>
      <c r="AP53" s="2311"/>
      <c r="AQ53" s="2311">
        <v>2</v>
      </c>
      <c r="AR53" s="2311"/>
      <c r="AS53" s="2311" t="s">
        <v>212</v>
      </c>
      <c r="AT53" s="2311"/>
      <c r="AU53" s="629"/>
    </row>
    <row r="54" spans="2:47" ht="45" customHeight="1" x14ac:dyDescent="0.15">
      <c r="B54" s="2402" t="s">
        <v>66</v>
      </c>
      <c r="C54" s="2403"/>
      <c r="D54" s="2404">
        <f>D9</f>
        <v>0</v>
      </c>
      <c r="E54" s="2405"/>
      <c r="F54" s="2405"/>
      <c r="G54" s="2405"/>
      <c r="H54" s="2405"/>
      <c r="I54" s="2405"/>
      <c r="J54" s="2405"/>
      <c r="K54" s="2405"/>
      <c r="L54" s="2405"/>
      <c r="M54" s="2405"/>
      <c r="N54" s="2405"/>
      <c r="O54" s="2405"/>
      <c r="P54" s="2405"/>
      <c r="Q54" s="137" t="s">
        <v>204</v>
      </c>
      <c r="R54" s="2406" t="str">
        <f>R9</f>
        <v>県 　</v>
      </c>
      <c r="S54" s="2406"/>
      <c r="T54" s="2406"/>
      <c r="U54" s="2407">
        <f>U9</f>
        <v>0</v>
      </c>
      <c r="V54" s="2407"/>
      <c r="W54" s="2407"/>
      <c r="X54" s="138" t="str">
        <f>X9</f>
        <v>市</v>
      </c>
      <c r="Y54" s="139" t="s">
        <v>205</v>
      </c>
      <c r="Z54" s="2408" t="s">
        <v>202</v>
      </c>
      <c r="AA54" s="2409"/>
      <c r="AB54" s="2410">
        <f>AB9</f>
        <v>0</v>
      </c>
      <c r="AC54" s="2411"/>
      <c r="AD54" s="583" t="s">
        <v>4</v>
      </c>
      <c r="AE54" s="602">
        <f>AE9</f>
        <v>0</v>
      </c>
      <c r="AF54" s="583" t="s">
        <v>0</v>
      </c>
      <c r="AG54" s="602">
        <f>AG9</f>
        <v>0</v>
      </c>
      <c r="AH54" s="141" t="s">
        <v>206</v>
      </c>
      <c r="AI54" s="603" t="str">
        <f>AI9</f>
        <v/>
      </c>
      <c r="AJ54" s="584" t="s">
        <v>34</v>
      </c>
      <c r="AK54" s="604" t="s">
        <v>490</v>
      </c>
      <c r="AL54" s="605" t="str">
        <f>AL9</f>
        <v/>
      </c>
      <c r="AM54" s="2280" t="s">
        <v>0</v>
      </c>
      <c r="AN54" s="2280"/>
      <c r="AO54" s="601" t="str">
        <f>AO9</f>
        <v/>
      </c>
      <c r="AP54" s="141" t="s">
        <v>206</v>
      </c>
      <c r="AQ54" s="2280" t="str">
        <f>AQ9</f>
        <v/>
      </c>
      <c r="AR54" s="2280"/>
      <c r="AS54" s="2281" t="s">
        <v>17</v>
      </c>
      <c r="AT54" s="2282"/>
      <c r="AU54" s="655"/>
    </row>
    <row r="55" spans="2:47" ht="19.5" customHeight="1" x14ac:dyDescent="0.15">
      <c r="B55" s="2412" t="s">
        <v>201</v>
      </c>
      <c r="C55" s="2413"/>
      <c r="D55" s="2418" t="s">
        <v>200</v>
      </c>
      <c r="E55" s="2419"/>
      <c r="F55" s="2420" t="str">
        <f>F10</f>
        <v/>
      </c>
      <c r="G55" s="2421"/>
      <c r="H55" s="2421"/>
      <c r="I55" s="2421"/>
      <c r="J55" s="2421"/>
      <c r="K55" s="2421"/>
      <c r="L55" s="2421"/>
      <c r="M55" s="2421"/>
      <c r="N55" s="2421"/>
      <c r="O55" s="2421"/>
      <c r="P55" s="2422"/>
      <c r="Q55" s="142" t="s">
        <v>199</v>
      </c>
      <c r="R55" s="143"/>
      <c r="S55" s="143"/>
      <c r="T55" s="143"/>
      <c r="U55" s="143"/>
      <c r="V55" s="143"/>
      <c r="W55" s="143"/>
      <c r="X55" s="143"/>
      <c r="Y55" s="143"/>
      <c r="Z55" s="143"/>
      <c r="AA55" s="144"/>
      <c r="AB55" s="142" t="s">
        <v>198</v>
      </c>
      <c r="AC55" s="143"/>
      <c r="AD55" s="143"/>
      <c r="AE55" s="143"/>
      <c r="AF55" s="143"/>
      <c r="AG55" s="143"/>
      <c r="AH55" s="143"/>
      <c r="AI55" s="143"/>
      <c r="AJ55" s="143"/>
      <c r="AK55" s="143"/>
      <c r="AL55" s="144"/>
      <c r="AM55" s="2304" t="s">
        <v>210</v>
      </c>
      <c r="AN55" s="2305"/>
      <c r="AO55" s="2305"/>
      <c r="AP55" s="2305"/>
      <c r="AQ55" s="2305">
        <f>AQ10</f>
        <v>0</v>
      </c>
      <c r="AR55" s="2305"/>
      <c r="AS55" s="2307" t="s">
        <v>207</v>
      </c>
      <c r="AT55" s="2308"/>
      <c r="AU55" s="627"/>
    </row>
    <row r="56" spans="2:47" ht="6" customHeight="1" x14ac:dyDescent="0.15">
      <c r="B56" s="2414"/>
      <c r="C56" s="2415"/>
      <c r="D56" s="2423" t="s">
        <v>197</v>
      </c>
      <c r="E56" s="2424"/>
      <c r="F56" s="2425">
        <f>F11</f>
        <v>0</v>
      </c>
      <c r="G56" s="2429"/>
      <c r="H56" s="2429"/>
      <c r="I56" s="2429"/>
      <c r="J56" s="2429"/>
      <c r="K56" s="2429"/>
      <c r="L56" s="2429"/>
      <c r="M56" s="2429"/>
      <c r="N56" s="2429"/>
      <c r="O56" s="2429"/>
      <c r="P56" s="2426"/>
      <c r="R56" s="1133"/>
      <c r="S56" s="1133"/>
      <c r="V56" s="1133"/>
      <c r="W56" s="1133"/>
      <c r="Z56" s="1133"/>
      <c r="AA56" s="1135"/>
      <c r="AC56" s="1133"/>
      <c r="AD56" s="1133"/>
      <c r="AG56" s="1133"/>
      <c r="AH56" s="1133"/>
      <c r="AK56" s="1133"/>
      <c r="AL56" s="1135"/>
      <c r="AM56" s="2306"/>
      <c r="AN56" s="2286"/>
      <c r="AO56" s="2286"/>
      <c r="AP56" s="2286"/>
      <c r="AQ56" s="2286"/>
      <c r="AR56" s="2286"/>
      <c r="AS56" s="2309"/>
      <c r="AT56" s="2310"/>
      <c r="AU56" s="627"/>
    </row>
    <row r="57" spans="2:47" ht="13.5" customHeight="1" x14ac:dyDescent="0.15">
      <c r="B57" s="2414"/>
      <c r="C57" s="2415"/>
      <c r="D57" s="2425"/>
      <c r="E57" s="2426"/>
      <c r="F57" s="2425"/>
      <c r="G57" s="2429"/>
      <c r="H57" s="2429"/>
      <c r="I57" s="2429"/>
      <c r="J57" s="2429"/>
      <c r="K57" s="2429"/>
      <c r="L57" s="2429"/>
      <c r="M57" s="2429"/>
      <c r="N57" s="2429"/>
      <c r="O57" s="2429"/>
      <c r="P57" s="2426"/>
      <c r="Q57" s="2231">
        <f>Q12</f>
        <v>0</v>
      </c>
      <c r="R57" s="2232"/>
      <c r="S57" s="2232"/>
      <c r="T57" s="2235" t="s">
        <v>213</v>
      </c>
      <c r="U57" s="2235">
        <f>U12</f>
        <v>0</v>
      </c>
      <c r="V57" s="2235"/>
      <c r="W57" s="2235"/>
      <c r="X57" s="2235" t="s">
        <v>44</v>
      </c>
      <c r="Y57" s="2237">
        <f>Y12</f>
        <v>0</v>
      </c>
      <c r="Z57" s="2237"/>
      <c r="AA57" s="2238"/>
      <c r="AB57" s="2231">
        <f>AB12</f>
        <v>0</v>
      </c>
      <c r="AC57" s="2232"/>
      <c r="AD57" s="2232"/>
      <c r="AE57" s="2235" t="s">
        <v>213</v>
      </c>
      <c r="AF57" s="2235">
        <f>AF12</f>
        <v>0</v>
      </c>
      <c r="AG57" s="2235"/>
      <c r="AH57" s="2235"/>
      <c r="AI57" s="2235" t="s">
        <v>44</v>
      </c>
      <c r="AJ57" s="2235">
        <f>AJ12</f>
        <v>0</v>
      </c>
      <c r="AK57" s="2235"/>
      <c r="AL57" s="2241"/>
      <c r="AM57" s="2261" t="s">
        <v>208</v>
      </c>
      <c r="AN57" s="2262"/>
      <c r="AO57" s="2262"/>
      <c r="AP57" s="2262"/>
      <c r="AQ57" s="2286">
        <f>AQ12</f>
        <v>0</v>
      </c>
      <c r="AR57" s="2286"/>
      <c r="AS57" s="2288" t="s">
        <v>209</v>
      </c>
      <c r="AT57" s="2289"/>
      <c r="AU57" s="628"/>
    </row>
    <row r="58" spans="2:47" ht="22.5" customHeight="1" x14ac:dyDescent="0.15">
      <c r="B58" s="2416"/>
      <c r="C58" s="2417"/>
      <c r="D58" s="2427"/>
      <c r="E58" s="2428"/>
      <c r="F58" s="2427"/>
      <c r="G58" s="2430"/>
      <c r="H58" s="2430"/>
      <c r="I58" s="2430"/>
      <c r="J58" s="2430"/>
      <c r="K58" s="2430"/>
      <c r="L58" s="2430"/>
      <c r="M58" s="2430"/>
      <c r="N58" s="2430"/>
      <c r="O58" s="2430"/>
      <c r="P58" s="2428"/>
      <c r="Q58" s="2233"/>
      <c r="R58" s="2234"/>
      <c r="S58" s="2234"/>
      <c r="T58" s="2236"/>
      <c r="U58" s="2236"/>
      <c r="V58" s="2236"/>
      <c r="W58" s="2236"/>
      <c r="X58" s="2236"/>
      <c r="Y58" s="2239"/>
      <c r="Z58" s="2239"/>
      <c r="AA58" s="2240"/>
      <c r="AB58" s="2233"/>
      <c r="AC58" s="2234"/>
      <c r="AD58" s="2234"/>
      <c r="AE58" s="2236"/>
      <c r="AF58" s="2236"/>
      <c r="AG58" s="2236"/>
      <c r="AH58" s="2236"/>
      <c r="AI58" s="2236"/>
      <c r="AJ58" s="2236"/>
      <c r="AK58" s="2236"/>
      <c r="AL58" s="2242"/>
      <c r="AM58" s="2263"/>
      <c r="AN58" s="2264"/>
      <c r="AO58" s="2264"/>
      <c r="AP58" s="2264"/>
      <c r="AQ58" s="2287"/>
      <c r="AR58" s="2287"/>
      <c r="AS58" s="2290"/>
      <c r="AT58" s="2291"/>
      <c r="AU58" s="628"/>
    </row>
    <row r="59" spans="2:47" ht="21" customHeight="1" x14ac:dyDescent="0.15">
      <c r="B59" s="2394" t="s">
        <v>196</v>
      </c>
      <c r="C59" s="2394"/>
      <c r="D59" s="2394"/>
      <c r="E59" s="128"/>
      <c r="F59" s="127"/>
      <c r="G59" s="130"/>
      <c r="H59" s="2377" t="s">
        <v>194</v>
      </c>
      <c r="I59" s="2378"/>
      <c r="J59" s="2395"/>
      <c r="K59" s="127"/>
      <c r="L59" s="2375" t="s">
        <v>195</v>
      </c>
      <c r="M59" s="2375"/>
      <c r="N59" s="2375"/>
      <c r="O59" s="127"/>
      <c r="P59" s="127"/>
      <c r="Q59" s="127"/>
      <c r="R59" s="2377" t="s">
        <v>194</v>
      </c>
      <c r="S59" s="2378"/>
      <c r="T59" s="2378"/>
      <c r="U59" s="127" t="s">
        <v>195</v>
      </c>
      <c r="V59" s="127"/>
      <c r="W59" s="127"/>
      <c r="X59" s="127"/>
      <c r="Y59" s="127"/>
      <c r="Z59" s="127"/>
      <c r="AA59" s="127"/>
      <c r="AB59" s="2379" t="s">
        <v>194</v>
      </c>
      <c r="AC59" s="2380"/>
      <c r="AD59" s="2380"/>
      <c r="AE59" s="2380"/>
      <c r="AF59" s="2381"/>
      <c r="AG59" s="127"/>
      <c r="AH59" s="127"/>
      <c r="AI59" s="127"/>
      <c r="AJ59" s="2375" t="s">
        <v>193</v>
      </c>
      <c r="AK59" s="2375"/>
      <c r="AL59" s="2376"/>
      <c r="AM59" s="2375"/>
      <c r="AN59" s="2375"/>
      <c r="AO59" s="127"/>
      <c r="AP59" s="127"/>
      <c r="AQ59" s="2375"/>
      <c r="AR59" s="2375"/>
      <c r="AS59" s="2375"/>
      <c r="AT59" s="2376"/>
      <c r="AU59" s="625"/>
    </row>
    <row r="60" spans="2:47" ht="21" customHeight="1" x14ac:dyDescent="0.15">
      <c r="B60" s="2396" t="s">
        <v>62</v>
      </c>
      <c r="C60" s="2397" t="s">
        <v>192</v>
      </c>
      <c r="D60" s="2397"/>
      <c r="E60" s="2374">
        <v>6</v>
      </c>
      <c r="F60" s="2354"/>
      <c r="G60" s="2354">
        <v>7</v>
      </c>
      <c r="H60" s="2354"/>
      <c r="I60" s="2371">
        <v>8</v>
      </c>
      <c r="J60" s="2371"/>
      <c r="K60" s="2371">
        <v>9</v>
      </c>
      <c r="L60" s="2371"/>
      <c r="M60" s="2354">
        <v>10</v>
      </c>
      <c r="N60" s="2354"/>
      <c r="O60" s="2354">
        <v>11</v>
      </c>
      <c r="P60" s="2354"/>
      <c r="Q60" s="2354">
        <v>12</v>
      </c>
      <c r="R60" s="2354"/>
      <c r="S60" s="2354">
        <v>13</v>
      </c>
      <c r="T60" s="2354"/>
      <c r="U60" s="2354">
        <v>14</v>
      </c>
      <c r="V60" s="2354"/>
      <c r="W60" s="2354">
        <v>15</v>
      </c>
      <c r="X60" s="2354"/>
      <c r="Y60" s="2354">
        <v>16</v>
      </c>
      <c r="Z60" s="2354"/>
      <c r="AA60" s="2354">
        <v>17</v>
      </c>
      <c r="AB60" s="2354"/>
      <c r="AC60" s="2354">
        <v>18</v>
      </c>
      <c r="AD60" s="2354"/>
      <c r="AE60" s="2354">
        <v>19</v>
      </c>
      <c r="AF60" s="2354"/>
      <c r="AG60" s="2354">
        <v>20</v>
      </c>
      <c r="AH60" s="2354"/>
      <c r="AI60" s="2354">
        <v>21</v>
      </c>
      <c r="AJ60" s="2354"/>
      <c r="AK60" s="2354">
        <v>22</v>
      </c>
      <c r="AL60" s="2355"/>
      <c r="AM60" s="2356" t="s">
        <v>191</v>
      </c>
      <c r="AN60" s="2356"/>
      <c r="AO60" s="2357"/>
      <c r="AP60" s="2360" t="s">
        <v>190</v>
      </c>
      <c r="AQ60" s="2356"/>
      <c r="AR60" s="2356"/>
      <c r="AS60" s="2356"/>
      <c r="AT60" s="2357"/>
      <c r="AU60" s="656"/>
    </row>
    <row r="61" spans="2:47" ht="9.75" customHeight="1" x14ac:dyDescent="0.15">
      <c r="B61" s="2396"/>
      <c r="C61" s="2397"/>
      <c r="D61" s="2397"/>
      <c r="E61" s="120"/>
      <c r="F61" s="121"/>
      <c r="G61" s="120"/>
      <c r="H61" s="121"/>
      <c r="I61" s="123"/>
      <c r="J61" s="2362">
        <v>35</v>
      </c>
      <c r="K61" s="2363"/>
      <c r="L61" s="113"/>
      <c r="M61" s="120"/>
      <c r="N61" s="121"/>
      <c r="O61" s="120"/>
      <c r="P61" s="121"/>
      <c r="Q61" s="120"/>
      <c r="R61" s="121"/>
      <c r="S61" s="120"/>
      <c r="T61" s="121"/>
      <c r="U61" s="120"/>
      <c r="V61" s="121"/>
      <c r="W61" s="120"/>
      <c r="X61" s="121"/>
      <c r="Y61" s="120"/>
      <c r="Z61" s="121"/>
      <c r="AA61" s="120"/>
      <c r="AB61" s="121"/>
      <c r="AC61" s="120"/>
      <c r="AD61" s="121"/>
      <c r="AE61" s="120"/>
      <c r="AF61" s="121"/>
      <c r="AG61" s="120"/>
      <c r="AH61" s="121"/>
      <c r="AI61" s="120"/>
      <c r="AJ61" s="121"/>
      <c r="AK61" s="120"/>
      <c r="AL61" s="120"/>
      <c r="AM61" s="2358"/>
      <c r="AN61" s="2358"/>
      <c r="AO61" s="2359"/>
      <c r="AP61" s="2361"/>
      <c r="AQ61" s="2358"/>
      <c r="AR61" s="2358"/>
      <c r="AS61" s="2358"/>
      <c r="AT61" s="2359"/>
      <c r="AU61" s="656"/>
    </row>
    <row r="62" spans="2:47" ht="24.75" customHeight="1" x14ac:dyDescent="0.15">
      <c r="B62" s="2383" t="s">
        <v>227</v>
      </c>
      <c r="C62" s="2385" t="s">
        <v>189</v>
      </c>
      <c r="D62" s="2386"/>
      <c r="E62" s="1164"/>
      <c r="F62" s="1165"/>
      <c r="G62" s="1165"/>
      <c r="H62" s="1153"/>
      <c r="I62" s="1153"/>
      <c r="J62" s="1153"/>
      <c r="K62" s="1153"/>
      <c r="L62" s="1152"/>
      <c r="M62" s="1153"/>
      <c r="N62" s="1153"/>
      <c r="O62" s="1153"/>
      <c r="P62" s="1153"/>
      <c r="Q62" s="1153"/>
      <c r="R62" s="1153"/>
      <c r="S62" s="1153"/>
      <c r="T62" s="1153"/>
      <c r="U62" s="1154"/>
      <c r="V62" s="1153"/>
      <c r="W62" s="1153"/>
      <c r="X62" s="1153"/>
      <c r="Y62" s="1153"/>
      <c r="Z62" s="1153"/>
      <c r="AA62" s="1153"/>
      <c r="AB62" s="1153"/>
      <c r="AC62" s="1153"/>
      <c r="AD62" s="1153"/>
      <c r="AE62" s="1153"/>
      <c r="AF62" s="1153"/>
      <c r="AG62" s="1153"/>
      <c r="AH62" s="1153"/>
      <c r="AI62" s="1153"/>
      <c r="AJ62" s="126"/>
      <c r="AK62" s="125"/>
      <c r="AL62" s="123"/>
      <c r="AM62" s="2368" t="str">
        <f>IF(AND(入力ページ!F21&gt;=4,入力ページ!$F$24="生活館"),"○","")</f>
        <v/>
      </c>
      <c r="AN62" s="2317" t="s">
        <v>226</v>
      </c>
      <c r="AO62" s="2318"/>
      <c r="AP62" s="2265"/>
      <c r="AQ62" s="2266"/>
      <c r="AR62" s="2300" t="s">
        <v>136</v>
      </c>
      <c r="AS62" s="2301"/>
      <c r="AT62" s="129" t="s">
        <v>188</v>
      </c>
      <c r="AU62" s="657"/>
    </row>
    <row r="63" spans="2:47" ht="12" customHeight="1" x14ac:dyDescent="0.15">
      <c r="B63" s="2384"/>
      <c r="C63" s="2387"/>
      <c r="D63" s="2388"/>
      <c r="E63" s="2312"/>
      <c r="F63" s="2259"/>
      <c r="G63" s="2259"/>
      <c r="H63" s="2259"/>
      <c r="I63" s="2259"/>
      <c r="J63" s="2259"/>
      <c r="K63" s="2346"/>
      <c r="L63" s="2348"/>
      <c r="M63" s="2259"/>
      <c r="N63" s="2259"/>
      <c r="O63" s="2259"/>
      <c r="P63" s="2259"/>
      <c r="Q63" s="2259"/>
      <c r="R63" s="2259"/>
      <c r="S63" s="2259"/>
      <c r="T63" s="2325"/>
      <c r="U63" s="2327"/>
      <c r="V63" s="2259"/>
      <c r="W63" s="2259"/>
      <c r="X63" s="2259"/>
      <c r="Y63" s="2259"/>
      <c r="Z63" s="2259"/>
      <c r="AA63" s="2259"/>
      <c r="AB63" s="2259"/>
      <c r="AC63" s="2259"/>
      <c r="AD63" s="2259"/>
      <c r="AE63" s="2259"/>
      <c r="AF63" s="2259"/>
      <c r="AG63" s="2259"/>
      <c r="AH63" s="2259"/>
      <c r="AI63" s="2366"/>
      <c r="AJ63" s="2352"/>
      <c r="AK63" s="2365" t="s">
        <v>187</v>
      </c>
      <c r="AL63" s="2353"/>
      <c r="AM63" s="2369"/>
      <c r="AN63" s="2319"/>
      <c r="AO63" s="2320"/>
      <c r="AP63" s="2267" t="s">
        <v>186</v>
      </c>
      <c r="AQ63" s="2268"/>
      <c r="AR63" s="2292" t="str">
        <f>IF(AND(入力ページ!AC25&lt;&gt;"",SUM(入力ページ!T67:V70)&gt;=1),"○",IF(AND(入力ページ!AC25&lt;&gt;"",SUM(入力ページ!T67:V70)=0),"-",""))</f>
        <v/>
      </c>
      <c r="AS63" s="2293"/>
      <c r="AT63" s="2296"/>
      <c r="AU63" s="659"/>
    </row>
    <row r="64" spans="2:47" ht="12.75" customHeight="1" x14ac:dyDescent="0.15">
      <c r="B64" s="2384"/>
      <c r="C64" s="2387"/>
      <c r="D64" s="2388"/>
      <c r="E64" s="2312"/>
      <c r="F64" s="2259"/>
      <c r="G64" s="2259"/>
      <c r="H64" s="2259"/>
      <c r="I64" s="2259"/>
      <c r="J64" s="2259"/>
      <c r="K64" s="2346"/>
      <c r="L64" s="2348"/>
      <c r="M64" s="2259"/>
      <c r="N64" s="2259"/>
      <c r="O64" s="2259"/>
      <c r="P64" s="2259"/>
      <c r="Q64" s="2259"/>
      <c r="R64" s="2259"/>
      <c r="S64" s="2259"/>
      <c r="T64" s="2325"/>
      <c r="U64" s="2327"/>
      <c r="V64" s="2259"/>
      <c r="W64" s="2259"/>
      <c r="X64" s="2259"/>
      <c r="Y64" s="2259"/>
      <c r="Z64" s="2259"/>
      <c r="AA64" s="2259"/>
      <c r="AB64" s="2259"/>
      <c r="AC64" s="2259"/>
      <c r="AD64" s="2259"/>
      <c r="AE64" s="2259"/>
      <c r="AF64" s="2259"/>
      <c r="AG64" s="2259"/>
      <c r="AH64" s="2259"/>
      <c r="AI64" s="2366"/>
      <c r="AJ64" s="2352"/>
      <c r="AK64" s="2365"/>
      <c r="AL64" s="2353"/>
      <c r="AM64" s="2370"/>
      <c r="AN64" s="2321"/>
      <c r="AO64" s="2322"/>
      <c r="AP64" s="2269"/>
      <c r="AQ64" s="2270"/>
      <c r="AR64" s="2294"/>
      <c r="AS64" s="2295"/>
      <c r="AT64" s="2297"/>
      <c r="AU64" s="659"/>
    </row>
    <row r="65" spans="2:47" ht="12.75" customHeight="1" x14ac:dyDescent="0.15">
      <c r="B65" s="2384"/>
      <c r="C65" s="2387"/>
      <c r="D65" s="2388"/>
      <c r="E65" s="2312"/>
      <c r="F65" s="2259"/>
      <c r="G65" s="2259"/>
      <c r="H65" s="2259"/>
      <c r="I65" s="2259"/>
      <c r="J65" s="2259"/>
      <c r="K65" s="2346"/>
      <c r="L65" s="2348"/>
      <c r="M65" s="2259"/>
      <c r="N65" s="2259"/>
      <c r="O65" s="2259"/>
      <c r="P65" s="2259"/>
      <c r="Q65" s="2259"/>
      <c r="R65" s="2259"/>
      <c r="S65" s="2259"/>
      <c r="T65" s="2325"/>
      <c r="U65" s="2327"/>
      <c r="V65" s="2259"/>
      <c r="W65" s="2259"/>
      <c r="X65" s="2259"/>
      <c r="Y65" s="2259"/>
      <c r="Z65" s="2259"/>
      <c r="AA65" s="2259"/>
      <c r="AB65" s="2259"/>
      <c r="AC65" s="2259"/>
      <c r="AD65" s="2259"/>
      <c r="AE65" s="2259"/>
      <c r="AF65" s="2259"/>
      <c r="AG65" s="2259"/>
      <c r="AH65" s="2259"/>
      <c r="AI65" s="2366"/>
      <c r="AJ65" s="2352"/>
      <c r="AK65" s="2365"/>
      <c r="AL65" s="2353"/>
      <c r="AM65" s="2368" t="str">
        <f>IF(AND(入力ページ!F21&gt;=4,入力ページ!$F$24="ロッジ"),"○","")</f>
        <v/>
      </c>
      <c r="AN65" s="2317" t="s">
        <v>225</v>
      </c>
      <c r="AO65" s="2318"/>
      <c r="AP65" s="2267" t="s">
        <v>185</v>
      </c>
      <c r="AQ65" s="2268"/>
      <c r="AR65" s="2292" t="str">
        <f>IF(AND(入力ページ!AC26&lt;&gt;"",SUM(入力ページ!T71:V74)&gt;=1),"○",IF(AND(入力ページ!AC26&lt;&gt;"",SUM(入力ページ!T71:V74)=0),"-",""))</f>
        <v/>
      </c>
      <c r="AS65" s="2293"/>
      <c r="AT65" s="2298" t="str">
        <f>IF(AND(入力ページ!AC26&lt;&gt;"",SUM(入力ページ!T75)&gt;=1),"○",IF(入力ページ!AC26&lt;&gt;"","-",""))</f>
        <v/>
      </c>
      <c r="AU65" s="658"/>
    </row>
    <row r="66" spans="2:47" ht="12" customHeight="1" x14ac:dyDescent="0.15">
      <c r="B66" s="2384"/>
      <c r="C66" s="2389"/>
      <c r="D66" s="2390"/>
      <c r="E66" s="2313"/>
      <c r="F66" s="2260"/>
      <c r="G66" s="2260"/>
      <c r="H66" s="2260"/>
      <c r="I66" s="2260"/>
      <c r="J66" s="2260"/>
      <c r="K66" s="2347"/>
      <c r="L66" s="2349"/>
      <c r="M66" s="2260"/>
      <c r="N66" s="2260"/>
      <c r="O66" s="2260"/>
      <c r="P66" s="2260"/>
      <c r="Q66" s="2260"/>
      <c r="R66" s="2260"/>
      <c r="S66" s="2260"/>
      <c r="T66" s="2326"/>
      <c r="U66" s="2328"/>
      <c r="V66" s="2260"/>
      <c r="W66" s="2260"/>
      <c r="X66" s="2260"/>
      <c r="Y66" s="2260"/>
      <c r="Z66" s="2260"/>
      <c r="AA66" s="2260"/>
      <c r="AB66" s="2260"/>
      <c r="AC66" s="2260"/>
      <c r="AD66" s="2260"/>
      <c r="AE66" s="2260"/>
      <c r="AF66" s="2260"/>
      <c r="AG66" s="2260"/>
      <c r="AH66" s="2260"/>
      <c r="AI66" s="2367"/>
      <c r="AJ66" s="2352"/>
      <c r="AK66" s="2365"/>
      <c r="AL66" s="2353"/>
      <c r="AM66" s="2369"/>
      <c r="AN66" s="2319"/>
      <c r="AO66" s="2320"/>
      <c r="AP66" s="2269"/>
      <c r="AQ66" s="2270"/>
      <c r="AR66" s="2294"/>
      <c r="AS66" s="2295"/>
      <c r="AT66" s="2299"/>
      <c r="AU66" s="658"/>
    </row>
    <row r="67" spans="2:47" ht="24.95" customHeight="1" x14ac:dyDescent="0.15">
      <c r="B67" s="606" t="str">
        <f>入力ページ!U65</f>
        <v/>
      </c>
      <c r="C67" s="2331" t="s">
        <v>184</v>
      </c>
      <c r="D67" s="2332"/>
      <c r="E67" s="1166"/>
      <c r="F67" s="1156"/>
      <c r="G67" s="1156"/>
      <c r="H67" s="1156"/>
      <c r="I67" s="1156"/>
      <c r="J67" s="1156"/>
      <c r="K67" s="1156"/>
      <c r="L67" s="1155"/>
      <c r="M67" s="1156"/>
      <c r="N67" s="1156"/>
      <c r="O67" s="1156"/>
      <c r="P67" s="1156"/>
      <c r="Q67" s="1156"/>
      <c r="R67" s="1156"/>
      <c r="S67" s="1156"/>
      <c r="T67" s="1156"/>
      <c r="U67" s="1157"/>
      <c r="V67" s="1156"/>
      <c r="W67" s="1156"/>
      <c r="X67" s="1156"/>
      <c r="Y67" s="1156"/>
      <c r="Z67" s="1156"/>
      <c r="AA67" s="1156"/>
      <c r="AB67" s="1156"/>
      <c r="AC67" s="1156"/>
      <c r="AD67" s="1156"/>
      <c r="AE67" s="1156"/>
      <c r="AF67" s="1156"/>
      <c r="AG67" s="1156"/>
      <c r="AH67" s="1156"/>
      <c r="AI67" s="1156"/>
      <c r="AJ67" s="124"/>
      <c r="AK67" s="2365"/>
      <c r="AL67" s="123"/>
      <c r="AM67" s="2370"/>
      <c r="AN67" s="2321"/>
      <c r="AO67" s="2322"/>
      <c r="AP67" s="2300" t="s">
        <v>183</v>
      </c>
      <c r="AQ67" s="2301"/>
      <c r="AR67" s="2302" t="str">
        <f>IF(AND(入力ページ!AC27&lt;&gt;"",SUM(入力ページ!T76:V79)&gt;=1),"○",IF(AND(入力ページ!AC27&lt;&gt;"",SUM(入力ページ!T76:V79)=0),"-",""))</f>
        <v/>
      </c>
      <c r="AS67" s="2303"/>
      <c r="AT67" s="611" t="str">
        <f>IF(AND(入力ページ!AC27&lt;&gt;"",SUM(入力ページ!T80)&gt;=1),"○",IF(入力ページ!AC27&lt;&gt;"","-",""))</f>
        <v/>
      </c>
      <c r="AU67" s="658"/>
    </row>
    <row r="68" spans="2:47" ht="24.95" customHeight="1" x14ac:dyDescent="0.15">
      <c r="B68" s="607" t="s">
        <v>0</v>
      </c>
      <c r="C68" s="2331" t="s">
        <v>182</v>
      </c>
      <c r="D68" s="2332"/>
      <c r="E68" s="1166"/>
      <c r="F68" s="1156"/>
      <c r="G68" s="1156"/>
      <c r="H68" s="1156"/>
      <c r="I68" s="1156"/>
      <c r="J68" s="1156"/>
      <c r="K68" s="1156"/>
      <c r="L68" s="1155"/>
      <c r="M68" s="1156"/>
      <c r="N68" s="1156"/>
      <c r="O68" s="1156"/>
      <c r="P68" s="1156"/>
      <c r="Q68" s="1156"/>
      <c r="R68" s="1156"/>
      <c r="S68" s="1156"/>
      <c r="T68" s="1156"/>
      <c r="U68" s="1157"/>
      <c r="V68" s="1156"/>
      <c r="W68" s="1156"/>
      <c r="X68" s="1156"/>
      <c r="Y68" s="1156"/>
      <c r="Z68" s="1156"/>
      <c r="AA68" s="1156"/>
      <c r="AB68" s="1156"/>
      <c r="AC68" s="1156"/>
      <c r="AD68" s="1156"/>
      <c r="AE68" s="1156"/>
      <c r="AF68" s="1156"/>
      <c r="AG68" s="1156"/>
      <c r="AH68" s="1156"/>
      <c r="AI68" s="1156"/>
      <c r="AJ68" s="124"/>
      <c r="AK68" s="2365"/>
      <c r="AL68" s="123"/>
      <c r="AM68" s="2333" t="s">
        <v>492</v>
      </c>
      <c r="AN68" s="2333"/>
      <c r="AO68" s="2334"/>
      <c r="AP68" s="2337" t="s">
        <v>181</v>
      </c>
      <c r="AQ68" s="2338"/>
      <c r="AR68" s="2338"/>
      <c r="AS68" s="2338"/>
      <c r="AT68" s="2339"/>
      <c r="AU68" s="623"/>
    </row>
    <row r="69" spans="2:47" ht="24.95" customHeight="1" thickBot="1" x14ac:dyDescent="0.2">
      <c r="B69" s="608" t="str">
        <f>入力ページ!U65</f>
        <v/>
      </c>
      <c r="C69" s="2340" t="s">
        <v>278</v>
      </c>
      <c r="D69" s="2341"/>
      <c r="E69" s="1167"/>
      <c r="F69" s="1153"/>
      <c r="G69" s="1153"/>
      <c r="H69" s="1153"/>
      <c r="I69" s="1153"/>
      <c r="J69" s="1153"/>
      <c r="K69" s="1153"/>
      <c r="L69" s="1152"/>
      <c r="M69" s="1153"/>
      <c r="N69" s="1153"/>
      <c r="O69" s="1153"/>
      <c r="P69" s="1153"/>
      <c r="Q69" s="1153"/>
      <c r="R69" s="1153"/>
      <c r="S69" s="1153"/>
      <c r="T69" s="1153"/>
      <c r="U69" s="1154"/>
      <c r="V69" s="1153"/>
      <c r="W69" s="1153"/>
      <c r="X69" s="1153"/>
      <c r="Y69" s="1153"/>
      <c r="Z69" s="1153"/>
      <c r="AA69" s="1153"/>
      <c r="AB69" s="1153"/>
      <c r="AC69" s="1153"/>
      <c r="AD69" s="1153"/>
      <c r="AE69" s="1153"/>
      <c r="AF69" s="1153"/>
      <c r="AG69" s="1153"/>
      <c r="AH69" s="1153"/>
      <c r="AI69" s="1153"/>
      <c r="AJ69" s="124"/>
      <c r="AK69" s="2365"/>
      <c r="AL69" s="123"/>
      <c r="AM69" s="2333"/>
      <c r="AN69" s="2333"/>
      <c r="AO69" s="2334"/>
      <c r="AP69" s="2271" t="s">
        <v>180</v>
      </c>
      <c r="AQ69" s="2272"/>
      <c r="AR69" s="2272"/>
      <c r="AS69" s="2272"/>
      <c r="AT69" s="2273"/>
      <c r="AU69" s="623"/>
    </row>
    <row r="70" spans="2:47" ht="30" customHeight="1" thickTop="1" x14ac:dyDescent="0.15">
      <c r="B70" s="585" t="s">
        <v>1</v>
      </c>
      <c r="C70" s="2342" t="s">
        <v>179</v>
      </c>
      <c r="D70" s="2343"/>
      <c r="E70" s="1168"/>
      <c r="F70" s="1159"/>
      <c r="G70" s="1159"/>
      <c r="H70" s="1159"/>
      <c r="I70" s="1159"/>
      <c r="J70" s="1159"/>
      <c r="K70" s="1159"/>
      <c r="L70" s="1158"/>
      <c r="M70" s="1159"/>
      <c r="N70" s="1159"/>
      <c r="O70" s="1159"/>
      <c r="P70" s="1159"/>
      <c r="Q70" s="1159"/>
      <c r="R70" s="1159"/>
      <c r="S70" s="1159"/>
      <c r="T70" s="1159"/>
      <c r="U70" s="1160"/>
      <c r="V70" s="1159"/>
      <c r="W70" s="1159"/>
      <c r="X70" s="1159"/>
      <c r="Y70" s="1159"/>
      <c r="Z70" s="1159"/>
      <c r="AA70" s="1159"/>
      <c r="AB70" s="1159"/>
      <c r="AC70" s="1159"/>
      <c r="AD70" s="1159"/>
      <c r="AE70" s="1159"/>
      <c r="AF70" s="1159"/>
      <c r="AG70" s="1159"/>
      <c r="AH70" s="1159"/>
      <c r="AI70" s="1159"/>
      <c r="AJ70" s="124"/>
      <c r="AK70" s="2365"/>
      <c r="AL70" s="123"/>
      <c r="AM70" s="2333"/>
      <c r="AN70" s="2333"/>
      <c r="AO70" s="2334"/>
      <c r="AP70" s="2274" t="s">
        <v>493</v>
      </c>
      <c r="AQ70" s="2275"/>
      <c r="AR70" s="2275"/>
      <c r="AS70" s="2275"/>
      <c r="AT70" s="2276"/>
      <c r="AU70" s="624"/>
    </row>
    <row r="71" spans="2:47" ht="27" customHeight="1" x14ac:dyDescent="0.15">
      <c r="B71" s="136" t="s">
        <v>34</v>
      </c>
      <c r="C71" s="2344"/>
      <c r="D71" s="2345"/>
      <c r="E71" s="1169"/>
      <c r="F71" s="1162"/>
      <c r="G71" s="1162"/>
      <c r="H71" s="1162"/>
      <c r="I71" s="1162"/>
      <c r="J71" s="1162"/>
      <c r="K71" s="1162"/>
      <c r="L71" s="1161"/>
      <c r="M71" s="1162"/>
      <c r="N71" s="1162"/>
      <c r="O71" s="1162"/>
      <c r="P71" s="1162"/>
      <c r="Q71" s="1162"/>
      <c r="R71" s="1162"/>
      <c r="S71" s="1162"/>
      <c r="T71" s="1162"/>
      <c r="U71" s="1163"/>
      <c r="V71" s="1162"/>
      <c r="W71" s="1162"/>
      <c r="X71" s="1162"/>
      <c r="Y71" s="1162"/>
      <c r="Z71" s="1162"/>
      <c r="AA71" s="1162"/>
      <c r="AB71" s="1162"/>
      <c r="AC71" s="1162"/>
      <c r="AD71" s="1162"/>
      <c r="AE71" s="1162"/>
      <c r="AF71" s="1162"/>
      <c r="AG71" s="1162"/>
      <c r="AH71" s="1162"/>
      <c r="AI71" s="1162"/>
      <c r="AJ71" s="122"/>
      <c r="AK71" s="121"/>
      <c r="AL71" s="120"/>
      <c r="AM71" s="2335"/>
      <c r="AN71" s="2335"/>
      <c r="AO71" s="2336"/>
      <c r="AP71" s="2277"/>
      <c r="AQ71" s="2278"/>
      <c r="AR71" s="2278"/>
      <c r="AS71" s="2278"/>
      <c r="AT71" s="2279"/>
      <c r="AU71" s="624"/>
    </row>
    <row r="72" spans="2:47" ht="21" customHeight="1" x14ac:dyDescent="0.15">
      <c r="B72" s="2398" t="s">
        <v>62</v>
      </c>
      <c r="C72" s="2372" t="s">
        <v>192</v>
      </c>
      <c r="D72" s="2372"/>
      <c r="E72" s="2374">
        <v>6</v>
      </c>
      <c r="F72" s="2354"/>
      <c r="G72" s="2354">
        <v>7</v>
      </c>
      <c r="H72" s="2354"/>
      <c r="I72" s="2371">
        <v>8</v>
      </c>
      <c r="J72" s="2371"/>
      <c r="K72" s="2371">
        <v>9</v>
      </c>
      <c r="L72" s="2371"/>
      <c r="M72" s="2371">
        <v>10</v>
      </c>
      <c r="N72" s="2371"/>
      <c r="O72" s="2371">
        <v>11</v>
      </c>
      <c r="P72" s="2371"/>
      <c r="Q72" s="2371">
        <v>12</v>
      </c>
      <c r="R72" s="2371"/>
      <c r="S72" s="2371">
        <v>13</v>
      </c>
      <c r="T72" s="2371"/>
      <c r="U72" s="2371">
        <v>14</v>
      </c>
      <c r="V72" s="2371"/>
      <c r="W72" s="2371">
        <v>15</v>
      </c>
      <c r="X72" s="2371"/>
      <c r="Y72" s="2371">
        <v>16</v>
      </c>
      <c r="Z72" s="2371"/>
      <c r="AA72" s="2371">
        <v>17</v>
      </c>
      <c r="AB72" s="2371"/>
      <c r="AC72" s="2371">
        <v>18</v>
      </c>
      <c r="AD72" s="2371"/>
      <c r="AE72" s="2371">
        <v>19</v>
      </c>
      <c r="AF72" s="2371"/>
      <c r="AG72" s="2371">
        <v>20</v>
      </c>
      <c r="AH72" s="2371"/>
      <c r="AI72" s="2371">
        <v>21</v>
      </c>
      <c r="AJ72" s="2371"/>
      <c r="AK72" s="2354">
        <v>22</v>
      </c>
      <c r="AL72" s="2355"/>
      <c r="AM72" s="2356" t="s">
        <v>191</v>
      </c>
      <c r="AN72" s="2356"/>
      <c r="AO72" s="2357"/>
      <c r="AP72" s="2360" t="s">
        <v>190</v>
      </c>
      <c r="AQ72" s="2356"/>
      <c r="AR72" s="2356"/>
      <c r="AS72" s="2356"/>
      <c r="AT72" s="2357"/>
      <c r="AU72" s="656"/>
    </row>
    <row r="73" spans="2:47" ht="9.75" customHeight="1" x14ac:dyDescent="0.15">
      <c r="B73" s="2399"/>
      <c r="C73" s="2373"/>
      <c r="D73" s="2373"/>
      <c r="E73" s="120"/>
      <c r="F73" s="121"/>
      <c r="G73" s="120"/>
      <c r="H73" s="121"/>
      <c r="I73" s="123"/>
      <c r="J73" s="2362">
        <v>35</v>
      </c>
      <c r="K73" s="2363"/>
      <c r="L73" s="113"/>
      <c r="M73" s="123"/>
      <c r="N73" s="113"/>
      <c r="O73" s="123"/>
      <c r="P73" s="113"/>
      <c r="Q73" s="123"/>
      <c r="R73" s="113"/>
      <c r="S73" s="123"/>
      <c r="T73" s="113"/>
      <c r="U73" s="123"/>
      <c r="V73" s="113"/>
      <c r="W73" s="123"/>
      <c r="X73" s="113"/>
      <c r="Y73" s="123"/>
      <c r="Z73" s="113"/>
      <c r="AA73" s="123"/>
      <c r="AB73" s="113"/>
      <c r="AC73" s="123"/>
      <c r="AD73" s="113"/>
      <c r="AE73" s="123"/>
      <c r="AF73" s="113"/>
      <c r="AG73" s="123"/>
      <c r="AH73" s="113"/>
      <c r="AI73" s="123"/>
      <c r="AJ73" s="113"/>
      <c r="AK73" s="120"/>
      <c r="AL73" s="120"/>
      <c r="AM73" s="2358"/>
      <c r="AN73" s="2358"/>
      <c r="AO73" s="2359"/>
      <c r="AP73" s="2361"/>
      <c r="AQ73" s="2358"/>
      <c r="AR73" s="2358"/>
      <c r="AS73" s="2358"/>
      <c r="AT73" s="2359"/>
      <c r="AU73" s="656"/>
    </row>
    <row r="74" spans="2:47" ht="24.75" customHeight="1" x14ac:dyDescent="0.15">
      <c r="B74" s="2383" t="s">
        <v>228</v>
      </c>
      <c r="C74" s="2385" t="s">
        <v>189</v>
      </c>
      <c r="D74" s="2386"/>
      <c r="E74" s="1164"/>
      <c r="F74" s="1165"/>
      <c r="G74" s="1165"/>
      <c r="H74" s="1153"/>
      <c r="I74" s="1153"/>
      <c r="J74" s="1153"/>
      <c r="K74" s="1153"/>
      <c r="L74" s="1152"/>
      <c r="M74" s="1153"/>
      <c r="N74" s="1153"/>
      <c r="O74" s="1153"/>
      <c r="P74" s="1153"/>
      <c r="Q74" s="1153"/>
      <c r="R74" s="1153"/>
      <c r="S74" s="1153"/>
      <c r="T74" s="1153"/>
      <c r="U74" s="1154"/>
      <c r="V74" s="1153"/>
      <c r="W74" s="1153"/>
      <c r="X74" s="1153"/>
      <c r="Y74" s="1153"/>
      <c r="Z74" s="1153"/>
      <c r="AA74" s="1153"/>
      <c r="AB74" s="1153"/>
      <c r="AC74" s="1153"/>
      <c r="AD74" s="1153"/>
      <c r="AE74" s="1153"/>
      <c r="AF74" s="1153"/>
      <c r="AG74" s="1153"/>
      <c r="AH74" s="1153"/>
      <c r="AI74" s="1153"/>
      <c r="AJ74" s="126"/>
      <c r="AK74" s="125"/>
      <c r="AL74" s="123"/>
      <c r="AM74" s="2368" t="str">
        <f>IF(AND(入力ページ!F21&gt;=5,入力ページ!$F$24="生活館"),"○","")</f>
        <v/>
      </c>
      <c r="AN74" s="2317" t="s">
        <v>226</v>
      </c>
      <c r="AO74" s="2318"/>
      <c r="AP74" s="2265"/>
      <c r="AQ74" s="2266"/>
      <c r="AR74" s="2300" t="s">
        <v>136</v>
      </c>
      <c r="AS74" s="2301"/>
      <c r="AT74" s="129" t="s">
        <v>188</v>
      </c>
      <c r="AU74" s="657"/>
    </row>
    <row r="75" spans="2:47" ht="12" customHeight="1" x14ac:dyDescent="0.15">
      <c r="B75" s="2384"/>
      <c r="C75" s="2387"/>
      <c r="D75" s="2388"/>
      <c r="E75" s="2312"/>
      <c r="F75" s="2259"/>
      <c r="G75" s="2259"/>
      <c r="H75" s="2259"/>
      <c r="I75" s="2259"/>
      <c r="J75" s="2259"/>
      <c r="K75" s="2346"/>
      <c r="L75" s="2348"/>
      <c r="M75" s="2259"/>
      <c r="N75" s="2259"/>
      <c r="O75" s="2259"/>
      <c r="P75" s="2259"/>
      <c r="Q75" s="2259"/>
      <c r="R75" s="2259"/>
      <c r="S75" s="2259"/>
      <c r="T75" s="2325"/>
      <c r="U75" s="2327"/>
      <c r="V75" s="2259"/>
      <c r="W75" s="2259"/>
      <c r="X75" s="2259"/>
      <c r="Y75" s="2259"/>
      <c r="Z75" s="2259"/>
      <c r="AA75" s="2259"/>
      <c r="AB75" s="2259"/>
      <c r="AC75" s="2259"/>
      <c r="AD75" s="2259"/>
      <c r="AE75" s="2259"/>
      <c r="AF75" s="2259"/>
      <c r="AG75" s="2259"/>
      <c r="AH75" s="2259"/>
      <c r="AI75" s="2366"/>
      <c r="AJ75" s="2352"/>
      <c r="AK75" s="2365" t="s">
        <v>187</v>
      </c>
      <c r="AL75" s="2353"/>
      <c r="AM75" s="2369"/>
      <c r="AN75" s="2319"/>
      <c r="AO75" s="2320"/>
      <c r="AP75" s="2267" t="s">
        <v>186</v>
      </c>
      <c r="AQ75" s="2268"/>
      <c r="AR75" s="2292" t="str">
        <f>IF(AND(入力ページ!AD25&lt;&gt;"",SUM(入力ページ!X67:Z70)&gt;=1),"○",IF(AND(入力ページ!AD25&lt;&gt;"",SUM(入力ページ!X67:Z70)=0),"-",""))</f>
        <v/>
      </c>
      <c r="AS75" s="2293"/>
      <c r="AT75" s="2296"/>
      <c r="AU75" s="659"/>
    </row>
    <row r="76" spans="2:47" ht="12.75" customHeight="1" x14ac:dyDescent="0.15">
      <c r="B76" s="2384"/>
      <c r="C76" s="2387"/>
      <c r="D76" s="2388"/>
      <c r="E76" s="2312"/>
      <c r="F76" s="2259"/>
      <c r="G76" s="2259"/>
      <c r="H76" s="2259"/>
      <c r="I76" s="2259"/>
      <c r="J76" s="2259"/>
      <c r="K76" s="2346"/>
      <c r="L76" s="2348"/>
      <c r="M76" s="2259"/>
      <c r="N76" s="2259"/>
      <c r="O76" s="2259"/>
      <c r="P76" s="2259"/>
      <c r="Q76" s="2259"/>
      <c r="R76" s="2259"/>
      <c r="S76" s="2259"/>
      <c r="T76" s="2325"/>
      <c r="U76" s="2327"/>
      <c r="V76" s="2259"/>
      <c r="W76" s="2259"/>
      <c r="X76" s="2259"/>
      <c r="Y76" s="2259"/>
      <c r="Z76" s="2259"/>
      <c r="AA76" s="2259"/>
      <c r="AB76" s="2259"/>
      <c r="AC76" s="2259"/>
      <c r="AD76" s="2259"/>
      <c r="AE76" s="2259"/>
      <c r="AF76" s="2259"/>
      <c r="AG76" s="2259"/>
      <c r="AH76" s="2259"/>
      <c r="AI76" s="2366"/>
      <c r="AJ76" s="2352"/>
      <c r="AK76" s="2365"/>
      <c r="AL76" s="2353"/>
      <c r="AM76" s="2370"/>
      <c r="AN76" s="2321"/>
      <c r="AO76" s="2322"/>
      <c r="AP76" s="2269"/>
      <c r="AQ76" s="2270"/>
      <c r="AR76" s="2294"/>
      <c r="AS76" s="2295"/>
      <c r="AT76" s="2297"/>
      <c r="AU76" s="659"/>
    </row>
    <row r="77" spans="2:47" ht="12.75" customHeight="1" x14ac:dyDescent="0.15">
      <c r="B77" s="2384"/>
      <c r="C77" s="2387"/>
      <c r="D77" s="2388"/>
      <c r="E77" s="2312"/>
      <c r="F77" s="2259"/>
      <c r="G77" s="2259"/>
      <c r="H77" s="2259"/>
      <c r="I77" s="2259"/>
      <c r="J77" s="2259"/>
      <c r="K77" s="2346"/>
      <c r="L77" s="2348"/>
      <c r="M77" s="2259"/>
      <c r="N77" s="2259"/>
      <c r="O77" s="2259"/>
      <c r="P77" s="2259"/>
      <c r="Q77" s="2259"/>
      <c r="R77" s="2259"/>
      <c r="S77" s="2259"/>
      <c r="T77" s="2325"/>
      <c r="U77" s="2327"/>
      <c r="V77" s="2259"/>
      <c r="W77" s="2259"/>
      <c r="X77" s="2259"/>
      <c r="Y77" s="2259"/>
      <c r="Z77" s="2259"/>
      <c r="AA77" s="2259"/>
      <c r="AB77" s="2259"/>
      <c r="AC77" s="2259"/>
      <c r="AD77" s="2259"/>
      <c r="AE77" s="2259"/>
      <c r="AF77" s="2259"/>
      <c r="AG77" s="2259"/>
      <c r="AH77" s="2259"/>
      <c r="AI77" s="2366"/>
      <c r="AJ77" s="2352"/>
      <c r="AK77" s="2365"/>
      <c r="AL77" s="2353"/>
      <c r="AM77" s="2368" t="str">
        <f>IF(AND(入力ページ!F21&gt;=5,入力ページ!$F$24="ロッジ"),"○","")</f>
        <v/>
      </c>
      <c r="AN77" s="2317" t="s">
        <v>225</v>
      </c>
      <c r="AO77" s="2318"/>
      <c r="AP77" s="2267" t="s">
        <v>185</v>
      </c>
      <c r="AQ77" s="2268"/>
      <c r="AR77" s="2292" t="str">
        <f>IF(AND(入力ページ!AD26&lt;&gt;"",SUM(入力ページ!X71:Z74)&gt;=1),"○",IF(AND(入力ページ!AD26&lt;&gt;"",SUM(入力ページ!X71:Z74)=0),"-",""))</f>
        <v/>
      </c>
      <c r="AS77" s="2293"/>
      <c r="AT77" s="2298" t="str">
        <f>IF(AND(入力ページ!AD26&lt;&gt;"",SUM(入力ページ!X75)&gt;=1),"○",IF(入力ページ!AD26&lt;&gt;"","-",""))</f>
        <v/>
      </c>
      <c r="AU77" s="658"/>
    </row>
    <row r="78" spans="2:47" ht="12" customHeight="1" x14ac:dyDescent="0.15">
      <c r="B78" s="2384"/>
      <c r="C78" s="2389"/>
      <c r="D78" s="2390"/>
      <c r="E78" s="2313"/>
      <c r="F78" s="2260"/>
      <c r="G78" s="2260"/>
      <c r="H78" s="2260"/>
      <c r="I78" s="2260"/>
      <c r="J78" s="2260"/>
      <c r="K78" s="2347"/>
      <c r="L78" s="2349"/>
      <c r="M78" s="2260"/>
      <c r="N78" s="2260"/>
      <c r="O78" s="2260"/>
      <c r="P78" s="2260"/>
      <c r="Q78" s="2260"/>
      <c r="R78" s="2260"/>
      <c r="S78" s="2260"/>
      <c r="T78" s="2326"/>
      <c r="U78" s="2328"/>
      <c r="V78" s="2260"/>
      <c r="W78" s="2260"/>
      <c r="X78" s="2260"/>
      <c r="Y78" s="2260"/>
      <c r="Z78" s="2260"/>
      <c r="AA78" s="2260"/>
      <c r="AB78" s="2260"/>
      <c r="AC78" s="2260"/>
      <c r="AD78" s="2260"/>
      <c r="AE78" s="2260"/>
      <c r="AF78" s="2260"/>
      <c r="AG78" s="2260"/>
      <c r="AH78" s="2260"/>
      <c r="AI78" s="2367"/>
      <c r="AJ78" s="2352"/>
      <c r="AK78" s="2365"/>
      <c r="AL78" s="2353"/>
      <c r="AM78" s="2369"/>
      <c r="AN78" s="2319"/>
      <c r="AO78" s="2320"/>
      <c r="AP78" s="2269"/>
      <c r="AQ78" s="2270"/>
      <c r="AR78" s="2294"/>
      <c r="AS78" s="2295"/>
      <c r="AT78" s="2299"/>
      <c r="AU78" s="658"/>
    </row>
    <row r="79" spans="2:47" ht="24.95" customHeight="1" x14ac:dyDescent="0.15">
      <c r="B79" s="606" t="str">
        <f>入力ページ!Y65</f>
        <v/>
      </c>
      <c r="C79" s="2364" t="s">
        <v>184</v>
      </c>
      <c r="D79" s="2364"/>
      <c r="E79" s="1166"/>
      <c r="F79" s="1156"/>
      <c r="G79" s="1156"/>
      <c r="H79" s="1156"/>
      <c r="I79" s="1156"/>
      <c r="J79" s="1156"/>
      <c r="K79" s="1156"/>
      <c r="L79" s="1155"/>
      <c r="M79" s="1156"/>
      <c r="N79" s="1156"/>
      <c r="O79" s="1156"/>
      <c r="P79" s="1156"/>
      <c r="Q79" s="1156"/>
      <c r="R79" s="1156"/>
      <c r="S79" s="1156"/>
      <c r="T79" s="1156"/>
      <c r="U79" s="1157"/>
      <c r="V79" s="1156"/>
      <c r="W79" s="1156"/>
      <c r="X79" s="1156"/>
      <c r="Y79" s="1156"/>
      <c r="Z79" s="1156"/>
      <c r="AA79" s="1156"/>
      <c r="AB79" s="1156"/>
      <c r="AC79" s="1156"/>
      <c r="AD79" s="1156"/>
      <c r="AE79" s="1156"/>
      <c r="AF79" s="1156"/>
      <c r="AG79" s="1156"/>
      <c r="AH79" s="1156"/>
      <c r="AI79" s="1156"/>
      <c r="AJ79" s="124"/>
      <c r="AK79" s="2365"/>
      <c r="AL79" s="123"/>
      <c r="AM79" s="2370"/>
      <c r="AN79" s="2321"/>
      <c r="AO79" s="2322"/>
      <c r="AP79" s="2300" t="s">
        <v>183</v>
      </c>
      <c r="AQ79" s="2301"/>
      <c r="AR79" s="2302" t="str">
        <f>IF(AND(入力ページ!AD27&lt;&gt;"",SUM(入力ページ!X76:Z79)&gt;=1),"○",IF(AND(入力ページ!AD27&lt;&gt;"",SUM(入力ページ!X76:Z79)=0),"-",""))</f>
        <v/>
      </c>
      <c r="AS79" s="2303"/>
      <c r="AT79" s="611" t="str">
        <f>IF(AND(入力ページ!AD27&lt;&gt;"",SUM(入力ページ!X80)&gt;=1),"○",IF(入力ページ!AD27&lt;&gt;"","-",""))</f>
        <v/>
      </c>
      <c r="AU79" s="658"/>
    </row>
    <row r="80" spans="2:47" ht="24.95" customHeight="1" x14ac:dyDescent="0.15">
      <c r="B80" s="607" t="s">
        <v>0</v>
      </c>
      <c r="C80" s="2364" t="s">
        <v>182</v>
      </c>
      <c r="D80" s="2364"/>
      <c r="E80" s="1166"/>
      <c r="F80" s="1156"/>
      <c r="G80" s="1156"/>
      <c r="H80" s="1156"/>
      <c r="I80" s="1156"/>
      <c r="J80" s="1156"/>
      <c r="K80" s="1156"/>
      <c r="L80" s="1155"/>
      <c r="M80" s="1156"/>
      <c r="N80" s="1156"/>
      <c r="O80" s="1156"/>
      <c r="P80" s="1156"/>
      <c r="Q80" s="1156"/>
      <c r="R80" s="1156"/>
      <c r="S80" s="1156"/>
      <c r="T80" s="1156"/>
      <c r="U80" s="1157"/>
      <c r="V80" s="1156"/>
      <c r="W80" s="1156"/>
      <c r="X80" s="1156"/>
      <c r="Y80" s="1156"/>
      <c r="Z80" s="1156"/>
      <c r="AA80" s="1156"/>
      <c r="AB80" s="1156"/>
      <c r="AC80" s="1156"/>
      <c r="AD80" s="1156"/>
      <c r="AE80" s="1156"/>
      <c r="AF80" s="1156"/>
      <c r="AG80" s="1156"/>
      <c r="AH80" s="1156"/>
      <c r="AI80" s="1156"/>
      <c r="AJ80" s="124"/>
      <c r="AK80" s="2365"/>
      <c r="AL80" s="123"/>
      <c r="AM80" s="2333" t="s">
        <v>492</v>
      </c>
      <c r="AN80" s="2333"/>
      <c r="AO80" s="2334"/>
      <c r="AP80" s="2337" t="s">
        <v>181</v>
      </c>
      <c r="AQ80" s="2338"/>
      <c r="AR80" s="2338"/>
      <c r="AS80" s="2338"/>
      <c r="AT80" s="2339"/>
      <c r="AU80" s="623"/>
    </row>
    <row r="81" spans="2:47" ht="24.95" customHeight="1" thickBot="1" x14ac:dyDescent="0.2">
      <c r="B81" s="608" t="str">
        <f>入力ページ!Y65</f>
        <v/>
      </c>
      <c r="C81" s="2340" t="s">
        <v>278</v>
      </c>
      <c r="D81" s="2341"/>
      <c r="E81" s="1167"/>
      <c r="F81" s="1153"/>
      <c r="G81" s="1153"/>
      <c r="H81" s="1153"/>
      <c r="I81" s="1153"/>
      <c r="J81" s="1153"/>
      <c r="K81" s="1153"/>
      <c r="L81" s="1152"/>
      <c r="M81" s="1153"/>
      <c r="N81" s="1153"/>
      <c r="O81" s="1153"/>
      <c r="P81" s="1153"/>
      <c r="Q81" s="1153"/>
      <c r="R81" s="1153"/>
      <c r="S81" s="1153"/>
      <c r="T81" s="1153"/>
      <c r="U81" s="1154"/>
      <c r="V81" s="1153"/>
      <c r="W81" s="1153"/>
      <c r="X81" s="1153"/>
      <c r="Y81" s="1153"/>
      <c r="Z81" s="1153"/>
      <c r="AA81" s="1153"/>
      <c r="AB81" s="1153"/>
      <c r="AC81" s="1153"/>
      <c r="AD81" s="1153"/>
      <c r="AE81" s="1153"/>
      <c r="AF81" s="1153"/>
      <c r="AG81" s="1153"/>
      <c r="AH81" s="1153"/>
      <c r="AI81" s="1153"/>
      <c r="AJ81" s="124"/>
      <c r="AK81" s="2365"/>
      <c r="AL81" s="123"/>
      <c r="AM81" s="2333"/>
      <c r="AN81" s="2333"/>
      <c r="AO81" s="2334"/>
      <c r="AP81" s="2271" t="s">
        <v>180</v>
      </c>
      <c r="AQ81" s="2272"/>
      <c r="AR81" s="2272"/>
      <c r="AS81" s="2272"/>
      <c r="AT81" s="2273"/>
      <c r="AU81" s="623"/>
    </row>
    <row r="82" spans="2:47" ht="30" customHeight="1" thickTop="1" x14ac:dyDescent="0.15">
      <c r="B82" s="585" t="s">
        <v>1</v>
      </c>
      <c r="C82" s="2342" t="s">
        <v>179</v>
      </c>
      <c r="D82" s="2343"/>
      <c r="E82" s="1168"/>
      <c r="F82" s="1159"/>
      <c r="G82" s="1159"/>
      <c r="H82" s="1159"/>
      <c r="I82" s="1159"/>
      <c r="J82" s="1159"/>
      <c r="K82" s="1159"/>
      <c r="L82" s="1158"/>
      <c r="M82" s="1159"/>
      <c r="N82" s="1159"/>
      <c r="O82" s="1159"/>
      <c r="P82" s="1159"/>
      <c r="Q82" s="1159"/>
      <c r="R82" s="1159"/>
      <c r="S82" s="1159"/>
      <c r="T82" s="1159"/>
      <c r="U82" s="1160"/>
      <c r="V82" s="1159"/>
      <c r="W82" s="1159"/>
      <c r="X82" s="1159"/>
      <c r="Y82" s="1159"/>
      <c r="Z82" s="1159"/>
      <c r="AA82" s="1159"/>
      <c r="AB82" s="1159"/>
      <c r="AC82" s="1159"/>
      <c r="AD82" s="1159"/>
      <c r="AE82" s="1159"/>
      <c r="AF82" s="1159"/>
      <c r="AG82" s="1159"/>
      <c r="AH82" s="1159"/>
      <c r="AI82" s="1159"/>
      <c r="AJ82" s="124"/>
      <c r="AK82" s="2365"/>
      <c r="AL82" s="123"/>
      <c r="AM82" s="2333"/>
      <c r="AN82" s="2333"/>
      <c r="AO82" s="2334"/>
      <c r="AP82" s="2274" t="s">
        <v>493</v>
      </c>
      <c r="AQ82" s="2275"/>
      <c r="AR82" s="2275"/>
      <c r="AS82" s="2275"/>
      <c r="AT82" s="2276"/>
      <c r="AU82" s="624"/>
    </row>
    <row r="83" spans="2:47" ht="30" customHeight="1" x14ac:dyDescent="0.15">
      <c r="B83" s="136" t="s">
        <v>34</v>
      </c>
      <c r="C83" s="2344"/>
      <c r="D83" s="2345"/>
      <c r="E83" s="1169"/>
      <c r="F83" s="1162"/>
      <c r="G83" s="1162"/>
      <c r="H83" s="1162"/>
      <c r="I83" s="1162"/>
      <c r="J83" s="1162"/>
      <c r="K83" s="1162"/>
      <c r="L83" s="1161"/>
      <c r="M83" s="1162"/>
      <c r="N83" s="1162"/>
      <c r="O83" s="1162"/>
      <c r="P83" s="1162"/>
      <c r="Q83" s="1162"/>
      <c r="R83" s="1162"/>
      <c r="S83" s="1162"/>
      <c r="T83" s="1162"/>
      <c r="U83" s="1163"/>
      <c r="V83" s="1162"/>
      <c r="W83" s="1162"/>
      <c r="X83" s="1162"/>
      <c r="Y83" s="1162"/>
      <c r="Z83" s="1162"/>
      <c r="AA83" s="1162"/>
      <c r="AB83" s="1162"/>
      <c r="AC83" s="1162"/>
      <c r="AD83" s="1162"/>
      <c r="AE83" s="1162"/>
      <c r="AF83" s="1162"/>
      <c r="AG83" s="1162"/>
      <c r="AH83" s="1162"/>
      <c r="AI83" s="1162"/>
      <c r="AJ83" s="122"/>
      <c r="AK83" s="121"/>
      <c r="AL83" s="120"/>
      <c r="AM83" s="2335"/>
      <c r="AN83" s="2335"/>
      <c r="AO83" s="2336"/>
      <c r="AP83" s="2277"/>
      <c r="AQ83" s="2278"/>
      <c r="AR83" s="2278"/>
      <c r="AS83" s="2278"/>
      <c r="AT83" s="2279"/>
      <c r="AU83" s="624"/>
    </row>
    <row r="84" spans="2:47" ht="21" customHeight="1" x14ac:dyDescent="0.15">
      <c r="B84" s="2396" t="s">
        <v>62</v>
      </c>
      <c r="C84" s="2397" t="s">
        <v>192</v>
      </c>
      <c r="D84" s="2397"/>
      <c r="E84" s="2374">
        <v>6</v>
      </c>
      <c r="F84" s="2354"/>
      <c r="G84" s="2354">
        <v>7</v>
      </c>
      <c r="H84" s="2354"/>
      <c r="I84" s="2354">
        <v>8</v>
      </c>
      <c r="J84" s="2354"/>
      <c r="K84" s="2354">
        <v>9</v>
      </c>
      <c r="L84" s="2354"/>
      <c r="M84" s="2354">
        <v>10</v>
      </c>
      <c r="N84" s="2354"/>
      <c r="O84" s="2354">
        <v>11</v>
      </c>
      <c r="P84" s="2354"/>
      <c r="Q84" s="2354">
        <v>12</v>
      </c>
      <c r="R84" s="2354"/>
      <c r="S84" s="2354">
        <v>13</v>
      </c>
      <c r="T84" s="2354"/>
      <c r="U84" s="2354">
        <v>14</v>
      </c>
      <c r="V84" s="2354"/>
      <c r="W84" s="2354">
        <v>15</v>
      </c>
      <c r="X84" s="2354"/>
      <c r="Y84" s="2354">
        <v>16</v>
      </c>
      <c r="Z84" s="2354"/>
      <c r="AA84" s="2354">
        <v>17</v>
      </c>
      <c r="AB84" s="2354"/>
      <c r="AC84" s="2354">
        <v>18</v>
      </c>
      <c r="AD84" s="2354"/>
      <c r="AE84" s="2354">
        <v>19</v>
      </c>
      <c r="AF84" s="2354"/>
      <c r="AG84" s="2354">
        <v>20</v>
      </c>
      <c r="AH84" s="2354"/>
      <c r="AI84" s="2354">
        <v>21</v>
      </c>
      <c r="AJ84" s="2354"/>
      <c r="AK84" s="2354">
        <v>22</v>
      </c>
      <c r="AL84" s="2355"/>
      <c r="AM84" s="2356" t="s">
        <v>191</v>
      </c>
      <c r="AN84" s="2356"/>
      <c r="AO84" s="2357"/>
      <c r="AP84" s="2360" t="s">
        <v>190</v>
      </c>
      <c r="AQ84" s="2356"/>
      <c r="AR84" s="2356"/>
      <c r="AS84" s="2356"/>
      <c r="AT84" s="2357"/>
      <c r="AU84" s="656"/>
    </row>
    <row r="85" spans="2:47" ht="9.75" customHeight="1" x14ac:dyDescent="0.15">
      <c r="B85" s="2396"/>
      <c r="C85" s="2397"/>
      <c r="D85" s="2397"/>
      <c r="E85" s="120"/>
      <c r="F85" s="121"/>
      <c r="G85" s="120"/>
      <c r="H85" s="121"/>
      <c r="I85" s="120"/>
      <c r="J85" s="2362">
        <v>35</v>
      </c>
      <c r="K85" s="2363"/>
      <c r="L85" s="121"/>
      <c r="M85" s="120"/>
      <c r="N85" s="121"/>
      <c r="O85" s="120"/>
      <c r="P85" s="121"/>
      <c r="Q85" s="120"/>
      <c r="R85" s="121"/>
      <c r="S85" s="120"/>
      <c r="T85" s="121"/>
      <c r="U85" s="120"/>
      <c r="V85" s="121"/>
      <c r="W85" s="120"/>
      <c r="X85" s="121"/>
      <c r="Y85" s="120"/>
      <c r="Z85" s="121"/>
      <c r="AA85" s="120"/>
      <c r="AB85" s="121"/>
      <c r="AC85" s="120"/>
      <c r="AD85" s="121"/>
      <c r="AE85" s="120"/>
      <c r="AF85" s="121"/>
      <c r="AG85" s="120"/>
      <c r="AH85" s="121"/>
      <c r="AI85" s="120"/>
      <c r="AJ85" s="121"/>
      <c r="AK85" s="120"/>
      <c r="AL85" s="120"/>
      <c r="AM85" s="2358"/>
      <c r="AN85" s="2358"/>
      <c r="AO85" s="2359"/>
      <c r="AP85" s="2361"/>
      <c r="AQ85" s="2358"/>
      <c r="AR85" s="2358"/>
      <c r="AS85" s="2358"/>
      <c r="AT85" s="2359"/>
      <c r="AU85" s="656"/>
    </row>
    <row r="86" spans="2:47" ht="24.95" customHeight="1" x14ac:dyDescent="0.15">
      <c r="B86" s="2383" t="s">
        <v>229</v>
      </c>
      <c r="C86" s="2385" t="s">
        <v>189</v>
      </c>
      <c r="D86" s="2386"/>
      <c r="E86" s="1164"/>
      <c r="F86" s="1165"/>
      <c r="G86" s="1165"/>
      <c r="H86" s="1153"/>
      <c r="I86" s="1153"/>
      <c r="J86" s="1153"/>
      <c r="K86" s="1153"/>
      <c r="L86" s="1152"/>
      <c r="M86" s="1153"/>
      <c r="N86" s="1153"/>
      <c r="O86" s="1153"/>
      <c r="P86" s="1153"/>
      <c r="Q86" s="1153"/>
      <c r="R86" s="1153"/>
      <c r="S86" s="1153"/>
      <c r="T86" s="1153"/>
      <c r="U86" s="1154"/>
      <c r="V86" s="1153"/>
      <c r="W86" s="1153"/>
      <c r="X86" s="1153"/>
      <c r="Y86" s="1153"/>
      <c r="Z86" s="1153"/>
      <c r="AA86" s="1153"/>
      <c r="AB86" s="615"/>
      <c r="AC86" s="615"/>
      <c r="AD86" s="615"/>
      <c r="AE86" s="615"/>
      <c r="AF86" s="615"/>
      <c r="AG86" s="615"/>
      <c r="AH86" s="615"/>
      <c r="AI86" s="615"/>
      <c r="AJ86" s="126"/>
      <c r="AK86" s="125"/>
      <c r="AL86" s="123"/>
      <c r="AM86" s="2314"/>
      <c r="AN86" s="2317" t="s">
        <v>226</v>
      </c>
      <c r="AO86" s="2318"/>
      <c r="AP86" s="2265"/>
      <c r="AQ86" s="2266"/>
      <c r="AR86" s="2300" t="s">
        <v>136</v>
      </c>
      <c r="AS86" s="2301"/>
      <c r="AT86" s="129" t="s">
        <v>188</v>
      </c>
      <c r="AU86" s="657"/>
    </row>
    <row r="87" spans="2:47" ht="12" customHeight="1" x14ac:dyDescent="0.15">
      <c r="B87" s="2384"/>
      <c r="C87" s="2387"/>
      <c r="D87" s="2388"/>
      <c r="E87" s="2312"/>
      <c r="F87" s="2259"/>
      <c r="G87" s="2259"/>
      <c r="H87" s="2259"/>
      <c r="I87" s="2259"/>
      <c r="J87" s="2259"/>
      <c r="K87" s="2346"/>
      <c r="L87" s="2348"/>
      <c r="M87" s="2259"/>
      <c r="N87" s="2259"/>
      <c r="O87" s="2259"/>
      <c r="P87" s="2259"/>
      <c r="Q87" s="2259"/>
      <c r="R87" s="2259"/>
      <c r="S87" s="2259"/>
      <c r="T87" s="2325"/>
      <c r="U87" s="2327"/>
      <c r="V87" s="2259"/>
      <c r="W87" s="2259"/>
      <c r="X87" s="2259"/>
      <c r="Y87" s="2259"/>
      <c r="Z87" s="2259"/>
      <c r="AA87" s="2259"/>
      <c r="AB87" s="2323"/>
      <c r="AC87" s="2323"/>
      <c r="AD87" s="2323"/>
      <c r="AE87" s="2323"/>
      <c r="AF87" s="2323"/>
      <c r="AG87" s="2323"/>
      <c r="AH87" s="2323"/>
      <c r="AI87" s="2329"/>
      <c r="AJ87" s="2352"/>
      <c r="AK87" s="2365"/>
      <c r="AL87" s="2353"/>
      <c r="AM87" s="2315"/>
      <c r="AN87" s="2319"/>
      <c r="AO87" s="2320"/>
      <c r="AP87" s="2267" t="s">
        <v>186</v>
      </c>
      <c r="AQ87" s="2268"/>
      <c r="AR87" s="2292" t="str">
        <f>IF(AND(入力ページ!AE25&lt;&gt;"",SUM(入力ページ!AB67:AD70)&gt;=1),"○",IF(AND(入力ページ!AE25&lt;&gt;"",SUM(入力ページ!AB67:AD70)=0),"-",""))</f>
        <v/>
      </c>
      <c r="AS87" s="2293"/>
      <c r="AT87" s="2296"/>
      <c r="AU87" s="659"/>
    </row>
    <row r="88" spans="2:47" ht="12.75" customHeight="1" x14ac:dyDescent="0.15">
      <c r="B88" s="2384"/>
      <c r="C88" s="2387"/>
      <c r="D88" s="2388"/>
      <c r="E88" s="2312"/>
      <c r="F88" s="2259"/>
      <c r="G88" s="2259"/>
      <c r="H88" s="2259"/>
      <c r="I88" s="2259"/>
      <c r="J88" s="2259"/>
      <c r="K88" s="2346"/>
      <c r="L88" s="2348"/>
      <c r="M88" s="2259"/>
      <c r="N88" s="2259"/>
      <c r="O88" s="2259"/>
      <c r="P88" s="2259"/>
      <c r="Q88" s="2259"/>
      <c r="R88" s="2259"/>
      <c r="S88" s="2259"/>
      <c r="T88" s="2325"/>
      <c r="U88" s="2327"/>
      <c r="V88" s="2259"/>
      <c r="W88" s="2259"/>
      <c r="X88" s="2259"/>
      <c r="Y88" s="2259"/>
      <c r="Z88" s="2259"/>
      <c r="AA88" s="2259"/>
      <c r="AB88" s="2323"/>
      <c r="AC88" s="2323"/>
      <c r="AD88" s="2323"/>
      <c r="AE88" s="2323"/>
      <c r="AF88" s="2323"/>
      <c r="AG88" s="2323"/>
      <c r="AH88" s="2323"/>
      <c r="AI88" s="2329"/>
      <c r="AJ88" s="2352"/>
      <c r="AK88" s="2365"/>
      <c r="AL88" s="2353"/>
      <c r="AM88" s="2316"/>
      <c r="AN88" s="2321"/>
      <c r="AO88" s="2322"/>
      <c r="AP88" s="2269"/>
      <c r="AQ88" s="2270"/>
      <c r="AR88" s="2294"/>
      <c r="AS88" s="2295"/>
      <c r="AT88" s="2297"/>
      <c r="AU88" s="659"/>
    </row>
    <row r="89" spans="2:47" ht="12.75" customHeight="1" x14ac:dyDescent="0.15">
      <c r="B89" s="2384"/>
      <c r="C89" s="2387"/>
      <c r="D89" s="2388"/>
      <c r="E89" s="2312"/>
      <c r="F89" s="2259"/>
      <c r="G89" s="2259"/>
      <c r="H89" s="2259"/>
      <c r="I89" s="2259"/>
      <c r="J89" s="2259"/>
      <c r="K89" s="2346"/>
      <c r="L89" s="2348"/>
      <c r="M89" s="2259"/>
      <c r="N89" s="2259"/>
      <c r="O89" s="2259"/>
      <c r="P89" s="2259"/>
      <c r="Q89" s="2259"/>
      <c r="R89" s="2259"/>
      <c r="S89" s="2259"/>
      <c r="T89" s="2325"/>
      <c r="U89" s="2327"/>
      <c r="V89" s="2259"/>
      <c r="W89" s="2259"/>
      <c r="X89" s="2259"/>
      <c r="Y89" s="2259"/>
      <c r="Z89" s="2259"/>
      <c r="AA89" s="2259"/>
      <c r="AB89" s="2323"/>
      <c r="AC89" s="2323"/>
      <c r="AD89" s="2323"/>
      <c r="AE89" s="2323"/>
      <c r="AF89" s="2323"/>
      <c r="AG89" s="2323"/>
      <c r="AH89" s="2323"/>
      <c r="AI89" s="2329"/>
      <c r="AJ89" s="2352"/>
      <c r="AK89" s="2365"/>
      <c r="AL89" s="2353"/>
      <c r="AM89" s="2314" t="str">
        <f>$AM$20</f>
        <v/>
      </c>
      <c r="AN89" s="2317" t="s">
        <v>225</v>
      </c>
      <c r="AO89" s="2318"/>
      <c r="AP89" s="2267" t="s">
        <v>185</v>
      </c>
      <c r="AQ89" s="2268"/>
      <c r="AR89" s="2292" t="str">
        <f>IF(AND(入力ページ!AE26&lt;&gt;"",SUM(入力ページ!AB71:AD74)&gt;=1),"○",IF(AND(入力ページ!AE26&lt;&gt;"",SUM(入力ページ!AB71:AD74)=0),"-",""))</f>
        <v/>
      </c>
      <c r="AS89" s="2293"/>
      <c r="AT89" s="2298" t="str">
        <f>IF(AND(入力ページ!AE26&lt;&gt;"",SUM(入力ページ!AB75)&gt;=1),"○",IF(入力ページ!AE26&lt;&gt;"","-",""))</f>
        <v/>
      </c>
      <c r="AU89" s="658"/>
    </row>
    <row r="90" spans="2:47" ht="12" customHeight="1" x14ac:dyDescent="0.15">
      <c r="B90" s="2384"/>
      <c r="C90" s="2389"/>
      <c r="D90" s="2390"/>
      <c r="E90" s="2313"/>
      <c r="F90" s="2260"/>
      <c r="G90" s="2260"/>
      <c r="H90" s="2260"/>
      <c r="I90" s="2260"/>
      <c r="J90" s="2260"/>
      <c r="K90" s="2347"/>
      <c r="L90" s="2349"/>
      <c r="M90" s="2260"/>
      <c r="N90" s="2260"/>
      <c r="O90" s="2260"/>
      <c r="P90" s="2260"/>
      <c r="Q90" s="2260"/>
      <c r="R90" s="2260"/>
      <c r="S90" s="2260"/>
      <c r="T90" s="2326"/>
      <c r="U90" s="2328"/>
      <c r="V90" s="2260"/>
      <c r="W90" s="2260"/>
      <c r="X90" s="2260"/>
      <c r="Y90" s="2260"/>
      <c r="Z90" s="2260"/>
      <c r="AA90" s="2260"/>
      <c r="AB90" s="2324"/>
      <c r="AC90" s="2324"/>
      <c r="AD90" s="2324"/>
      <c r="AE90" s="2324"/>
      <c r="AF90" s="2324"/>
      <c r="AG90" s="2324"/>
      <c r="AH90" s="2324"/>
      <c r="AI90" s="2330"/>
      <c r="AJ90" s="2352"/>
      <c r="AK90" s="2365"/>
      <c r="AL90" s="2353"/>
      <c r="AM90" s="2315"/>
      <c r="AN90" s="2319"/>
      <c r="AO90" s="2320"/>
      <c r="AP90" s="2269"/>
      <c r="AQ90" s="2270"/>
      <c r="AR90" s="2294"/>
      <c r="AS90" s="2295"/>
      <c r="AT90" s="2299"/>
      <c r="AU90" s="658"/>
    </row>
    <row r="91" spans="2:47" ht="24.95" customHeight="1" x14ac:dyDescent="0.15">
      <c r="B91" s="606" t="str">
        <f>入力ページ!AC65</f>
        <v/>
      </c>
      <c r="C91" s="2331" t="s">
        <v>184</v>
      </c>
      <c r="D91" s="2332"/>
      <c r="E91" s="1166"/>
      <c r="F91" s="1156"/>
      <c r="G91" s="1156"/>
      <c r="H91" s="1156"/>
      <c r="I91" s="1156"/>
      <c r="J91" s="1156"/>
      <c r="K91" s="1156"/>
      <c r="L91" s="1155"/>
      <c r="M91" s="1156"/>
      <c r="N91" s="1156"/>
      <c r="O91" s="1156"/>
      <c r="P91" s="1156"/>
      <c r="Q91" s="1156"/>
      <c r="R91" s="1156"/>
      <c r="S91" s="1156"/>
      <c r="T91" s="1156"/>
      <c r="U91" s="1157"/>
      <c r="V91" s="1156"/>
      <c r="W91" s="1156"/>
      <c r="X91" s="1156"/>
      <c r="Y91" s="1156"/>
      <c r="Z91" s="1156"/>
      <c r="AA91" s="1156"/>
      <c r="AB91" s="617"/>
      <c r="AC91" s="617"/>
      <c r="AD91" s="617"/>
      <c r="AE91" s="617"/>
      <c r="AF91" s="617"/>
      <c r="AG91" s="617"/>
      <c r="AH91" s="617"/>
      <c r="AI91" s="617"/>
      <c r="AJ91" s="124"/>
      <c r="AK91" s="2365"/>
      <c r="AL91" s="123"/>
      <c r="AM91" s="2316"/>
      <c r="AN91" s="2321"/>
      <c r="AO91" s="2322"/>
      <c r="AP91" s="2300" t="s">
        <v>183</v>
      </c>
      <c r="AQ91" s="2301"/>
      <c r="AR91" s="2350" t="s">
        <v>5</v>
      </c>
      <c r="AS91" s="2351"/>
      <c r="AT91" s="612" t="s">
        <v>5</v>
      </c>
      <c r="AU91" s="658"/>
    </row>
    <row r="92" spans="2:47" ht="24.95" customHeight="1" x14ac:dyDescent="0.15">
      <c r="B92" s="607" t="s">
        <v>0</v>
      </c>
      <c r="C92" s="2331" t="s">
        <v>182</v>
      </c>
      <c r="D92" s="2332"/>
      <c r="E92" s="1166"/>
      <c r="F92" s="1156"/>
      <c r="G92" s="1156"/>
      <c r="H92" s="1156"/>
      <c r="I92" s="1156"/>
      <c r="J92" s="1156"/>
      <c r="K92" s="1156"/>
      <c r="L92" s="1155"/>
      <c r="M92" s="1156"/>
      <c r="N92" s="1156"/>
      <c r="O92" s="1156"/>
      <c r="P92" s="1156"/>
      <c r="Q92" s="1156"/>
      <c r="R92" s="1156"/>
      <c r="S92" s="1156"/>
      <c r="T92" s="1156"/>
      <c r="U92" s="1157"/>
      <c r="V92" s="1156"/>
      <c r="W92" s="1156"/>
      <c r="X92" s="1156"/>
      <c r="Y92" s="1156"/>
      <c r="Z92" s="1156"/>
      <c r="AA92" s="1156"/>
      <c r="AB92" s="617"/>
      <c r="AC92" s="617"/>
      <c r="AD92" s="617"/>
      <c r="AE92" s="617"/>
      <c r="AF92" s="617"/>
      <c r="AG92" s="617"/>
      <c r="AH92" s="617"/>
      <c r="AI92" s="617"/>
      <c r="AJ92" s="124"/>
      <c r="AK92" s="2365"/>
      <c r="AL92" s="123"/>
      <c r="AM92" s="2333" t="s">
        <v>492</v>
      </c>
      <c r="AN92" s="2333"/>
      <c r="AO92" s="2334"/>
      <c r="AP92" s="2337" t="s">
        <v>181</v>
      </c>
      <c r="AQ92" s="2338"/>
      <c r="AR92" s="2338"/>
      <c r="AS92" s="2338"/>
      <c r="AT92" s="2339"/>
      <c r="AU92" s="623"/>
    </row>
    <row r="93" spans="2:47" ht="24.95" customHeight="1" thickBot="1" x14ac:dyDescent="0.2">
      <c r="B93" s="608" t="str">
        <f>入力ページ!AC65</f>
        <v/>
      </c>
      <c r="C93" s="2340" t="s">
        <v>278</v>
      </c>
      <c r="D93" s="2341"/>
      <c r="E93" s="1167"/>
      <c r="F93" s="1153"/>
      <c r="G93" s="1153"/>
      <c r="H93" s="1153"/>
      <c r="I93" s="1153"/>
      <c r="J93" s="1153"/>
      <c r="K93" s="1153"/>
      <c r="L93" s="1152"/>
      <c r="M93" s="1153"/>
      <c r="N93" s="1153"/>
      <c r="O93" s="1153"/>
      <c r="P93" s="1153"/>
      <c r="Q93" s="1153"/>
      <c r="R93" s="1153"/>
      <c r="S93" s="1153"/>
      <c r="T93" s="1153"/>
      <c r="U93" s="1154"/>
      <c r="V93" s="1153"/>
      <c r="W93" s="1153"/>
      <c r="X93" s="1153"/>
      <c r="Y93" s="1153"/>
      <c r="Z93" s="1153"/>
      <c r="AA93" s="1153"/>
      <c r="AB93" s="615"/>
      <c r="AC93" s="615"/>
      <c r="AD93" s="615"/>
      <c r="AE93" s="615"/>
      <c r="AF93" s="615"/>
      <c r="AG93" s="615"/>
      <c r="AH93" s="615"/>
      <c r="AI93" s="615"/>
      <c r="AJ93" s="124"/>
      <c r="AK93" s="2365"/>
      <c r="AL93" s="123"/>
      <c r="AM93" s="2333"/>
      <c r="AN93" s="2333"/>
      <c r="AO93" s="2334"/>
      <c r="AP93" s="2271" t="s">
        <v>180</v>
      </c>
      <c r="AQ93" s="2272"/>
      <c r="AR93" s="2272"/>
      <c r="AS93" s="2272"/>
      <c r="AT93" s="2273"/>
      <c r="AU93" s="623"/>
    </row>
    <row r="94" spans="2:47" ht="30" customHeight="1" thickTop="1" x14ac:dyDescent="0.15">
      <c r="B94" s="585" t="s">
        <v>1</v>
      </c>
      <c r="C94" s="2342" t="s">
        <v>179</v>
      </c>
      <c r="D94" s="2343"/>
      <c r="E94" s="1168"/>
      <c r="F94" s="1159"/>
      <c r="G94" s="1159"/>
      <c r="H94" s="1159"/>
      <c r="I94" s="1159"/>
      <c r="J94" s="1159"/>
      <c r="K94" s="1159"/>
      <c r="L94" s="1158"/>
      <c r="M94" s="1159"/>
      <c r="N94" s="1159"/>
      <c r="O94" s="1159"/>
      <c r="P94" s="1159"/>
      <c r="Q94" s="1159"/>
      <c r="R94" s="1159"/>
      <c r="S94" s="1159"/>
      <c r="T94" s="1159"/>
      <c r="U94" s="1160"/>
      <c r="V94" s="1159"/>
      <c r="W94" s="1159"/>
      <c r="X94" s="1159"/>
      <c r="Y94" s="1159"/>
      <c r="Z94" s="1159"/>
      <c r="AA94" s="1159"/>
      <c r="AB94" s="620"/>
      <c r="AC94" s="620"/>
      <c r="AD94" s="620"/>
      <c r="AE94" s="620"/>
      <c r="AF94" s="620"/>
      <c r="AG94" s="620"/>
      <c r="AH94" s="620"/>
      <c r="AI94" s="620"/>
      <c r="AJ94" s="124"/>
      <c r="AK94" s="2365"/>
      <c r="AL94" s="123"/>
      <c r="AM94" s="2333"/>
      <c r="AN94" s="2333"/>
      <c r="AO94" s="2334"/>
      <c r="AP94" s="2274" t="s">
        <v>493</v>
      </c>
      <c r="AQ94" s="2275"/>
      <c r="AR94" s="2275"/>
      <c r="AS94" s="2275"/>
      <c r="AT94" s="2276"/>
      <c r="AU94" s="624"/>
    </row>
    <row r="95" spans="2:47" ht="30" customHeight="1" x14ac:dyDescent="0.15">
      <c r="B95" s="136" t="s">
        <v>34</v>
      </c>
      <c r="C95" s="2344"/>
      <c r="D95" s="2345"/>
      <c r="E95" s="1169"/>
      <c r="F95" s="1162"/>
      <c r="G95" s="1162"/>
      <c r="H95" s="1162"/>
      <c r="I95" s="1162"/>
      <c r="J95" s="1162"/>
      <c r="K95" s="1162"/>
      <c r="L95" s="1161"/>
      <c r="M95" s="1162"/>
      <c r="N95" s="1162"/>
      <c r="O95" s="1162"/>
      <c r="P95" s="1162"/>
      <c r="Q95" s="1162"/>
      <c r="R95" s="1162"/>
      <c r="S95" s="1162"/>
      <c r="T95" s="1162"/>
      <c r="U95" s="1163"/>
      <c r="V95" s="1162"/>
      <c r="W95" s="1162"/>
      <c r="X95" s="1162"/>
      <c r="Y95" s="1162"/>
      <c r="Z95" s="1162"/>
      <c r="AA95" s="1162"/>
      <c r="AB95" s="622"/>
      <c r="AC95" s="622"/>
      <c r="AD95" s="622"/>
      <c r="AE95" s="622"/>
      <c r="AF95" s="622"/>
      <c r="AG95" s="622"/>
      <c r="AH95" s="622"/>
      <c r="AI95" s="622"/>
      <c r="AJ95" s="122"/>
      <c r="AK95" s="121"/>
      <c r="AL95" s="120"/>
      <c r="AM95" s="2335"/>
      <c r="AN95" s="2335"/>
      <c r="AO95" s="2336"/>
      <c r="AP95" s="2277"/>
      <c r="AQ95" s="2278"/>
      <c r="AR95" s="2278"/>
      <c r="AS95" s="2278"/>
      <c r="AT95" s="2279"/>
      <c r="AU95" s="624"/>
    </row>
    <row r="96" spans="2:47" ht="18.75" customHeight="1" x14ac:dyDescent="0.15">
      <c r="B96" s="119" t="s">
        <v>178</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O96" s="2283" t="s">
        <v>285</v>
      </c>
      <c r="AP96" s="2284"/>
      <c r="AQ96" s="2284"/>
      <c r="AR96" s="2284"/>
      <c r="AS96" s="2284"/>
      <c r="AT96" s="2284"/>
      <c r="AU96" s="657"/>
    </row>
    <row r="97" spans="2:47" ht="26.25" customHeight="1" x14ac:dyDescent="0.15">
      <c r="B97" s="1134" t="s">
        <v>284</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O97" s="2285"/>
      <c r="AP97" s="2285"/>
      <c r="AQ97" s="2285"/>
      <c r="AR97" s="2285"/>
      <c r="AS97" s="2285"/>
      <c r="AT97" s="2285"/>
      <c r="AU97" s="626"/>
    </row>
  </sheetData>
  <sheetProtection algorithmName="SHA-512" hashValue="arcoFgNtIdfvRBdcll7tCWU/x1q/RQ9+eSKg9rl7Af90SQK/q/suhFpIAMSGPQHk2HrtDygD3+DvybYvZZMk2g==" saltValue="Rmks/93QIeELAJgXFLOYhw==" spinCount="100000" sheet="1" formatCells="0" selectLockedCells="1"/>
  <mergeCells count="800">
    <mergeCell ref="Z5:Z6"/>
    <mergeCell ref="AI1:AL2"/>
    <mergeCell ref="AM1:AN2"/>
    <mergeCell ref="AO1:AQ2"/>
    <mergeCell ref="AJ3:AT4"/>
    <mergeCell ref="AC5:AD5"/>
    <mergeCell ref="AE5:AF5"/>
    <mergeCell ref="AC6:AD6"/>
    <mergeCell ref="AE6:AF6"/>
    <mergeCell ref="B4:AB4"/>
    <mergeCell ref="AG5:AH5"/>
    <mergeCell ref="AI5:AJ5"/>
    <mergeCell ref="AK5:AL5"/>
    <mergeCell ref="AG6:AH6"/>
    <mergeCell ref="AI6:AJ6"/>
    <mergeCell ref="AK6:AL6"/>
    <mergeCell ref="AM5:AO5"/>
    <mergeCell ref="AM6:AO6"/>
    <mergeCell ref="N3:AI3"/>
    <mergeCell ref="AA5:AB6"/>
    <mergeCell ref="W5:X5"/>
    <mergeCell ref="W6:X6"/>
    <mergeCell ref="C5:V5"/>
    <mergeCell ref="C6:V6"/>
    <mergeCell ref="N2:O2"/>
    <mergeCell ref="E2:I3"/>
    <mergeCell ref="J2:J3"/>
    <mergeCell ref="K2:L2"/>
    <mergeCell ref="K3:L3"/>
    <mergeCell ref="B2:D3"/>
    <mergeCell ref="Q2:AH2"/>
    <mergeCell ref="B41:B45"/>
    <mergeCell ref="AP27:AT28"/>
    <mergeCell ref="AP29:AQ29"/>
    <mergeCell ref="C23:D23"/>
    <mergeCell ref="AA27:AB27"/>
    <mergeCell ref="AC27:AD27"/>
    <mergeCell ref="M15:N15"/>
    <mergeCell ref="B27:B28"/>
    <mergeCell ref="C27:D28"/>
    <mergeCell ref="AP41:AQ41"/>
    <mergeCell ref="AP36:AT36"/>
    <mergeCell ref="U15:V15"/>
    <mergeCell ref="AM15:AO16"/>
    <mergeCell ref="AP37:AT38"/>
    <mergeCell ref="AP39:AT40"/>
    <mergeCell ref="AP32:AQ33"/>
    <mergeCell ref="AR32:AS33"/>
    <mergeCell ref="B86:B90"/>
    <mergeCell ref="C86:D90"/>
    <mergeCell ref="AP86:AQ86"/>
    <mergeCell ref="AB87:AB88"/>
    <mergeCell ref="AC87:AC88"/>
    <mergeCell ref="AD87:AD88"/>
    <mergeCell ref="AE87:AE88"/>
    <mergeCell ref="AF87:AF88"/>
    <mergeCell ref="AG87:AG88"/>
    <mergeCell ref="AH87:AH88"/>
    <mergeCell ref="AI87:AI88"/>
    <mergeCell ref="AJ87:AJ88"/>
    <mergeCell ref="AK87:AK94"/>
    <mergeCell ref="AL87:AL88"/>
    <mergeCell ref="AP87:AQ88"/>
    <mergeCell ref="Y89:Y90"/>
    <mergeCell ref="Z89:Z90"/>
    <mergeCell ref="T87:T88"/>
    <mergeCell ref="U87:U88"/>
    <mergeCell ref="V87:V88"/>
    <mergeCell ref="E87:E88"/>
    <mergeCell ref="F87:F88"/>
    <mergeCell ref="G87:G88"/>
    <mergeCell ref="H87:H88"/>
    <mergeCell ref="AO96:AT97"/>
    <mergeCell ref="AT44:AT45"/>
    <mergeCell ref="AP35:AT35"/>
    <mergeCell ref="AP60:AT61"/>
    <mergeCell ref="AQ59:AR59"/>
    <mergeCell ref="AS59:AT59"/>
    <mergeCell ref="AP62:AQ62"/>
    <mergeCell ref="AR62:AS62"/>
    <mergeCell ref="AM39:AO40"/>
    <mergeCell ref="AR41:AS41"/>
    <mergeCell ref="AP42:AQ43"/>
    <mergeCell ref="AR42:AS43"/>
    <mergeCell ref="AP44:AQ45"/>
    <mergeCell ref="AT42:AT43"/>
    <mergeCell ref="AM35:AO38"/>
    <mergeCell ref="AR44:AS45"/>
    <mergeCell ref="AP46:AQ46"/>
    <mergeCell ref="AR46:AS46"/>
    <mergeCell ref="AR74:AS74"/>
    <mergeCell ref="AM47:AO50"/>
    <mergeCell ref="AM53:AN53"/>
    <mergeCell ref="AQ53:AR53"/>
    <mergeCell ref="AS53:AT53"/>
    <mergeCell ref="AP47:AT47"/>
    <mergeCell ref="AT18:AT19"/>
    <mergeCell ref="AM23:AO26"/>
    <mergeCell ref="AR18:AS19"/>
    <mergeCell ref="AR17:AS17"/>
    <mergeCell ref="AR22:AS22"/>
    <mergeCell ref="AP23:AT23"/>
    <mergeCell ref="AP20:AQ21"/>
    <mergeCell ref="AR20:AS21"/>
    <mergeCell ref="AT20:AT21"/>
    <mergeCell ref="AP22:AQ22"/>
    <mergeCell ref="AN17:AO19"/>
    <mergeCell ref="AN20:AO22"/>
    <mergeCell ref="AM17:AM19"/>
    <mergeCell ref="AM20:AM22"/>
    <mergeCell ref="AP24:AT24"/>
    <mergeCell ref="AP25:AT26"/>
    <mergeCell ref="U39:V39"/>
    <mergeCell ref="AL18:AL19"/>
    <mergeCell ref="AL20:AL21"/>
    <mergeCell ref="V20:V21"/>
    <mergeCell ref="W20:W21"/>
    <mergeCell ref="X20:X21"/>
    <mergeCell ref="Y20:Y21"/>
    <mergeCell ref="Z20:Z21"/>
    <mergeCell ref="AA20:AA21"/>
    <mergeCell ref="AJ30:AJ31"/>
    <mergeCell ref="AG39:AH39"/>
    <mergeCell ref="AI39:AJ39"/>
    <mergeCell ref="W39:X39"/>
    <mergeCell ref="Y39:Z39"/>
    <mergeCell ref="AA32:AA33"/>
    <mergeCell ref="AB32:AB33"/>
    <mergeCell ref="AC32:AC33"/>
    <mergeCell ref="U32:U33"/>
    <mergeCell ref="AJ20:AJ21"/>
    <mergeCell ref="W27:X27"/>
    <mergeCell ref="Y27:Z27"/>
    <mergeCell ref="AI32:AI33"/>
    <mergeCell ref="AG27:AH27"/>
    <mergeCell ref="AI27:AJ27"/>
    <mergeCell ref="AM9:AN9"/>
    <mergeCell ref="AM10:AP11"/>
    <mergeCell ref="AM12:AP13"/>
    <mergeCell ref="AQ9:AR9"/>
    <mergeCell ref="AQ10:AR11"/>
    <mergeCell ref="AQ12:AR13"/>
    <mergeCell ref="O27:P27"/>
    <mergeCell ref="Q27:R27"/>
    <mergeCell ref="F11:P13"/>
    <mergeCell ref="H14:J14"/>
    <mergeCell ref="R14:T14"/>
    <mergeCell ref="AB14:AF14"/>
    <mergeCell ref="AE27:AF27"/>
    <mergeCell ref="AM14:AN14"/>
    <mergeCell ref="N18:N19"/>
    <mergeCell ref="O18:O19"/>
    <mergeCell ref="P18:P19"/>
    <mergeCell ref="AK27:AL27"/>
    <mergeCell ref="AB9:AC9"/>
    <mergeCell ref="U9:W9"/>
    <mergeCell ref="S18:S19"/>
    <mergeCell ref="T18:T19"/>
    <mergeCell ref="AP18:AQ19"/>
    <mergeCell ref="E27:F27"/>
    <mergeCell ref="D9:P9"/>
    <mergeCell ref="O8:AL8"/>
    <mergeCell ref="B8:N8"/>
    <mergeCell ref="D11:E13"/>
    <mergeCell ref="B15:B16"/>
    <mergeCell ref="L14:N14"/>
    <mergeCell ref="F10:P10"/>
    <mergeCell ref="Z9:AA9"/>
    <mergeCell ref="B9:C9"/>
    <mergeCell ref="B10:C13"/>
    <mergeCell ref="D10:E10"/>
    <mergeCell ref="C15:D16"/>
    <mergeCell ref="AC15:AD15"/>
    <mergeCell ref="AI15:AJ15"/>
    <mergeCell ref="AK15:AL15"/>
    <mergeCell ref="O15:P15"/>
    <mergeCell ref="K15:L15"/>
    <mergeCell ref="Q15:R15"/>
    <mergeCell ref="S15:T15"/>
    <mergeCell ref="AE15:AF15"/>
    <mergeCell ref="B14:D14"/>
    <mergeCell ref="G15:H15"/>
    <mergeCell ref="E15:F15"/>
    <mergeCell ref="I15:J15"/>
    <mergeCell ref="W15:X15"/>
    <mergeCell ref="Y15:Z15"/>
    <mergeCell ref="AA15:AB15"/>
    <mergeCell ref="U27:V27"/>
    <mergeCell ref="U18:U19"/>
    <mergeCell ref="V18:V19"/>
    <mergeCell ref="Q18:Q19"/>
    <mergeCell ref="R18:R19"/>
    <mergeCell ref="C25:D26"/>
    <mergeCell ref="H20:H21"/>
    <mergeCell ref="I20:I21"/>
    <mergeCell ref="J20:J21"/>
    <mergeCell ref="K20:K21"/>
    <mergeCell ref="T20:T21"/>
    <mergeCell ref="U20:U21"/>
    <mergeCell ref="S20:S21"/>
    <mergeCell ref="L18:L19"/>
    <mergeCell ref="M18:M19"/>
    <mergeCell ref="G27:H27"/>
    <mergeCell ref="C22:D22"/>
    <mergeCell ref="C24:D24"/>
    <mergeCell ref="B39:B40"/>
    <mergeCell ref="C39:D40"/>
    <mergeCell ref="C36:D36"/>
    <mergeCell ref="C29:D33"/>
    <mergeCell ref="C34:D34"/>
    <mergeCell ref="C35:D35"/>
    <mergeCell ref="AA39:AB39"/>
    <mergeCell ref="O30:O31"/>
    <mergeCell ref="P30:P31"/>
    <mergeCell ref="Q30:Q31"/>
    <mergeCell ref="R30:R31"/>
    <mergeCell ref="S30:S31"/>
    <mergeCell ref="T30:T31"/>
    <mergeCell ref="U30:U31"/>
    <mergeCell ref="V30:V31"/>
    <mergeCell ref="W30:W31"/>
    <mergeCell ref="X30:X31"/>
    <mergeCell ref="Y30:Y31"/>
    <mergeCell ref="Z30:Z31"/>
    <mergeCell ref="AA30:AA31"/>
    <mergeCell ref="AB30:AB31"/>
    <mergeCell ref="V32:V33"/>
    <mergeCell ref="B29:B33"/>
    <mergeCell ref="S39:T39"/>
    <mergeCell ref="C48:D48"/>
    <mergeCell ref="C46:D46"/>
    <mergeCell ref="M39:N39"/>
    <mergeCell ref="O39:P39"/>
    <mergeCell ref="Q39:R39"/>
    <mergeCell ref="C47:D47"/>
    <mergeCell ref="E39:F39"/>
    <mergeCell ref="I39:J39"/>
    <mergeCell ref="J40:K40"/>
    <mergeCell ref="C41:D45"/>
    <mergeCell ref="K39:L39"/>
    <mergeCell ref="E42:E43"/>
    <mergeCell ref="F42:F43"/>
    <mergeCell ref="G42:G43"/>
    <mergeCell ref="H42:H43"/>
    <mergeCell ref="I42:I43"/>
    <mergeCell ref="J42:J43"/>
    <mergeCell ref="K42:K43"/>
    <mergeCell ref="L42:L43"/>
    <mergeCell ref="M42:M43"/>
    <mergeCell ref="N42:N43"/>
    <mergeCell ref="O42:O43"/>
    <mergeCell ref="P42:P43"/>
    <mergeCell ref="Q42:Q43"/>
    <mergeCell ref="E30:E31"/>
    <mergeCell ref="F30:F31"/>
    <mergeCell ref="G30:G31"/>
    <mergeCell ref="H30:H31"/>
    <mergeCell ref="I30:I31"/>
    <mergeCell ref="J30:J31"/>
    <mergeCell ref="K30:K31"/>
    <mergeCell ref="L30:L31"/>
    <mergeCell ref="M30:M31"/>
    <mergeCell ref="G32:G33"/>
    <mergeCell ref="H32:H33"/>
    <mergeCell ref="I32:I33"/>
    <mergeCell ref="J32:J33"/>
    <mergeCell ref="K32:K33"/>
    <mergeCell ref="L32:L33"/>
    <mergeCell ref="M32:M33"/>
    <mergeCell ref="N32:N33"/>
    <mergeCell ref="O32:O33"/>
    <mergeCell ref="P32:P33"/>
    <mergeCell ref="Q32:Q33"/>
    <mergeCell ref="W32:W33"/>
    <mergeCell ref="X32:X33"/>
    <mergeCell ref="Y32:Y33"/>
    <mergeCell ref="Z32:Z33"/>
    <mergeCell ref="N30:N31"/>
    <mergeCell ref="R32:R33"/>
    <mergeCell ref="S32:S33"/>
    <mergeCell ref="T32:T33"/>
    <mergeCell ref="AD18:AD19"/>
    <mergeCell ref="AE18:AE19"/>
    <mergeCell ref="AF18:AF19"/>
    <mergeCell ref="AG18:AG19"/>
    <mergeCell ref="AH18:AH19"/>
    <mergeCell ref="AI18:AI19"/>
    <mergeCell ref="AJ18:AJ19"/>
    <mergeCell ref="AK18:AK25"/>
    <mergeCell ref="C49:D50"/>
    <mergeCell ref="AK39:AL39"/>
    <mergeCell ref="G39:H39"/>
    <mergeCell ref="AL32:AL33"/>
    <mergeCell ref="AB20:AB21"/>
    <mergeCell ref="AC20:AC21"/>
    <mergeCell ref="C37:D38"/>
    <mergeCell ref="K27:L27"/>
    <mergeCell ref="M27:N27"/>
    <mergeCell ref="S27:T27"/>
    <mergeCell ref="J28:K28"/>
    <mergeCell ref="I27:J27"/>
    <mergeCell ref="AI30:AI31"/>
    <mergeCell ref="E32:E33"/>
    <mergeCell ref="F32:F33"/>
    <mergeCell ref="AH30:AH31"/>
    <mergeCell ref="B54:C54"/>
    <mergeCell ref="D54:P54"/>
    <mergeCell ref="R54:T54"/>
    <mergeCell ref="U54:W54"/>
    <mergeCell ref="Z54:AA54"/>
    <mergeCell ref="AB54:AC54"/>
    <mergeCell ref="B55:C58"/>
    <mergeCell ref="D55:E55"/>
    <mergeCell ref="F55:P55"/>
    <mergeCell ref="D56:E58"/>
    <mergeCell ref="F56:P58"/>
    <mergeCell ref="E60:F60"/>
    <mergeCell ref="G60:H60"/>
    <mergeCell ref="I60:J60"/>
    <mergeCell ref="K60:L60"/>
    <mergeCell ref="M60:N60"/>
    <mergeCell ref="O60:P60"/>
    <mergeCell ref="Q60:R60"/>
    <mergeCell ref="J61:K61"/>
    <mergeCell ref="AM8:AN8"/>
    <mergeCell ref="E20:E21"/>
    <mergeCell ref="F20:F21"/>
    <mergeCell ref="G20:G21"/>
    <mergeCell ref="AK30:AK37"/>
    <mergeCell ref="AL30:AL31"/>
    <mergeCell ref="AJ32:AJ33"/>
    <mergeCell ref="B53:N53"/>
    <mergeCell ref="O53:AL53"/>
    <mergeCell ref="W18:W19"/>
    <mergeCell ref="X18:X19"/>
    <mergeCell ref="Y18:Y19"/>
    <mergeCell ref="Z18:Z19"/>
    <mergeCell ref="AA18:AA19"/>
    <mergeCell ref="AB18:AB19"/>
    <mergeCell ref="AC18:AC19"/>
    <mergeCell ref="E75:E76"/>
    <mergeCell ref="F75:F76"/>
    <mergeCell ref="G75:G76"/>
    <mergeCell ref="H75:H76"/>
    <mergeCell ref="I75:I76"/>
    <mergeCell ref="J75:J76"/>
    <mergeCell ref="K75:K76"/>
    <mergeCell ref="L75:L76"/>
    <mergeCell ref="M75:M76"/>
    <mergeCell ref="C68:D68"/>
    <mergeCell ref="C69:D69"/>
    <mergeCell ref="AJ65:AJ66"/>
    <mergeCell ref="AD65:AD66"/>
    <mergeCell ref="B72:B73"/>
    <mergeCell ref="AP70:AT71"/>
    <mergeCell ref="AM72:AO73"/>
    <mergeCell ref="AP72:AT73"/>
    <mergeCell ref="J73:K73"/>
    <mergeCell ref="C70:D71"/>
    <mergeCell ref="AM68:AO71"/>
    <mergeCell ref="AP68:AT68"/>
    <mergeCell ref="AP69:AT69"/>
    <mergeCell ref="AK63:AK70"/>
    <mergeCell ref="R63:R64"/>
    <mergeCell ref="AF63:AF64"/>
    <mergeCell ref="AG63:AG64"/>
    <mergeCell ref="AH63:AH64"/>
    <mergeCell ref="AI63:AI64"/>
    <mergeCell ref="AJ63:AJ64"/>
    <mergeCell ref="AD63:AD64"/>
    <mergeCell ref="V65:V66"/>
    <mergeCell ref="W65:W66"/>
    <mergeCell ref="X65:X66"/>
    <mergeCell ref="B84:B85"/>
    <mergeCell ref="C84:D85"/>
    <mergeCell ref="E84:F84"/>
    <mergeCell ref="G84:H84"/>
    <mergeCell ref="N65:N66"/>
    <mergeCell ref="O65:O66"/>
    <mergeCell ref="P65:P66"/>
    <mergeCell ref="Q65:Q66"/>
    <mergeCell ref="R65:R66"/>
    <mergeCell ref="B74:B78"/>
    <mergeCell ref="C74:D78"/>
    <mergeCell ref="E65:E66"/>
    <mergeCell ref="F65:F66"/>
    <mergeCell ref="G65:G66"/>
    <mergeCell ref="H65:H66"/>
    <mergeCell ref="I65:I66"/>
    <mergeCell ref="J65:J66"/>
    <mergeCell ref="K65:K66"/>
    <mergeCell ref="L65:L66"/>
    <mergeCell ref="M65:M66"/>
    <mergeCell ref="N77:N78"/>
    <mergeCell ref="O77:O78"/>
    <mergeCell ref="P77:P78"/>
    <mergeCell ref="Q77:Q78"/>
    <mergeCell ref="AS10:AT11"/>
    <mergeCell ref="AS12:AT13"/>
    <mergeCell ref="AS14:AT14"/>
    <mergeCell ref="AQ14:AR14"/>
    <mergeCell ref="AO8:AP8"/>
    <mergeCell ref="C67:D67"/>
    <mergeCell ref="S63:S64"/>
    <mergeCell ref="T63:T64"/>
    <mergeCell ref="U63:U64"/>
    <mergeCell ref="V63:V64"/>
    <mergeCell ref="W63:W64"/>
    <mergeCell ref="B59:D59"/>
    <mergeCell ref="H59:J59"/>
    <mergeCell ref="AM59:AN59"/>
    <mergeCell ref="AM60:AO61"/>
    <mergeCell ref="B62:B66"/>
    <mergeCell ref="C62:D66"/>
    <mergeCell ref="E63:E64"/>
    <mergeCell ref="F63:F64"/>
    <mergeCell ref="G63:G64"/>
    <mergeCell ref="H63:H64"/>
    <mergeCell ref="I63:I64"/>
    <mergeCell ref="B60:B61"/>
    <mergeCell ref="C60:D61"/>
    <mergeCell ref="AQ8:AR8"/>
    <mergeCell ref="AJ14:AL14"/>
    <mergeCell ref="AG15:AH15"/>
    <mergeCell ref="R9:T9"/>
    <mergeCell ref="AP15:AT16"/>
    <mergeCell ref="AP17:AQ17"/>
    <mergeCell ref="B17:B21"/>
    <mergeCell ref="C17:D21"/>
    <mergeCell ref="L20:L21"/>
    <mergeCell ref="M20:M21"/>
    <mergeCell ref="N20:N21"/>
    <mergeCell ref="O20:O21"/>
    <mergeCell ref="P20:P21"/>
    <mergeCell ref="Q20:Q21"/>
    <mergeCell ref="R20:R21"/>
    <mergeCell ref="E18:E19"/>
    <mergeCell ref="F18:F19"/>
    <mergeCell ref="G18:G19"/>
    <mergeCell ref="H18:H19"/>
    <mergeCell ref="I18:I19"/>
    <mergeCell ref="J18:J19"/>
    <mergeCell ref="K18:K19"/>
    <mergeCell ref="AS8:AT8"/>
    <mergeCell ref="AS9:AT9"/>
    <mergeCell ref="AD20:AD21"/>
    <mergeCell ref="AE20:AE21"/>
    <mergeCell ref="AF20:AF21"/>
    <mergeCell ref="AG20:AG21"/>
    <mergeCell ref="AH20:AH21"/>
    <mergeCell ref="AI20:AI21"/>
    <mergeCell ref="AC30:AC31"/>
    <mergeCell ref="AD30:AD31"/>
    <mergeCell ref="AE30:AE31"/>
    <mergeCell ref="AF30:AF31"/>
    <mergeCell ref="AG30:AG31"/>
    <mergeCell ref="AR29:AS29"/>
    <mergeCell ref="AP30:AQ31"/>
    <mergeCell ref="AR30:AS31"/>
    <mergeCell ref="AT30:AT31"/>
    <mergeCell ref="AM27:AO28"/>
    <mergeCell ref="AM29:AM31"/>
    <mergeCell ref="AN29:AO31"/>
    <mergeCell ref="AM32:AM34"/>
    <mergeCell ref="AN32:AO34"/>
    <mergeCell ref="AT32:AT33"/>
    <mergeCell ref="AP34:AQ34"/>
    <mergeCell ref="AR34:AS34"/>
    <mergeCell ref="AD32:AD33"/>
    <mergeCell ref="AE32:AE33"/>
    <mergeCell ref="AF32:AF33"/>
    <mergeCell ref="AG32:AG33"/>
    <mergeCell ref="AH32:AH33"/>
    <mergeCell ref="R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C39:AD39"/>
    <mergeCell ref="AE39:AF39"/>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U45"/>
    <mergeCell ref="V44:V45"/>
    <mergeCell ref="AM41:AM43"/>
    <mergeCell ref="AN41:AO43"/>
    <mergeCell ref="AM44:AM46"/>
    <mergeCell ref="AN44:AO46"/>
    <mergeCell ref="AA44:AA45"/>
    <mergeCell ref="AB44:AB45"/>
    <mergeCell ref="AC44:AC45"/>
    <mergeCell ref="AD44:AD45"/>
    <mergeCell ref="AE44:AE45"/>
    <mergeCell ref="AF44:AF45"/>
    <mergeCell ref="AG44:AG45"/>
    <mergeCell ref="AH44:AH45"/>
    <mergeCell ref="AI44:AI45"/>
    <mergeCell ref="AJ42:AJ43"/>
    <mergeCell ref="AK42:AK49"/>
    <mergeCell ref="AL42:AL43"/>
    <mergeCell ref="AJ44:AJ45"/>
    <mergeCell ref="AL44:AL45"/>
    <mergeCell ref="AI42:AI43"/>
    <mergeCell ref="L59:N59"/>
    <mergeCell ref="J63:J64"/>
    <mergeCell ref="K63:K64"/>
    <mergeCell ref="L63:L64"/>
    <mergeCell ref="M63:M64"/>
    <mergeCell ref="N63:N64"/>
    <mergeCell ref="O63:O64"/>
    <mergeCell ref="P63:P64"/>
    <mergeCell ref="Q63:Q64"/>
    <mergeCell ref="Y65:Y66"/>
    <mergeCell ref="Z65:Z66"/>
    <mergeCell ref="AA65:AA66"/>
    <mergeCell ref="AB65:AB66"/>
    <mergeCell ref="AC65:AC66"/>
    <mergeCell ref="R59:T59"/>
    <mergeCell ref="AB59:AF59"/>
    <mergeCell ref="S60:T60"/>
    <mergeCell ref="U60:V60"/>
    <mergeCell ref="W60:X60"/>
    <mergeCell ref="Y60:Z60"/>
    <mergeCell ref="AA60:AB60"/>
    <mergeCell ref="AC60:AD60"/>
    <mergeCell ref="AE60:AF60"/>
    <mergeCell ref="S65:S66"/>
    <mergeCell ref="T65:T66"/>
    <mergeCell ref="U65:U66"/>
    <mergeCell ref="AJ59:AL59"/>
    <mergeCell ref="AK60:AL60"/>
    <mergeCell ref="X63:X64"/>
    <mergeCell ref="Y63:Y64"/>
    <mergeCell ref="Z63:Z64"/>
    <mergeCell ref="AA63:AA64"/>
    <mergeCell ref="AB63:AB64"/>
    <mergeCell ref="AC63:AC64"/>
    <mergeCell ref="AE63:AE64"/>
    <mergeCell ref="AG60:AH60"/>
    <mergeCell ref="AI60:AJ60"/>
    <mergeCell ref="AL65:AL66"/>
    <mergeCell ref="AP65:AQ66"/>
    <mergeCell ref="AR65:AS66"/>
    <mergeCell ref="AL63:AL64"/>
    <mergeCell ref="AE65:AE66"/>
    <mergeCell ref="AF65:AF66"/>
    <mergeCell ref="AG65:AG66"/>
    <mergeCell ref="AH65:AH66"/>
    <mergeCell ref="AI65:AI66"/>
    <mergeCell ref="AM62:AM64"/>
    <mergeCell ref="AN62:AO64"/>
    <mergeCell ref="AM65:AM67"/>
    <mergeCell ref="AN65:AO67"/>
    <mergeCell ref="U72:V72"/>
    <mergeCell ref="W72:X72"/>
    <mergeCell ref="Y72:Z72"/>
    <mergeCell ref="AA72:AB72"/>
    <mergeCell ref="AC72:AD72"/>
    <mergeCell ref="AE72:AF72"/>
    <mergeCell ref="AG72:AH72"/>
    <mergeCell ref="AI72:AJ72"/>
    <mergeCell ref="C72:D73"/>
    <mergeCell ref="E72:F72"/>
    <mergeCell ref="G72:H72"/>
    <mergeCell ref="I72:J72"/>
    <mergeCell ref="K72:L72"/>
    <mergeCell ref="M72:N72"/>
    <mergeCell ref="O72:P72"/>
    <mergeCell ref="Q72:R72"/>
    <mergeCell ref="AK72:AL72"/>
    <mergeCell ref="N75:N76"/>
    <mergeCell ref="O75:O76"/>
    <mergeCell ref="P75:P76"/>
    <mergeCell ref="Q75:Q76"/>
    <mergeCell ref="R75:R76"/>
    <mergeCell ref="S75:S76"/>
    <mergeCell ref="T75:T76"/>
    <mergeCell ref="U75:U76"/>
    <mergeCell ref="V75:V76"/>
    <mergeCell ref="W75:W76"/>
    <mergeCell ref="X75:X76"/>
    <mergeCell ref="Y75:Y76"/>
    <mergeCell ref="Z75:Z76"/>
    <mergeCell ref="AA75:AA76"/>
    <mergeCell ref="AB75:AB76"/>
    <mergeCell ref="AC75:AC76"/>
    <mergeCell ref="AE75:AE76"/>
    <mergeCell ref="AF75:AF76"/>
    <mergeCell ref="AG75:AG76"/>
    <mergeCell ref="AH75:AH76"/>
    <mergeCell ref="AI75:AI76"/>
    <mergeCell ref="AJ75:AJ76"/>
    <mergeCell ref="S72:T72"/>
    <mergeCell ref="W77:W78"/>
    <mergeCell ref="X77:X78"/>
    <mergeCell ref="Y77:Y78"/>
    <mergeCell ref="AP75:AQ76"/>
    <mergeCell ref="AR75:AS76"/>
    <mergeCell ref="AI77:AI78"/>
    <mergeCell ref="AJ77:AJ78"/>
    <mergeCell ref="AL77:AL78"/>
    <mergeCell ref="AP77:AQ78"/>
    <mergeCell ref="AR77:AS78"/>
    <mergeCell ref="AD75:AD76"/>
    <mergeCell ref="AM77:AM79"/>
    <mergeCell ref="AN77:AO79"/>
    <mergeCell ref="AM74:AM76"/>
    <mergeCell ref="AN74:AO76"/>
    <mergeCell ref="R77:R78"/>
    <mergeCell ref="S77:S78"/>
    <mergeCell ref="T77:T78"/>
    <mergeCell ref="U77:U78"/>
    <mergeCell ref="V77:V78"/>
    <mergeCell ref="E77:E78"/>
    <mergeCell ref="F77:F78"/>
    <mergeCell ref="G77:G78"/>
    <mergeCell ref="H77:H78"/>
    <mergeCell ref="I77:I78"/>
    <mergeCell ref="J77:J78"/>
    <mergeCell ref="K77:K78"/>
    <mergeCell ref="L77:L78"/>
    <mergeCell ref="M77:M78"/>
    <mergeCell ref="Y84:Z84"/>
    <mergeCell ref="AT77:AT78"/>
    <mergeCell ref="C79:D79"/>
    <mergeCell ref="AP79:AQ79"/>
    <mergeCell ref="AR79:AS79"/>
    <mergeCell ref="C80:D80"/>
    <mergeCell ref="AM80:AO83"/>
    <mergeCell ref="AP80:AT80"/>
    <mergeCell ref="C81:D81"/>
    <mergeCell ref="AP81:AT81"/>
    <mergeCell ref="C82:D83"/>
    <mergeCell ref="AP82:AT83"/>
    <mergeCell ref="Z77:Z78"/>
    <mergeCell ref="AA77:AA78"/>
    <mergeCell ref="AB77:AB78"/>
    <mergeCell ref="AC77:AC78"/>
    <mergeCell ref="AD77:AD78"/>
    <mergeCell ref="AE77:AE78"/>
    <mergeCell ref="AF77:AF78"/>
    <mergeCell ref="AG77:AG78"/>
    <mergeCell ref="AH77:AH78"/>
    <mergeCell ref="AK75:AK82"/>
    <mergeCell ref="AL75:AL76"/>
    <mergeCell ref="AT75:AT76"/>
    <mergeCell ref="J85:K85"/>
    <mergeCell ref="I84:J84"/>
    <mergeCell ref="K84:L84"/>
    <mergeCell ref="M84:N84"/>
    <mergeCell ref="O84:P84"/>
    <mergeCell ref="Q84:R84"/>
    <mergeCell ref="S84:T84"/>
    <mergeCell ref="U84:V84"/>
    <mergeCell ref="W84:X84"/>
    <mergeCell ref="AA84:AB84"/>
    <mergeCell ref="AC84:AD84"/>
    <mergeCell ref="AE84:AF84"/>
    <mergeCell ref="AG84:AH84"/>
    <mergeCell ref="AI84:AJ84"/>
    <mergeCell ref="AK84:AL84"/>
    <mergeCell ref="AM84:AO85"/>
    <mergeCell ref="AP84:AT85"/>
    <mergeCell ref="AR87:AS88"/>
    <mergeCell ref="AT87:AT88"/>
    <mergeCell ref="AR86:AS86"/>
    <mergeCell ref="AM86:AM88"/>
    <mergeCell ref="AN86:AO88"/>
    <mergeCell ref="I87:I88"/>
    <mergeCell ref="J87:J88"/>
    <mergeCell ref="K87:K88"/>
    <mergeCell ref="L87:L88"/>
    <mergeCell ref="M87:M88"/>
    <mergeCell ref="O89:O90"/>
    <mergeCell ref="P89:P90"/>
    <mergeCell ref="Q89:Q90"/>
    <mergeCell ref="N87:N88"/>
    <mergeCell ref="O87:O88"/>
    <mergeCell ref="P87:P88"/>
    <mergeCell ref="Q87:Q88"/>
    <mergeCell ref="R87:R88"/>
    <mergeCell ref="S87:S88"/>
    <mergeCell ref="AJ89:AJ90"/>
    <mergeCell ref="AL89:AL90"/>
    <mergeCell ref="AP89:AQ90"/>
    <mergeCell ref="W87:W88"/>
    <mergeCell ref="X87:X88"/>
    <mergeCell ref="Y87:Y88"/>
    <mergeCell ref="Z87:Z88"/>
    <mergeCell ref="AA87:AA88"/>
    <mergeCell ref="AC89:AC90"/>
    <mergeCell ref="AD89:AD90"/>
    <mergeCell ref="AE89:AE90"/>
    <mergeCell ref="AA89:AA90"/>
    <mergeCell ref="C92:D92"/>
    <mergeCell ref="AM92:AO95"/>
    <mergeCell ref="AP92:AT92"/>
    <mergeCell ref="C93:D93"/>
    <mergeCell ref="AP93:AT93"/>
    <mergeCell ref="C94:D95"/>
    <mergeCell ref="AP94:AT95"/>
    <mergeCell ref="F89:F90"/>
    <mergeCell ref="G89:G90"/>
    <mergeCell ref="H89:H90"/>
    <mergeCell ref="I89:I90"/>
    <mergeCell ref="J89:J90"/>
    <mergeCell ref="K89:K90"/>
    <mergeCell ref="L89:L90"/>
    <mergeCell ref="M89:M90"/>
    <mergeCell ref="N89:N90"/>
    <mergeCell ref="AR89:AS90"/>
    <mergeCell ref="AT89:AT90"/>
    <mergeCell ref="C91:D91"/>
    <mergeCell ref="AP91:AQ91"/>
    <mergeCell ref="AR91:AS91"/>
    <mergeCell ref="W89:W90"/>
    <mergeCell ref="X89:X90"/>
    <mergeCell ref="AB89:AB90"/>
    <mergeCell ref="E89:E90"/>
    <mergeCell ref="AM89:AM91"/>
    <mergeCell ref="AN89:AO91"/>
    <mergeCell ref="AF89:AF90"/>
    <mergeCell ref="AG89:AG90"/>
    <mergeCell ref="AH89:AH90"/>
    <mergeCell ref="R89:R90"/>
    <mergeCell ref="S89:S90"/>
    <mergeCell ref="T89:T90"/>
    <mergeCell ref="U89:U90"/>
    <mergeCell ref="V89:V90"/>
    <mergeCell ref="AI89:AI90"/>
    <mergeCell ref="AM57:AP58"/>
    <mergeCell ref="AP74:AQ74"/>
    <mergeCell ref="AP63:AQ64"/>
    <mergeCell ref="AP48:AT48"/>
    <mergeCell ref="AP49:AT50"/>
    <mergeCell ref="AQ54:AR54"/>
    <mergeCell ref="AS54:AT54"/>
    <mergeCell ref="AO51:AT52"/>
    <mergeCell ref="AM54:AN54"/>
    <mergeCell ref="AQ57:AR58"/>
    <mergeCell ref="AS57:AT58"/>
    <mergeCell ref="AR63:AS64"/>
    <mergeCell ref="AT63:AT64"/>
    <mergeCell ref="AT65:AT66"/>
    <mergeCell ref="AP67:AQ67"/>
    <mergeCell ref="AR67:AS67"/>
    <mergeCell ref="AM55:AP56"/>
    <mergeCell ref="AQ55:AR56"/>
    <mergeCell ref="AS55:AT56"/>
    <mergeCell ref="AO53:AP53"/>
    <mergeCell ref="AJ12:AL13"/>
    <mergeCell ref="Q57:S58"/>
    <mergeCell ref="U57:W58"/>
    <mergeCell ref="T57:T58"/>
    <mergeCell ref="X57:X58"/>
    <mergeCell ref="Y57:AA58"/>
    <mergeCell ref="AB57:AD58"/>
    <mergeCell ref="AF57:AH58"/>
    <mergeCell ref="AE57:AE58"/>
    <mergeCell ref="AI57:AI58"/>
    <mergeCell ref="AJ57:AL58"/>
    <mergeCell ref="Q12:S13"/>
    <mergeCell ref="T12:T13"/>
    <mergeCell ref="U12:W13"/>
    <mergeCell ref="X12:X13"/>
    <mergeCell ref="Y12:AA13"/>
    <mergeCell ref="AB12:AD13"/>
    <mergeCell ref="AE12:AE13"/>
    <mergeCell ref="AF12:AH13"/>
    <mergeCell ref="AI12:AI13"/>
    <mergeCell ref="W44:W45"/>
    <mergeCell ref="X44:X45"/>
    <mergeCell ref="Y44:Y45"/>
    <mergeCell ref="Z44:Z45"/>
  </mergeCells>
  <phoneticPr fontId="1"/>
  <conditionalFormatting sqref="AC6:AD6">
    <cfRule type="expression" dxfId="22" priority="12">
      <formula>$AC$5&lt;&gt;" "</formula>
    </cfRule>
  </conditionalFormatting>
  <conditionalFormatting sqref="AE6:AF6">
    <cfRule type="expression" dxfId="21" priority="11">
      <formula>$AE$5&lt;&gt;" "</formula>
    </cfRule>
  </conditionalFormatting>
  <conditionalFormatting sqref="AG6:AH6">
    <cfRule type="expression" dxfId="20" priority="10">
      <formula>$AG$5&lt;&gt;" "</formula>
    </cfRule>
  </conditionalFormatting>
  <conditionalFormatting sqref="AI6:AJ6">
    <cfRule type="expression" dxfId="19" priority="9">
      <formula>$AI$5&lt;&gt;" "</formula>
    </cfRule>
  </conditionalFormatting>
  <conditionalFormatting sqref="AK6:AL6">
    <cfRule type="expression" dxfId="18" priority="8">
      <formula>$AK$5&lt;&gt;" "</formula>
    </cfRule>
  </conditionalFormatting>
  <conditionalFormatting sqref="AM6:AO6">
    <cfRule type="expression" dxfId="17" priority="7">
      <formula>$AM$5&lt;&gt;" "</formula>
    </cfRule>
  </conditionalFormatting>
  <conditionalFormatting sqref="L17:AI26">
    <cfRule type="expression" dxfId="16" priority="6">
      <formula>$AC$5&lt;&gt;" "</formula>
    </cfRule>
  </conditionalFormatting>
  <conditionalFormatting sqref="E29:AI38">
    <cfRule type="expression" dxfId="15" priority="5">
      <formula>$AE$5&lt;&gt;" "</formula>
    </cfRule>
  </conditionalFormatting>
  <conditionalFormatting sqref="E41:AI50">
    <cfRule type="expression" dxfId="14" priority="4">
      <formula>$AG$5&lt;&gt;" "</formula>
    </cfRule>
  </conditionalFormatting>
  <conditionalFormatting sqref="E62:AI71">
    <cfRule type="expression" dxfId="13" priority="3">
      <formula>$AI$5&lt;&gt;" "</formula>
    </cfRule>
  </conditionalFormatting>
  <conditionalFormatting sqref="E74:AI83">
    <cfRule type="expression" dxfId="12" priority="2">
      <formula>$AK$5&lt;&gt;" "</formula>
    </cfRule>
  </conditionalFormatting>
  <conditionalFormatting sqref="E86:AA95">
    <cfRule type="expression" dxfId="11" priority="1">
      <formula>$AM$5&lt;&gt;" "</formula>
    </cfRule>
  </conditionalFormatting>
  <dataValidations count="3">
    <dataValidation type="list" allowBlank="1" showInputMessage="1" showErrorMessage="1" sqref="X9" xr:uid="{00000000-0002-0000-0600-000000000000}">
      <formula1>"市,区,町,村"</formula1>
    </dataValidation>
    <dataValidation type="list" allowBlank="1" showInputMessage="1" showErrorMessage="1" sqref="W5:X6 AH7" xr:uid="{00000000-0002-0000-0600-000001000000}">
      <formula1>"OK"</formula1>
    </dataValidation>
    <dataValidation type="list" allowBlank="1" showInputMessage="1" showErrorMessage="1" sqref="AC6:AO6" xr:uid="{00000000-0002-0000-0600-000002000000}">
      <formula1>"確認済"</formula1>
    </dataValidation>
  </dataValidations>
  <printOptions horizontalCentered="1" verticalCentered="1"/>
  <pageMargins left="0.6692913385826772" right="0.35433070866141736" top="0.35433070866141736" bottom="0.51181102362204722" header="0" footer="0"/>
  <pageSetup paperSize="9" scale="64" orientation="landscape" blackAndWhite="1" r:id="rId1"/>
  <headerFooter differentFirst="1" scaleWithDoc="0">
    <oddFooter>&amp;R⑥</oddFooter>
    <firstFooter>&amp;L&amp;G&amp;R⑥</first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X41"/>
  <sheetViews>
    <sheetView showGridLines="0" showRuler="0" showWhiteSpace="0" view="pageBreakPreview" topLeftCell="A13" zoomScale="70" zoomScaleNormal="91" zoomScaleSheetLayoutView="70" zoomScalePageLayoutView="50" workbookViewId="0">
      <selection activeCell="R22" sqref="R22:T22"/>
    </sheetView>
  </sheetViews>
  <sheetFormatPr defaultRowHeight="13.5" x14ac:dyDescent="0.15"/>
  <cols>
    <col min="1" max="1" width="5.125" style="48" customWidth="1"/>
    <col min="2" max="3" width="9" style="48" customWidth="1"/>
    <col min="4" max="4" width="6.75" style="48" customWidth="1"/>
    <col min="5" max="6" width="5.375" style="48" customWidth="1"/>
    <col min="7" max="7" width="6.75" style="48" customWidth="1"/>
    <col min="8" max="10" width="5.375" style="48" customWidth="1"/>
    <col min="11" max="11" width="2.875" style="48" customWidth="1"/>
    <col min="12" max="12" width="3.25" style="48" customWidth="1"/>
    <col min="13" max="14" width="5.375" style="48" customWidth="1"/>
    <col min="15" max="15" width="6.75" style="48" customWidth="1"/>
    <col min="16" max="18" width="5.375" style="48" customWidth="1"/>
    <col min="19" max="19" width="6.75" style="48" customWidth="1"/>
    <col min="20" max="20" width="5.375" style="48" customWidth="1"/>
    <col min="21" max="21" width="6.125" style="48" customWidth="1"/>
    <col min="22" max="24" width="5.375" style="48" customWidth="1"/>
    <col min="25" max="16384" width="9" style="48"/>
  </cols>
  <sheetData>
    <row r="1" spans="1:24" ht="53.25" customHeight="1" x14ac:dyDescent="0.15"/>
    <row r="2" spans="1:24" ht="18" customHeight="1" x14ac:dyDescent="0.15">
      <c r="A2" s="2579" t="s">
        <v>112</v>
      </c>
      <c r="B2" s="2580"/>
      <c r="C2" s="2580"/>
      <c r="D2" s="2580"/>
      <c r="E2" s="2580"/>
      <c r="F2" s="2580"/>
      <c r="G2" s="2580"/>
      <c r="H2" s="2580"/>
      <c r="I2" s="2580"/>
      <c r="J2" s="63"/>
      <c r="K2" s="63"/>
    </row>
    <row r="3" spans="1:24" s="49" customFormat="1" ht="42" customHeight="1" x14ac:dyDescent="0.15">
      <c r="A3" s="2505" t="s">
        <v>252</v>
      </c>
      <c r="B3" s="2506"/>
      <c r="C3" s="2506"/>
      <c r="D3" s="2506"/>
      <c r="E3" s="2506"/>
      <c r="F3" s="2506"/>
      <c r="G3" s="2506"/>
      <c r="H3" s="2506"/>
      <c r="I3" s="2506"/>
      <c r="J3" s="2506"/>
      <c r="K3" s="2506"/>
      <c r="L3" s="2506"/>
      <c r="M3" s="2506"/>
      <c r="N3" s="2506"/>
      <c r="O3" s="2506"/>
      <c r="P3" s="2506"/>
      <c r="Q3" s="2506"/>
      <c r="R3" s="2506"/>
      <c r="S3" s="2506"/>
      <c r="T3" s="2506"/>
      <c r="U3" s="2506"/>
      <c r="V3" s="2506"/>
      <c r="W3" s="2506"/>
      <c r="X3" s="2507"/>
    </row>
    <row r="4" spans="1:24" s="59" customFormat="1" ht="24.75" customHeight="1" x14ac:dyDescent="0.15">
      <c r="A4" s="2530" t="s">
        <v>113</v>
      </c>
      <c r="B4" s="2531"/>
      <c r="C4" s="2531"/>
      <c r="D4" s="2531"/>
      <c r="E4" s="2531"/>
      <c r="F4" s="2531"/>
      <c r="G4" s="2531"/>
      <c r="H4" s="62"/>
      <c r="I4" s="62"/>
      <c r="J4" s="62"/>
      <c r="K4" s="62"/>
      <c r="L4" s="62"/>
      <c r="M4" s="62"/>
      <c r="N4" s="62"/>
      <c r="O4" s="337"/>
      <c r="P4" s="2533">
        <f>入力ページ!G27</f>
        <v>0</v>
      </c>
      <c r="Q4" s="2533"/>
      <c r="R4" s="187" t="s">
        <v>60</v>
      </c>
      <c r="S4" s="187">
        <f>入力ページ!J27</f>
        <v>0</v>
      </c>
      <c r="T4" s="187" t="s">
        <v>61</v>
      </c>
      <c r="U4" s="187">
        <f>入力ページ!L27</f>
        <v>0</v>
      </c>
      <c r="V4" s="187" t="s">
        <v>62</v>
      </c>
      <c r="W4" s="188"/>
      <c r="X4" s="61"/>
    </row>
    <row r="5" spans="1:24" s="54" customFormat="1" ht="25.5" customHeight="1" x14ac:dyDescent="0.15">
      <c r="A5" s="2530" t="s">
        <v>286</v>
      </c>
      <c r="B5" s="2531"/>
      <c r="C5" s="2531"/>
      <c r="D5" s="2531"/>
      <c r="E5" s="2531"/>
      <c r="F5" s="2531"/>
      <c r="G5" s="2531"/>
      <c r="H5" s="53"/>
      <c r="I5" s="53"/>
      <c r="J5" s="53"/>
      <c r="K5" s="53"/>
      <c r="L5" s="53"/>
      <c r="M5" s="53"/>
      <c r="N5" s="53"/>
      <c r="O5" s="53"/>
      <c r="P5" s="53"/>
      <c r="Q5" s="53"/>
      <c r="R5" s="53"/>
      <c r="S5" s="53"/>
      <c r="T5" s="53"/>
      <c r="U5" s="53"/>
      <c r="V5" s="53"/>
      <c r="W5" s="53"/>
      <c r="X5" s="64"/>
    </row>
    <row r="6" spans="1:24" s="54" customFormat="1" ht="3" customHeight="1" x14ac:dyDescent="0.15">
      <c r="A6" s="2513" t="s">
        <v>63</v>
      </c>
      <c r="B6" s="2514"/>
      <c r="C6" s="2514"/>
      <c r="D6" s="2514"/>
      <c r="E6" s="2514"/>
      <c r="F6" s="2514"/>
      <c r="G6" s="2514"/>
      <c r="H6" s="2514"/>
      <c r="I6" s="2514"/>
      <c r="J6" s="2514"/>
      <c r="K6" s="2514"/>
      <c r="L6" s="2514"/>
      <c r="M6" s="2514"/>
      <c r="N6" s="2514"/>
      <c r="O6" s="2514"/>
      <c r="P6" s="2514"/>
      <c r="Q6" s="2514"/>
      <c r="R6" s="2514"/>
      <c r="S6" s="2514"/>
      <c r="T6" s="2514"/>
      <c r="U6" s="2514"/>
      <c r="V6" s="2514"/>
      <c r="W6" s="2514"/>
      <c r="X6" s="2515"/>
    </row>
    <row r="7" spans="1:24" s="49" customFormat="1" ht="18.75" customHeight="1" x14ac:dyDescent="0.2">
      <c r="A7" s="56"/>
      <c r="B7" s="55"/>
      <c r="C7" s="55"/>
      <c r="D7" s="55"/>
      <c r="E7" s="55"/>
      <c r="F7" s="60"/>
      <c r="G7" s="2532" t="s">
        <v>64</v>
      </c>
      <c r="H7" s="2532"/>
      <c r="I7" s="2532" t="s">
        <v>65</v>
      </c>
      <c r="J7" s="2532"/>
      <c r="K7" s="2487" t="s">
        <v>90</v>
      </c>
      <c r="L7" s="2487"/>
      <c r="M7" s="155">
        <f>入力ページ!G16</f>
        <v>0</v>
      </c>
      <c r="N7" s="156" t="s">
        <v>114</v>
      </c>
      <c r="O7" s="2527">
        <f>入力ページ!I16</f>
        <v>0</v>
      </c>
      <c r="P7" s="2527"/>
      <c r="Q7" s="157"/>
      <c r="R7" s="157"/>
      <c r="S7" s="157"/>
      <c r="T7" s="157"/>
      <c r="U7" s="157"/>
      <c r="V7" s="157"/>
      <c r="W7" s="157"/>
      <c r="X7" s="158"/>
    </row>
    <row r="8" spans="1:24" s="49" customFormat="1" ht="39.75" customHeight="1" x14ac:dyDescent="0.2">
      <c r="A8" s="56"/>
      <c r="B8" s="55"/>
      <c r="C8" s="55"/>
      <c r="D8" s="55"/>
      <c r="E8" s="55"/>
      <c r="F8" s="60"/>
      <c r="G8" s="2532"/>
      <c r="H8" s="2532"/>
      <c r="I8" s="2532"/>
      <c r="J8" s="2532"/>
      <c r="K8" s="159"/>
      <c r="L8" s="2528" t="str">
        <f>IF(入力ページ!L16&lt;&gt;"",入力ページ!L16&amp;入力ページ!N16&amp;入力ページ!O16,"")</f>
        <v/>
      </c>
      <c r="M8" s="2528"/>
      <c r="N8" s="2528"/>
      <c r="O8" s="2528"/>
      <c r="P8" s="2528"/>
      <c r="Q8" s="2528"/>
      <c r="R8" s="2528"/>
      <c r="S8" s="2528"/>
      <c r="T8" s="2528"/>
      <c r="U8" s="2528"/>
      <c r="V8" s="2528"/>
      <c r="W8" s="2528"/>
      <c r="X8" s="2529"/>
    </row>
    <row r="9" spans="1:24" s="49" customFormat="1" ht="30" customHeight="1" x14ac:dyDescent="0.2">
      <c r="A9" s="56"/>
      <c r="B9" s="55"/>
      <c r="C9" s="55"/>
      <c r="D9" s="55"/>
      <c r="E9" s="55"/>
      <c r="F9" s="58"/>
      <c r="G9" s="57"/>
      <c r="H9" s="57"/>
      <c r="I9" s="57" t="s">
        <v>66</v>
      </c>
      <c r="J9" s="57"/>
      <c r="K9" s="160"/>
      <c r="L9" s="2528">
        <f>入力ページ!F11</f>
        <v>0</v>
      </c>
      <c r="M9" s="2528"/>
      <c r="N9" s="2528"/>
      <c r="O9" s="2528"/>
      <c r="P9" s="2528"/>
      <c r="Q9" s="2528"/>
      <c r="R9" s="2528"/>
      <c r="S9" s="2528"/>
      <c r="T9" s="2528"/>
      <c r="U9" s="2528"/>
      <c r="V9" s="2528"/>
      <c r="W9" s="2528"/>
      <c r="X9" s="2529"/>
    </row>
    <row r="10" spans="1:24" s="49" customFormat="1" ht="30" customHeight="1" x14ac:dyDescent="0.2">
      <c r="A10" s="56"/>
      <c r="B10" s="55"/>
      <c r="C10" s="55"/>
      <c r="D10" s="55"/>
      <c r="E10" s="55"/>
      <c r="F10" s="58"/>
      <c r="G10" s="57"/>
      <c r="H10" s="57"/>
      <c r="I10" s="57" t="s">
        <v>67</v>
      </c>
      <c r="J10" s="57"/>
      <c r="K10" s="160"/>
      <c r="L10" s="2528">
        <f>入力ページ!F14</f>
        <v>0</v>
      </c>
      <c r="M10" s="2528"/>
      <c r="N10" s="2528"/>
      <c r="O10" s="2528"/>
      <c r="P10" s="2528"/>
      <c r="Q10" s="2528"/>
      <c r="R10" s="2528"/>
      <c r="S10" s="2528"/>
      <c r="T10" s="2528"/>
      <c r="U10" s="2528"/>
      <c r="V10" s="2528"/>
      <c r="W10" s="2528"/>
      <c r="X10" s="2529"/>
    </row>
    <row r="11" spans="1:24" s="49" customFormat="1" ht="30" customHeight="1" x14ac:dyDescent="0.2">
      <c r="A11" s="56"/>
      <c r="B11" s="55"/>
      <c r="C11" s="55"/>
      <c r="D11" s="55"/>
      <c r="E11" s="55"/>
      <c r="F11" s="58"/>
      <c r="G11" s="57"/>
      <c r="H11" s="57"/>
      <c r="I11" s="57" t="s">
        <v>68</v>
      </c>
      <c r="J11" s="57"/>
      <c r="K11" s="160"/>
      <c r="L11" s="2491">
        <f>入力ページ!G19</f>
        <v>0</v>
      </c>
      <c r="M11" s="2491"/>
      <c r="N11" s="194" t="s">
        <v>95</v>
      </c>
      <c r="O11" s="2492">
        <f>入力ページ!J19</f>
        <v>0</v>
      </c>
      <c r="P11" s="2492"/>
      <c r="Q11" s="194" t="s">
        <v>44</v>
      </c>
      <c r="R11" s="2492">
        <f>入力ページ!M19</f>
        <v>0</v>
      </c>
      <c r="S11" s="2492"/>
      <c r="T11" s="195"/>
      <c r="U11" s="196"/>
      <c r="V11" s="196"/>
      <c r="W11" s="196"/>
      <c r="X11" s="197"/>
    </row>
    <row r="12" spans="1:24" s="49" customFormat="1" ht="9" customHeight="1" x14ac:dyDescent="0.15">
      <c r="A12" s="56"/>
      <c r="B12" s="55"/>
      <c r="C12" s="55"/>
      <c r="D12" s="55"/>
      <c r="E12" s="55"/>
      <c r="F12" s="55"/>
      <c r="G12" s="55"/>
      <c r="H12" s="55"/>
      <c r="I12" s="55"/>
      <c r="J12" s="55"/>
      <c r="K12" s="189"/>
      <c r="L12" s="189"/>
      <c r="M12" s="189"/>
      <c r="N12" s="189"/>
      <c r="O12" s="189"/>
      <c r="P12" s="190"/>
      <c r="Q12" s="189"/>
      <c r="R12" s="189"/>
      <c r="S12" s="189"/>
      <c r="T12" s="189"/>
      <c r="U12" s="189"/>
      <c r="V12" s="189"/>
      <c r="W12" s="189"/>
      <c r="X12" s="191"/>
    </row>
    <row r="13" spans="1:24" s="54" customFormat="1" ht="18" customHeight="1" x14ac:dyDescent="0.15">
      <c r="A13" s="2513" t="s">
        <v>69</v>
      </c>
      <c r="B13" s="2514"/>
      <c r="C13" s="2514"/>
      <c r="D13" s="2514"/>
      <c r="E13" s="2514"/>
      <c r="F13" s="2514"/>
      <c r="G13" s="2514"/>
      <c r="H13" s="2514"/>
      <c r="I13" s="2514"/>
      <c r="J13" s="2514"/>
      <c r="K13" s="2514"/>
      <c r="L13" s="2514"/>
      <c r="M13" s="2514"/>
      <c r="N13" s="2514"/>
      <c r="O13" s="2514"/>
      <c r="P13" s="2514"/>
      <c r="Q13" s="2514"/>
      <c r="R13" s="2514"/>
      <c r="S13" s="2514"/>
      <c r="T13" s="2514"/>
      <c r="U13" s="2514"/>
      <c r="V13" s="2514"/>
      <c r="W13" s="2514"/>
      <c r="X13" s="2515"/>
    </row>
    <row r="14" spans="1:24" s="49" customFormat="1" ht="4.5" customHeight="1" x14ac:dyDescent="0.15">
      <c r="A14" s="2510"/>
      <c r="B14" s="2511"/>
      <c r="C14" s="2511"/>
      <c r="D14" s="2511"/>
      <c r="E14" s="2511"/>
      <c r="F14" s="2511"/>
      <c r="G14" s="2511"/>
      <c r="H14" s="2511"/>
      <c r="I14" s="2511"/>
      <c r="J14" s="2511"/>
      <c r="K14" s="2511"/>
      <c r="L14" s="2511"/>
      <c r="M14" s="2511"/>
      <c r="N14" s="2511"/>
      <c r="O14" s="2511"/>
      <c r="P14" s="2511"/>
      <c r="Q14" s="2511"/>
      <c r="R14" s="2511"/>
      <c r="S14" s="2511"/>
      <c r="T14" s="2511"/>
      <c r="U14" s="2511"/>
      <c r="V14" s="2511"/>
      <c r="W14" s="2511"/>
      <c r="X14" s="2512"/>
    </row>
    <row r="15" spans="1:24" s="49" customFormat="1" ht="34.5" customHeight="1" x14ac:dyDescent="0.15">
      <c r="A15" s="2516" t="s">
        <v>111</v>
      </c>
      <c r="B15" s="2517"/>
      <c r="C15" s="2517"/>
      <c r="D15" s="2557">
        <f>入力ページ!F28</f>
        <v>0</v>
      </c>
      <c r="E15" s="2489"/>
      <c r="F15" s="2489"/>
      <c r="G15" s="2489"/>
      <c r="H15" s="2489"/>
      <c r="I15" s="2489"/>
      <c r="J15" s="2489"/>
      <c r="K15" s="2489"/>
      <c r="L15" s="2489"/>
      <c r="M15" s="2489"/>
      <c r="N15" s="2489"/>
      <c r="O15" s="2489"/>
      <c r="P15" s="2489"/>
      <c r="Q15" s="2489"/>
      <c r="R15" s="2489"/>
      <c r="S15" s="2489"/>
      <c r="T15" s="2489"/>
      <c r="U15" s="2489"/>
      <c r="V15" s="2489"/>
      <c r="W15" s="2489"/>
      <c r="X15" s="2558"/>
    </row>
    <row r="16" spans="1:24" s="49" customFormat="1" ht="34.5" customHeight="1" x14ac:dyDescent="0.15">
      <c r="A16" s="2516" t="s">
        <v>70</v>
      </c>
      <c r="B16" s="2517"/>
      <c r="C16" s="2517"/>
      <c r="D16" s="2557">
        <f>入力ページ!F29</f>
        <v>0</v>
      </c>
      <c r="E16" s="2489"/>
      <c r="F16" s="2489"/>
      <c r="G16" s="2489"/>
      <c r="H16" s="2489"/>
      <c r="I16" s="2489"/>
      <c r="J16" s="2489"/>
      <c r="K16" s="2489"/>
      <c r="L16" s="2489"/>
      <c r="M16" s="2489"/>
      <c r="N16" s="2489"/>
      <c r="O16" s="2489"/>
      <c r="P16" s="2489"/>
      <c r="Q16" s="2489"/>
      <c r="R16" s="2489"/>
      <c r="S16" s="2489"/>
      <c r="T16" s="2489"/>
      <c r="U16" s="2489"/>
      <c r="V16" s="2489"/>
      <c r="W16" s="2489"/>
      <c r="X16" s="2558"/>
    </row>
    <row r="17" spans="1:24" s="49" customFormat="1" ht="34.5" customHeight="1" x14ac:dyDescent="0.15">
      <c r="A17" s="2508" t="s">
        <v>71</v>
      </c>
      <c r="B17" s="2581"/>
      <c r="C17" s="2581"/>
      <c r="D17" s="2612">
        <f>入力ページ!G22</f>
        <v>0</v>
      </c>
      <c r="E17" s="2613"/>
      <c r="F17" s="162" t="s">
        <v>60</v>
      </c>
      <c r="G17" s="338">
        <f>入力ページ!J22</f>
        <v>0</v>
      </c>
      <c r="H17" s="162" t="s">
        <v>61</v>
      </c>
      <c r="I17" s="338">
        <f>入力ページ!L22</f>
        <v>0</v>
      </c>
      <c r="J17" s="167" t="s">
        <v>62</v>
      </c>
      <c r="K17" s="2493">
        <f>入力ページ!Q22</f>
        <v>0</v>
      </c>
      <c r="L17" s="2493"/>
      <c r="M17" s="161" t="s">
        <v>72</v>
      </c>
      <c r="N17" s="161" t="s">
        <v>110</v>
      </c>
      <c r="O17" s="339" t="str">
        <f>入力ページ!T22</f>
        <v/>
      </c>
      <c r="P17" s="162" t="s">
        <v>61</v>
      </c>
      <c r="Q17" s="340" t="str">
        <f>入力ページ!V22</f>
        <v/>
      </c>
      <c r="R17" s="162" t="s">
        <v>62</v>
      </c>
      <c r="S17" s="341">
        <f>入力ページ!AA22</f>
        <v>0</v>
      </c>
      <c r="T17" s="161" t="s">
        <v>72</v>
      </c>
      <c r="U17" s="341">
        <f>入力ページ!F21</f>
        <v>0</v>
      </c>
      <c r="V17" s="161" t="s">
        <v>73</v>
      </c>
      <c r="W17" s="341" t="str">
        <f>入力ページ!H21</f>
        <v/>
      </c>
      <c r="X17" s="163" t="s">
        <v>109</v>
      </c>
    </row>
    <row r="18" spans="1:24" s="49" customFormat="1" ht="34.5" customHeight="1" thickBot="1" x14ac:dyDescent="0.2">
      <c r="A18" s="2508" t="s">
        <v>74</v>
      </c>
      <c r="B18" s="2509"/>
      <c r="C18" s="2509"/>
      <c r="D18" s="164"/>
      <c r="E18" s="165"/>
      <c r="F18" s="2489" t="s">
        <v>75</v>
      </c>
      <c r="G18" s="2489"/>
      <c r="H18" s="2489"/>
      <c r="I18" s="192" t="s">
        <v>108</v>
      </c>
      <c r="J18" s="166" t="str">
        <f>IF(入力ページ!F30="あり","○","")</f>
        <v/>
      </c>
      <c r="K18" s="2489" t="s">
        <v>107</v>
      </c>
      <c r="L18" s="2489"/>
      <c r="M18" s="2490" t="s">
        <v>106</v>
      </c>
      <c r="N18" s="2490"/>
      <c r="O18" s="2490"/>
      <c r="P18" s="2489" t="s">
        <v>76</v>
      </c>
      <c r="Q18" s="2489"/>
      <c r="R18" s="2489"/>
      <c r="S18" s="192" t="s">
        <v>105</v>
      </c>
      <c r="T18" s="166" t="str">
        <f>IF(入力ページ!F30="なし","○","")</f>
        <v/>
      </c>
      <c r="U18" s="192" t="s">
        <v>104</v>
      </c>
      <c r="V18" s="165"/>
      <c r="W18" s="165"/>
      <c r="X18" s="193"/>
    </row>
    <row r="19" spans="1:24" s="49" customFormat="1" ht="26.25" customHeight="1" thickBot="1" x14ac:dyDescent="0.2">
      <c r="A19" s="2560" t="s">
        <v>103</v>
      </c>
      <c r="B19" s="2561"/>
      <c r="C19" s="2561"/>
      <c r="D19" s="2588"/>
      <c r="E19" s="2588"/>
      <c r="F19" s="2588"/>
      <c r="G19" s="2588"/>
      <c r="H19" s="2588"/>
      <c r="I19" s="2588"/>
      <c r="J19" s="2588"/>
      <c r="K19" s="2588"/>
      <c r="L19" s="2588"/>
      <c r="M19" s="2588"/>
      <c r="N19" s="2582"/>
      <c r="O19" s="2589" t="s">
        <v>77</v>
      </c>
      <c r="P19" s="2590"/>
      <c r="Q19" s="2590"/>
      <c r="R19" s="2590"/>
      <c r="S19" s="2590"/>
      <c r="T19" s="2590"/>
      <c r="U19" s="2590"/>
      <c r="V19" s="2590"/>
      <c r="W19" s="2590"/>
      <c r="X19" s="2591"/>
    </row>
    <row r="20" spans="1:24" s="49" customFormat="1" ht="12.75" customHeight="1" x14ac:dyDescent="0.15">
      <c r="A20" s="2560"/>
      <c r="B20" s="2561"/>
      <c r="C20" s="2561"/>
      <c r="D20" s="2570" t="s">
        <v>78</v>
      </c>
      <c r="E20" s="2571"/>
      <c r="F20" s="2571"/>
      <c r="G20" s="2570" t="s">
        <v>79</v>
      </c>
      <c r="H20" s="2571"/>
      <c r="I20" s="2574"/>
      <c r="J20" s="2582" t="s">
        <v>80</v>
      </c>
      <c r="K20" s="2583"/>
      <c r="L20" s="2583"/>
      <c r="M20" s="2583"/>
      <c r="N20" s="2584"/>
      <c r="O20" s="2585" t="s">
        <v>78</v>
      </c>
      <c r="P20" s="2573"/>
      <c r="Q20" s="2573"/>
      <c r="R20" s="2594" t="s">
        <v>79</v>
      </c>
      <c r="S20" s="2595"/>
      <c r="T20" s="2596"/>
      <c r="U20" s="2598" t="s">
        <v>80</v>
      </c>
      <c r="V20" s="2599"/>
      <c r="W20" s="2599"/>
      <c r="X20" s="2600"/>
    </row>
    <row r="21" spans="1:24" s="49" customFormat="1" ht="12.75" customHeight="1" x14ac:dyDescent="0.15">
      <c r="A21" s="2560"/>
      <c r="B21" s="2561"/>
      <c r="C21" s="2561"/>
      <c r="D21" s="2572"/>
      <c r="E21" s="2573"/>
      <c r="F21" s="2573"/>
      <c r="G21" s="2572"/>
      <c r="H21" s="2573"/>
      <c r="I21" s="2575"/>
      <c r="J21" s="2582"/>
      <c r="K21" s="2583"/>
      <c r="L21" s="2583"/>
      <c r="M21" s="2583"/>
      <c r="N21" s="2584"/>
      <c r="O21" s="2586"/>
      <c r="P21" s="2587"/>
      <c r="Q21" s="2587"/>
      <c r="R21" s="2586"/>
      <c r="S21" s="2587"/>
      <c r="T21" s="2597"/>
      <c r="U21" s="2601"/>
      <c r="V21" s="2602"/>
      <c r="W21" s="2602"/>
      <c r="X21" s="2603"/>
    </row>
    <row r="22" spans="1:24" s="49" customFormat="1" ht="42" customHeight="1" x14ac:dyDescent="0.15">
      <c r="A22" s="2525" t="s">
        <v>81</v>
      </c>
      <c r="B22" s="2543" t="s">
        <v>82</v>
      </c>
      <c r="C22" s="2544"/>
      <c r="D22" s="2494">
        <f>入力ページ!E37</f>
        <v>0</v>
      </c>
      <c r="E22" s="2495"/>
      <c r="F22" s="2500"/>
      <c r="G22" s="2494">
        <f>入力ページ!E38</f>
        <v>0</v>
      </c>
      <c r="H22" s="2495"/>
      <c r="I22" s="2500"/>
      <c r="J22" s="2494">
        <f>入力ページ!E39</f>
        <v>0</v>
      </c>
      <c r="K22" s="2495"/>
      <c r="L22" s="2495"/>
      <c r="M22" s="2495"/>
      <c r="N22" s="2496"/>
      <c r="O22" s="2538"/>
      <c r="P22" s="2539"/>
      <c r="Q22" s="2539"/>
      <c r="R22" s="2538"/>
      <c r="S22" s="2539"/>
      <c r="T22" s="2540"/>
      <c r="U22" s="2592">
        <f t="shared" ref="U22:U33" si="0">SUM(O22,R22)</f>
        <v>0</v>
      </c>
      <c r="V22" s="2592"/>
      <c r="W22" s="2592"/>
      <c r="X22" s="2593"/>
    </row>
    <row r="23" spans="1:24" s="49" customFormat="1" ht="42" customHeight="1" thickBot="1" x14ac:dyDescent="0.2">
      <c r="A23" s="2526"/>
      <c r="B23" s="2545" t="s">
        <v>97</v>
      </c>
      <c r="C23" s="2546"/>
      <c r="D23" s="2497">
        <f>入力ページ!G37</f>
        <v>0</v>
      </c>
      <c r="E23" s="2498"/>
      <c r="F23" s="2501"/>
      <c r="G23" s="2497">
        <f>入力ページ!G38</f>
        <v>0</v>
      </c>
      <c r="H23" s="2498"/>
      <c r="I23" s="2501"/>
      <c r="J23" s="2497">
        <f>入力ページ!G39</f>
        <v>0</v>
      </c>
      <c r="K23" s="2498"/>
      <c r="L23" s="2498"/>
      <c r="M23" s="2498"/>
      <c r="N23" s="2499"/>
      <c r="O23" s="2484"/>
      <c r="P23" s="2485"/>
      <c r="Q23" s="2485"/>
      <c r="R23" s="2484"/>
      <c r="S23" s="2485"/>
      <c r="T23" s="2486"/>
      <c r="U23" s="2554">
        <f t="shared" si="0"/>
        <v>0</v>
      </c>
      <c r="V23" s="2554"/>
      <c r="W23" s="2554"/>
      <c r="X23" s="2609"/>
    </row>
    <row r="24" spans="1:24" s="49" customFormat="1" ht="42" customHeight="1" x14ac:dyDescent="0.15">
      <c r="A24" s="2525" t="s">
        <v>83</v>
      </c>
      <c r="B24" s="2543" t="s">
        <v>82</v>
      </c>
      <c r="C24" s="2544"/>
      <c r="D24" s="2494">
        <f>入力ページ!I37</f>
        <v>0</v>
      </c>
      <c r="E24" s="2495"/>
      <c r="F24" s="2500"/>
      <c r="G24" s="2494">
        <f>入力ページ!I38</f>
        <v>0</v>
      </c>
      <c r="H24" s="2495"/>
      <c r="I24" s="2500"/>
      <c r="J24" s="2494">
        <f>入力ページ!I39</f>
        <v>0</v>
      </c>
      <c r="K24" s="2495"/>
      <c r="L24" s="2495"/>
      <c r="M24" s="2495"/>
      <c r="N24" s="2496"/>
      <c r="O24" s="2538"/>
      <c r="P24" s="2539"/>
      <c r="Q24" s="2539"/>
      <c r="R24" s="2538"/>
      <c r="S24" s="2539"/>
      <c r="T24" s="2540"/>
      <c r="U24" s="2592">
        <f t="shared" si="0"/>
        <v>0</v>
      </c>
      <c r="V24" s="2592"/>
      <c r="W24" s="2592"/>
      <c r="X24" s="2593"/>
    </row>
    <row r="25" spans="1:24" s="49" customFormat="1" ht="42" customHeight="1" thickBot="1" x14ac:dyDescent="0.2">
      <c r="A25" s="2526"/>
      <c r="B25" s="2545" t="s">
        <v>88</v>
      </c>
      <c r="C25" s="2546"/>
      <c r="D25" s="2497">
        <f>入力ページ!K37</f>
        <v>0</v>
      </c>
      <c r="E25" s="2498"/>
      <c r="F25" s="2501"/>
      <c r="G25" s="2497">
        <f>入力ページ!K38</f>
        <v>0</v>
      </c>
      <c r="H25" s="2498"/>
      <c r="I25" s="2501"/>
      <c r="J25" s="2497">
        <f>入力ページ!K39</f>
        <v>0</v>
      </c>
      <c r="K25" s="2498"/>
      <c r="L25" s="2498"/>
      <c r="M25" s="2498"/>
      <c r="N25" s="2499"/>
      <c r="O25" s="2484"/>
      <c r="P25" s="2485"/>
      <c r="Q25" s="2485"/>
      <c r="R25" s="2484"/>
      <c r="S25" s="2485"/>
      <c r="T25" s="2486"/>
      <c r="U25" s="2554">
        <f t="shared" si="0"/>
        <v>0</v>
      </c>
      <c r="V25" s="2554"/>
      <c r="W25" s="2554"/>
      <c r="X25" s="2609"/>
    </row>
    <row r="26" spans="1:24" s="49" customFormat="1" ht="42" customHeight="1" x14ac:dyDescent="0.15">
      <c r="A26" s="2525" t="s">
        <v>84</v>
      </c>
      <c r="B26" s="2543" t="s">
        <v>82</v>
      </c>
      <c r="C26" s="2544"/>
      <c r="D26" s="2494">
        <f>入力ページ!M37</f>
        <v>0</v>
      </c>
      <c r="E26" s="2495"/>
      <c r="F26" s="2500"/>
      <c r="G26" s="2494">
        <f>入力ページ!M38</f>
        <v>0</v>
      </c>
      <c r="H26" s="2495"/>
      <c r="I26" s="2500"/>
      <c r="J26" s="2494">
        <f>入力ページ!M39</f>
        <v>0</v>
      </c>
      <c r="K26" s="2495"/>
      <c r="L26" s="2495"/>
      <c r="M26" s="2495"/>
      <c r="N26" s="2496"/>
      <c r="O26" s="2538"/>
      <c r="P26" s="2539"/>
      <c r="Q26" s="2539"/>
      <c r="R26" s="2538"/>
      <c r="S26" s="2539"/>
      <c r="T26" s="2540"/>
      <c r="U26" s="2592">
        <f t="shared" si="0"/>
        <v>0</v>
      </c>
      <c r="V26" s="2592"/>
      <c r="W26" s="2592"/>
      <c r="X26" s="2593"/>
    </row>
    <row r="27" spans="1:24" s="49" customFormat="1" ht="42" customHeight="1" thickBot="1" x14ac:dyDescent="0.2">
      <c r="A27" s="2526"/>
      <c r="B27" s="2545" t="s">
        <v>102</v>
      </c>
      <c r="C27" s="2546"/>
      <c r="D27" s="2497">
        <f>入力ページ!O37</f>
        <v>0</v>
      </c>
      <c r="E27" s="2498"/>
      <c r="F27" s="2501"/>
      <c r="G27" s="2497">
        <f>入力ページ!O38</f>
        <v>0</v>
      </c>
      <c r="H27" s="2498"/>
      <c r="I27" s="2501"/>
      <c r="J27" s="2497">
        <f>入力ページ!O39</f>
        <v>0</v>
      </c>
      <c r="K27" s="2498"/>
      <c r="L27" s="2498"/>
      <c r="M27" s="2498"/>
      <c r="N27" s="2499"/>
      <c r="O27" s="2484"/>
      <c r="P27" s="2485"/>
      <c r="Q27" s="2485"/>
      <c r="R27" s="2484"/>
      <c r="S27" s="2485"/>
      <c r="T27" s="2486"/>
      <c r="U27" s="2554">
        <f t="shared" si="0"/>
        <v>0</v>
      </c>
      <c r="V27" s="2554"/>
      <c r="W27" s="2554"/>
      <c r="X27" s="2609"/>
    </row>
    <row r="28" spans="1:24" s="49" customFormat="1" ht="42" customHeight="1" x14ac:dyDescent="0.15">
      <c r="A28" s="2525" t="s">
        <v>85</v>
      </c>
      <c r="B28" s="2543" t="s">
        <v>82</v>
      </c>
      <c r="C28" s="2544"/>
      <c r="D28" s="2494">
        <f>入力ページ!Q37</f>
        <v>0</v>
      </c>
      <c r="E28" s="2495"/>
      <c r="F28" s="2500"/>
      <c r="G28" s="2494">
        <f>入力ページ!Q38</f>
        <v>0</v>
      </c>
      <c r="H28" s="2495"/>
      <c r="I28" s="2500"/>
      <c r="J28" s="2494">
        <f>入力ページ!Q39</f>
        <v>0</v>
      </c>
      <c r="K28" s="2495"/>
      <c r="L28" s="2495"/>
      <c r="M28" s="2495"/>
      <c r="N28" s="2496"/>
      <c r="O28" s="2538"/>
      <c r="P28" s="2539"/>
      <c r="Q28" s="2539"/>
      <c r="R28" s="2538"/>
      <c r="S28" s="2539"/>
      <c r="T28" s="2540"/>
      <c r="U28" s="2592">
        <f t="shared" si="0"/>
        <v>0</v>
      </c>
      <c r="V28" s="2592"/>
      <c r="W28" s="2592"/>
      <c r="X28" s="2593"/>
    </row>
    <row r="29" spans="1:24" s="49" customFormat="1" ht="42" customHeight="1" thickBot="1" x14ac:dyDescent="0.2">
      <c r="A29" s="2526"/>
      <c r="B29" s="2545" t="s">
        <v>102</v>
      </c>
      <c r="C29" s="2546"/>
      <c r="D29" s="2497">
        <f>入力ページ!S37</f>
        <v>0</v>
      </c>
      <c r="E29" s="2498"/>
      <c r="F29" s="2501"/>
      <c r="G29" s="2497">
        <f>入力ページ!S38</f>
        <v>0</v>
      </c>
      <c r="H29" s="2498"/>
      <c r="I29" s="2501"/>
      <c r="J29" s="2497">
        <f>入力ページ!S39</f>
        <v>0</v>
      </c>
      <c r="K29" s="2498"/>
      <c r="L29" s="2498"/>
      <c r="M29" s="2498"/>
      <c r="N29" s="2499"/>
      <c r="O29" s="2484"/>
      <c r="P29" s="2485"/>
      <c r="Q29" s="2485"/>
      <c r="R29" s="2484"/>
      <c r="S29" s="2485"/>
      <c r="T29" s="2486"/>
      <c r="U29" s="2554">
        <f t="shared" si="0"/>
        <v>0</v>
      </c>
      <c r="V29" s="2554"/>
      <c r="W29" s="2554"/>
      <c r="X29" s="2609"/>
    </row>
    <row r="30" spans="1:24" s="49" customFormat="1" ht="42" customHeight="1" x14ac:dyDescent="0.15">
      <c r="A30" s="2534" t="s">
        <v>86</v>
      </c>
      <c r="B30" s="2543" t="s">
        <v>82</v>
      </c>
      <c r="C30" s="2544"/>
      <c r="D30" s="2523">
        <f>入力ページ!U37</f>
        <v>0</v>
      </c>
      <c r="E30" s="2524"/>
      <c r="F30" s="2524"/>
      <c r="G30" s="2523">
        <f>入力ページ!U38</f>
        <v>0</v>
      </c>
      <c r="H30" s="2524"/>
      <c r="I30" s="2566"/>
      <c r="J30" s="2494">
        <f>入力ページ!U39</f>
        <v>0</v>
      </c>
      <c r="K30" s="2495"/>
      <c r="L30" s="2495"/>
      <c r="M30" s="2495"/>
      <c r="N30" s="2496"/>
      <c r="O30" s="2538"/>
      <c r="P30" s="2539"/>
      <c r="Q30" s="2539"/>
      <c r="R30" s="2538"/>
      <c r="S30" s="2539"/>
      <c r="T30" s="2540"/>
      <c r="U30" s="2592">
        <f t="shared" si="0"/>
        <v>0</v>
      </c>
      <c r="V30" s="2592"/>
      <c r="W30" s="2592"/>
      <c r="X30" s="2593"/>
    </row>
    <row r="31" spans="1:24" s="49" customFormat="1" ht="42" customHeight="1" thickBot="1" x14ac:dyDescent="0.2">
      <c r="A31" s="2534"/>
      <c r="B31" s="2545" t="s">
        <v>97</v>
      </c>
      <c r="C31" s="2546"/>
      <c r="D31" s="2520">
        <f>入力ページ!W37</f>
        <v>0</v>
      </c>
      <c r="E31" s="2521"/>
      <c r="F31" s="2521"/>
      <c r="G31" s="2520">
        <f>入力ページ!W38</f>
        <v>0</v>
      </c>
      <c r="H31" s="2521"/>
      <c r="I31" s="2522"/>
      <c r="J31" s="2497">
        <f>入力ページ!W39</f>
        <v>0</v>
      </c>
      <c r="K31" s="2498"/>
      <c r="L31" s="2498"/>
      <c r="M31" s="2498"/>
      <c r="N31" s="2499"/>
      <c r="O31" s="2484"/>
      <c r="P31" s="2485"/>
      <c r="Q31" s="2485"/>
      <c r="R31" s="2484"/>
      <c r="S31" s="2485"/>
      <c r="T31" s="2486"/>
      <c r="U31" s="2554">
        <f t="shared" si="0"/>
        <v>0</v>
      </c>
      <c r="V31" s="2554"/>
      <c r="W31" s="2554"/>
      <c r="X31" s="2609"/>
    </row>
    <row r="32" spans="1:24" s="49" customFormat="1" ht="42" customHeight="1" x14ac:dyDescent="0.15">
      <c r="A32" s="2525" t="s">
        <v>87</v>
      </c>
      <c r="B32" s="2543" t="s">
        <v>82</v>
      </c>
      <c r="C32" s="2544"/>
      <c r="D32" s="2567">
        <f>入力ページ!Y37</f>
        <v>0</v>
      </c>
      <c r="E32" s="2568"/>
      <c r="F32" s="2568"/>
      <c r="G32" s="2567">
        <f>入力ページ!Y38</f>
        <v>0</v>
      </c>
      <c r="H32" s="2568"/>
      <c r="I32" s="2569"/>
      <c r="J32" s="2494">
        <f>入力ページ!Y39</f>
        <v>0</v>
      </c>
      <c r="K32" s="2495"/>
      <c r="L32" s="2495"/>
      <c r="M32" s="2495"/>
      <c r="N32" s="2496"/>
      <c r="O32" s="2538"/>
      <c r="P32" s="2539"/>
      <c r="Q32" s="2539"/>
      <c r="R32" s="2538"/>
      <c r="S32" s="2539"/>
      <c r="T32" s="2540"/>
      <c r="U32" s="2592">
        <f t="shared" si="0"/>
        <v>0</v>
      </c>
      <c r="V32" s="2592"/>
      <c r="W32" s="2592"/>
      <c r="X32" s="2593"/>
    </row>
    <row r="33" spans="1:24" s="49" customFormat="1" ht="42" customHeight="1" thickBot="1" x14ac:dyDescent="0.2">
      <c r="A33" s="2559"/>
      <c r="B33" s="2541" t="s">
        <v>88</v>
      </c>
      <c r="C33" s="2542"/>
      <c r="D33" s="2518">
        <f>入力ページ!AA37</f>
        <v>0</v>
      </c>
      <c r="E33" s="2519"/>
      <c r="F33" s="2519"/>
      <c r="G33" s="2518">
        <f>入力ページ!AA38</f>
        <v>0</v>
      </c>
      <c r="H33" s="2519"/>
      <c r="I33" s="2547"/>
      <c r="J33" s="2518">
        <f>入力ページ!AA39</f>
        <v>0</v>
      </c>
      <c r="K33" s="2519"/>
      <c r="L33" s="2519"/>
      <c r="M33" s="2519"/>
      <c r="N33" s="2552"/>
      <c r="O33" s="2610"/>
      <c r="P33" s="2611"/>
      <c r="Q33" s="2611"/>
      <c r="R33" s="2610"/>
      <c r="S33" s="2611"/>
      <c r="T33" s="2616"/>
      <c r="U33" s="2519">
        <f t="shared" si="0"/>
        <v>0</v>
      </c>
      <c r="V33" s="2519"/>
      <c r="W33" s="2519"/>
      <c r="X33" s="2552"/>
    </row>
    <row r="34" spans="1:24" s="49" customFormat="1" ht="42" customHeight="1" thickTop="1" x14ac:dyDescent="0.15">
      <c r="A34" s="2534" t="s">
        <v>80</v>
      </c>
      <c r="B34" s="2564" t="s">
        <v>82</v>
      </c>
      <c r="C34" s="2565"/>
      <c r="D34" s="2536">
        <f>入力ページ!AC37</f>
        <v>0</v>
      </c>
      <c r="E34" s="2537"/>
      <c r="F34" s="2537"/>
      <c r="G34" s="2536">
        <f>入力ページ!AC38</f>
        <v>0</v>
      </c>
      <c r="H34" s="2537"/>
      <c r="I34" s="2537"/>
      <c r="J34" s="2576">
        <f>入力ページ!AC39</f>
        <v>0</v>
      </c>
      <c r="K34" s="2577"/>
      <c r="L34" s="2577"/>
      <c r="M34" s="2577"/>
      <c r="N34" s="2578"/>
      <c r="O34" s="2606">
        <f>SUM(O22,O24,O26,O28,O30,O32)</f>
        <v>0</v>
      </c>
      <c r="P34" s="2607"/>
      <c r="Q34" s="2607"/>
      <c r="R34" s="2606">
        <f>SUM(R22,R24,R26,R28,R30,R32)</f>
        <v>0</v>
      </c>
      <c r="S34" s="2607"/>
      <c r="T34" s="2608"/>
      <c r="U34" s="2592">
        <f>SUM(U22,U24,U26,U28,U30,U32)</f>
        <v>0</v>
      </c>
      <c r="V34" s="2592"/>
      <c r="W34" s="2592"/>
      <c r="X34" s="2593"/>
    </row>
    <row r="35" spans="1:24" s="49" customFormat="1" ht="42" customHeight="1" thickBot="1" x14ac:dyDescent="0.2">
      <c r="A35" s="2526"/>
      <c r="B35" s="2545" t="s">
        <v>102</v>
      </c>
      <c r="C35" s="2546"/>
      <c r="D35" s="2502">
        <f>入力ページ!AE37</f>
        <v>0</v>
      </c>
      <c r="E35" s="2503"/>
      <c r="F35" s="2503"/>
      <c r="G35" s="2502">
        <f>入力ページ!AE38</f>
        <v>0</v>
      </c>
      <c r="H35" s="2503"/>
      <c r="I35" s="2563"/>
      <c r="J35" s="2502">
        <f>入力ページ!AE39</f>
        <v>0</v>
      </c>
      <c r="K35" s="2503"/>
      <c r="L35" s="2503"/>
      <c r="M35" s="2503"/>
      <c r="N35" s="2504"/>
      <c r="O35" s="2553">
        <f>SUM(O23,O25,O27,O29,O31,O33)</f>
        <v>0</v>
      </c>
      <c r="P35" s="2554"/>
      <c r="Q35" s="2554"/>
      <c r="R35" s="2553">
        <f>SUM(R23,R25,R27,R29,R31,R33)</f>
        <v>0</v>
      </c>
      <c r="S35" s="2554"/>
      <c r="T35" s="2609"/>
      <c r="U35" s="2554">
        <f>SUM(U23,U25,U27,U29,U31,U33)</f>
        <v>0</v>
      </c>
      <c r="V35" s="2554"/>
      <c r="W35" s="2554"/>
      <c r="X35" s="2609"/>
    </row>
    <row r="36" spans="1:24" s="49" customFormat="1" ht="23.25" customHeight="1" x14ac:dyDescent="0.2">
      <c r="A36" s="2548" t="s">
        <v>89</v>
      </c>
      <c r="B36" s="2614" t="s">
        <v>101</v>
      </c>
      <c r="C36" s="2615"/>
      <c r="D36" s="2615"/>
      <c r="E36" s="2615"/>
      <c r="F36" s="198" t="s">
        <v>90</v>
      </c>
      <c r="G36" s="199">
        <f>入力ページ!G17</f>
        <v>0</v>
      </c>
      <c r="H36" s="200" t="s">
        <v>114</v>
      </c>
      <c r="I36" s="2488">
        <f>入力ページ!I17</f>
        <v>0</v>
      </c>
      <c r="J36" s="2488"/>
      <c r="K36" s="207"/>
      <c r="L36" s="207"/>
      <c r="M36" s="207"/>
      <c r="N36" s="207"/>
      <c r="O36" s="207"/>
      <c r="P36" s="207"/>
      <c r="Q36" s="2535"/>
      <c r="R36" s="2535"/>
      <c r="S36" s="2535"/>
      <c r="T36" s="2535"/>
      <c r="U36" s="208"/>
      <c r="V36" s="201"/>
      <c r="W36" s="208"/>
      <c r="X36" s="224"/>
    </row>
    <row r="37" spans="1:24" s="49" customFormat="1" ht="29.25" customHeight="1" x14ac:dyDescent="0.15">
      <c r="A37" s="2549"/>
      <c r="B37" s="2604"/>
      <c r="C37" s="2605"/>
      <c r="D37" s="2605"/>
      <c r="E37" s="2605"/>
      <c r="F37" s="118"/>
      <c r="G37" s="2555" t="str">
        <f>IF(入力ページ!L17&lt;&gt;"",入力ページ!L17&amp;入力ページ!N17&amp;入力ページ!O17,"")</f>
        <v/>
      </c>
      <c r="H37" s="2555"/>
      <c r="I37" s="2555"/>
      <c r="J37" s="2555"/>
      <c r="K37" s="2555"/>
      <c r="L37" s="2555"/>
      <c r="M37" s="2555"/>
      <c r="N37" s="2555"/>
      <c r="O37" s="2555"/>
      <c r="P37" s="2555"/>
      <c r="Q37" s="2555"/>
      <c r="R37" s="2555"/>
      <c r="S37" s="2555"/>
      <c r="T37" s="2555"/>
      <c r="U37" s="2555"/>
      <c r="V37" s="2555"/>
      <c r="W37" s="2555"/>
      <c r="X37" s="225"/>
    </row>
    <row r="38" spans="1:24" s="49" customFormat="1" ht="29.25" customHeight="1" x14ac:dyDescent="0.15">
      <c r="A38" s="2550"/>
      <c r="B38" s="2604" t="s">
        <v>100</v>
      </c>
      <c r="C38" s="2605"/>
      <c r="D38" s="2605"/>
      <c r="E38" s="2605"/>
      <c r="F38" s="202"/>
      <c r="G38" s="2555">
        <f>入力ページ!Q14</f>
        <v>0</v>
      </c>
      <c r="H38" s="2555"/>
      <c r="I38" s="2555"/>
      <c r="J38" s="2555"/>
      <c r="K38" s="2555"/>
      <c r="L38" s="2555"/>
      <c r="M38" s="2555"/>
      <c r="N38" s="2555"/>
      <c r="O38" s="2555"/>
      <c r="P38" s="2555"/>
      <c r="Q38" s="2555"/>
      <c r="R38" s="2555"/>
      <c r="S38" s="2555"/>
      <c r="T38" s="2555"/>
      <c r="U38" s="2555"/>
      <c r="V38" s="2555"/>
      <c r="W38" s="2555"/>
      <c r="X38" s="169"/>
    </row>
    <row r="39" spans="1:24" s="49" customFormat="1" ht="29.25" customHeight="1" x14ac:dyDescent="0.15">
      <c r="A39" s="2551"/>
      <c r="B39" s="2480" t="s">
        <v>91</v>
      </c>
      <c r="C39" s="2481"/>
      <c r="D39" s="2481"/>
      <c r="E39" s="2481"/>
      <c r="F39" s="203"/>
      <c r="G39" s="2482">
        <f>入力ページ!Q19</f>
        <v>0</v>
      </c>
      <c r="H39" s="2482"/>
      <c r="I39" s="204" t="s">
        <v>95</v>
      </c>
      <c r="J39" s="2483">
        <f>入力ページ!T19</f>
        <v>0</v>
      </c>
      <c r="K39" s="2483"/>
      <c r="L39" s="2483"/>
      <c r="M39" s="204" t="s">
        <v>44</v>
      </c>
      <c r="N39" s="2483">
        <f>入力ページ!W19</f>
        <v>0</v>
      </c>
      <c r="O39" s="2483"/>
      <c r="P39" s="205"/>
      <c r="Q39" s="206"/>
      <c r="R39" s="206"/>
      <c r="S39" s="206"/>
      <c r="T39" s="206"/>
      <c r="U39" s="206"/>
      <c r="V39" s="206"/>
      <c r="W39" s="206"/>
      <c r="X39" s="168"/>
    </row>
    <row r="40" spans="1:24" s="49" customFormat="1" ht="17.25" customHeight="1" x14ac:dyDescent="0.15">
      <c r="A40" s="50" t="s">
        <v>92</v>
      </c>
      <c r="B40" s="2562" t="s">
        <v>93</v>
      </c>
      <c r="C40" s="2562"/>
      <c r="D40" s="2562"/>
      <c r="E40" s="2562"/>
      <c r="F40" s="2562"/>
      <c r="G40" s="2562"/>
      <c r="H40" s="2562"/>
      <c r="I40" s="2562"/>
      <c r="J40" s="2562"/>
      <c r="K40" s="2562"/>
      <c r="L40" s="2562"/>
      <c r="M40" s="2562"/>
      <c r="N40" s="2562"/>
      <c r="O40" s="52"/>
      <c r="P40" s="52"/>
      <c r="Q40" s="52"/>
      <c r="R40" s="52"/>
      <c r="S40" s="52"/>
      <c r="T40" s="52"/>
      <c r="U40" s="52"/>
      <c r="V40" s="51"/>
      <c r="W40" s="51"/>
      <c r="X40" s="51"/>
    </row>
    <row r="41" spans="1:24" s="49" customFormat="1" ht="17.25" customHeight="1" x14ac:dyDescent="0.15">
      <c r="A41" s="50" t="s">
        <v>94</v>
      </c>
      <c r="B41" s="2556" t="s">
        <v>99</v>
      </c>
      <c r="C41" s="2556"/>
      <c r="D41" s="2556"/>
      <c r="E41" s="2556"/>
      <c r="F41" s="2556"/>
      <c r="G41" s="2556"/>
      <c r="H41" s="2556"/>
      <c r="I41" s="2556"/>
      <c r="J41" s="2556"/>
      <c r="K41" s="2556"/>
      <c r="L41" s="2556"/>
      <c r="M41" s="2556"/>
      <c r="N41" s="2556"/>
      <c r="O41" s="2556"/>
      <c r="P41" s="2556"/>
      <c r="Q41" s="2556"/>
      <c r="R41" s="2556"/>
      <c r="S41" s="2556"/>
      <c r="T41" s="2556"/>
      <c r="U41" s="2556"/>
      <c r="V41" s="2556"/>
      <c r="W41" s="2556"/>
      <c r="X41" s="2556"/>
    </row>
  </sheetData>
  <sheetProtection algorithmName="SHA-512" hashValue="wthjrp4UInjyEtazakIwYpubJMKH1dZlv1gs3eem2cibXhfCj9il1BohswUxe6ZKEBcbDlZ8A07hINFEqoG75g==" saltValue="h3BgFV8n+9ZAWSX9tKMwdA==" spinCount="100000" sheet="1" selectLockedCells="1"/>
  <mergeCells count="157">
    <mergeCell ref="D17:E17"/>
    <mergeCell ref="G37:W37"/>
    <mergeCell ref="B36:E37"/>
    <mergeCell ref="J30:N30"/>
    <mergeCell ref="J25:N25"/>
    <mergeCell ref="J26:N26"/>
    <mergeCell ref="U35:X35"/>
    <mergeCell ref="D35:F35"/>
    <mergeCell ref="O27:Q27"/>
    <mergeCell ref="O28:Q28"/>
    <mergeCell ref="R32:T32"/>
    <mergeCell ref="R33:T33"/>
    <mergeCell ref="R30:T30"/>
    <mergeCell ref="B38:E38"/>
    <mergeCell ref="J27:N27"/>
    <mergeCell ref="J28:N28"/>
    <mergeCell ref="B28:C28"/>
    <mergeCell ref="B29:C29"/>
    <mergeCell ref="R34:T34"/>
    <mergeCell ref="R26:T26"/>
    <mergeCell ref="R35:T35"/>
    <mergeCell ref="U23:X23"/>
    <mergeCell ref="U24:X24"/>
    <mergeCell ref="U25:X25"/>
    <mergeCell ref="U26:X26"/>
    <mergeCell ref="U32:X32"/>
    <mergeCell ref="U33:X33"/>
    <mergeCell ref="O33:Q33"/>
    <mergeCell ref="O34:Q34"/>
    <mergeCell ref="U27:X27"/>
    <mergeCell ref="U28:X28"/>
    <mergeCell ref="U29:X29"/>
    <mergeCell ref="U30:X30"/>
    <mergeCell ref="U31:X31"/>
    <mergeCell ref="R29:T29"/>
    <mergeCell ref="U34:X34"/>
    <mergeCell ref="R28:T28"/>
    <mergeCell ref="A2:I2"/>
    <mergeCell ref="A13:X13"/>
    <mergeCell ref="A15:C15"/>
    <mergeCell ref="A17:C17"/>
    <mergeCell ref="J20:N21"/>
    <mergeCell ref="A24:A25"/>
    <mergeCell ref="D24:F24"/>
    <mergeCell ref="G24:I24"/>
    <mergeCell ref="D25:F25"/>
    <mergeCell ref="G25:I25"/>
    <mergeCell ref="O20:Q21"/>
    <mergeCell ref="O23:Q23"/>
    <mergeCell ref="O24:Q24"/>
    <mergeCell ref="O25:Q25"/>
    <mergeCell ref="D19:N19"/>
    <mergeCell ref="O19:X19"/>
    <mergeCell ref="O22:Q22"/>
    <mergeCell ref="R22:T22"/>
    <mergeCell ref="U22:X22"/>
    <mergeCell ref="R20:T21"/>
    <mergeCell ref="U20:X21"/>
    <mergeCell ref="R23:T23"/>
    <mergeCell ref="B22:C22"/>
    <mergeCell ref="B23:C23"/>
    <mergeCell ref="B41:X41"/>
    <mergeCell ref="D15:X15"/>
    <mergeCell ref="A32:A33"/>
    <mergeCell ref="A30:A31"/>
    <mergeCell ref="A19:C21"/>
    <mergeCell ref="B40:N40"/>
    <mergeCell ref="D16:X16"/>
    <mergeCell ref="G29:I29"/>
    <mergeCell ref="G34:I34"/>
    <mergeCell ref="G35:I35"/>
    <mergeCell ref="B34:C34"/>
    <mergeCell ref="B35:C35"/>
    <mergeCell ref="G30:I30"/>
    <mergeCell ref="G32:I32"/>
    <mergeCell ref="D32:F32"/>
    <mergeCell ref="D20:F21"/>
    <mergeCell ref="G20:I21"/>
    <mergeCell ref="J34:N34"/>
    <mergeCell ref="D28:F28"/>
    <mergeCell ref="A28:A29"/>
    <mergeCell ref="D29:F29"/>
    <mergeCell ref="J24:N24"/>
    <mergeCell ref="O26:Q26"/>
    <mergeCell ref="O29:Q29"/>
    <mergeCell ref="A34:A35"/>
    <mergeCell ref="Q36:T36"/>
    <mergeCell ref="D34:F34"/>
    <mergeCell ref="R24:T24"/>
    <mergeCell ref="R25:T25"/>
    <mergeCell ref="R31:T31"/>
    <mergeCell ref="O31:Q31"/>
    <mergeCell ref="O32:Q32"/>
    <mergeCell ref="B33:C33"/>
    <mergeCell ref="B24:C24"/>
    <mergeCell ref="B25:C25"/>
    <mergeCell ref="B26:C26"/>
    <mergeCell ref="B27:C27"/>
    <mergeCell ref="G33:I33"/>
    <mergeCell ref="J29:N29"/>
    <mergeCell ref="B30:C30"/>
    <mergeCell ref="B31:C31"/>
    <mergeCell ref="B32:C32"/>
    <mergeCell ref="A36:A39"/>
    <mergeCell ref="J32:N32"/>
    <mergeCell ref="J33:N33"/>
    <mergeCell ref="O30:Q30"/>
    <mergeCell ref="O35:Q35"/>
    <mergeCell ref="G38:W38"/>
    <mergeCell ref="A3:X3"/>
    <mergeCell ref="A18:C18"/>
    <mergeCell ref="A14:X14"/>
    <mergeCell ref="A6:X6"/>
    <mergeCell ref="A16:C16"/>
    <mergeCell ref="D33:F33"/>
    <mergeCell ref="D31:F31"/>
    <mergeCell ref="G31:I31"/>
    <mergeCell ref="D30:F30"/>
    <mergeCell ref="A22:A23"/>
    <mergeCell ref="D22:F22"/>
    <mergeCell ref="G22:I22"/>
    <mergeCell ref="D23:F23"/>
    <mergeCell ref="G23:I23"/>
    <mergeCell ref="A26:A27"/>
    <mergeCell ref="O7:P7"/>
    <mergeCell ref="L8:X8"/>
    <mergeCell ref="L9:X9"/>
    <mergeCell ref="L10:X10"/>
    <mergeCell ref="A4:G4"/>
    <mergeCell ref="A5:G5"/>
    <mergeCell ref="G7:H8"/>
    <mergeCell ref="I7:J8"/>
    <mergeCell ref="P4:Q4"/>
    <mergeCell ref="B39:E39"/>
    <mergeCell ref="G39:H39"/>
    <mergeCell ref="J39:L39"/>
    <mergeCell ref="N39:O39"/>
    <mergeCell ref="R27:T27"/>
    <mergeCell ref="K7:L7"/>
    <mergeCell ref="I36:J36"/>
    <mergeCell ref="F18:H18"/>
    <mergeCell ref="K18:L18"/>
    <mergeCell ref="M18:O18"/>
    <mergeCell ref="L11:M11"/>
    <mergeCell ref="O11:P11"/>
    <mergeCell ref="R11:S11"/>
    <mergeCell ref="K17:L17"/>
    <mergeCell ref="J22:N22"/>
    <mergeCell ref="J23:N23"/>
    <mergeCell ref="D26:F26"/>
    <mergeCell ref="G26:I26"/>
    <mergeCell ref="D27:F27"/>
    <mergeCell ref="G27:I27"/>
    <mergeCell ref="J35:N35"/>
    <mergeCell ref="G28:I28"/>
    <mergeCell ref="J31:N31"/>
    <mergeCell ref="P18:R18"/>
  </mergeCells>
  <phoneticPr fontId="1"/>
  <pageMargins left="0.43307086614173229" right="0.43307086614173229" top="0.23622047244094491" bottom="0" header="0" footer="0"/>
  <pageSetup paperSize="9" scale="70" orientation="portrait" blackAndWhite="1" r:id="rId1"/>
  <headerFooter scaleWithDoc="0">
    <oddFooter>&amp;L&amp;G&amp;R&amp;14①</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W15"/>
  <sheetViews>
    <sheetView showGridLines="0" view="pageBreakPreview" topLeftCell="A7" zoomScaleNormal="100" zoomScaleSheetLayoutView="100" workbookViewId="0">
      <selection activeCell="Q11" sqref="Q11:S11"/>
    </sheetView>
  </sheetViews>
  <sheetFormatPr defaultRowHeight="13.5" x14ac:dyDescent="0.15"/>
  <cols>
    <col min="1" max="1" width="1.875" style="12" customWidth="1"/>
    <col min="2" max="2" width="4.375" style="10" customWidth="1"/>
    <col min="3" max="3" width="10.625" style="22" customWidth="1"/>
    <col min="4" max="4" width="7.375" style="10" customWidth="1"/>
    <col min="5" max="5" width="4.375" style="10" customWidth="1"/>
    <col min="6" max="6" width="3.125" style="10" customWidth="1"/>
    <col min="7" max="7" width="4.375" style="10" customWidth="1"/>
    <col min="8" max="8" width="3.125" style="10" customWidth="1"/>
    <col min="9" max="9" width="4.375" style="12" customWidth="1"/>
    <col min="10" max="10" width="3.125" style="10" customWidth="1"/>
    <col min="11" max="11" width="2.5" style="12" customWidth="1"/>
    <col min="12" max="12" width="3.75" style="12" customWidth="1"/>
    <col min="13" max="13" width="1.875" style="12" customWidth="1"/>
    <col min="14" max="14" width="5" style="10" customWidth="1"/>
    <col min="15" max="15" width="4.375" style="12" customWidth="1"/>
    <col min="16" max="16" width="3.125" style="12" customWidth="1"/>
    <col min="17" max="17" width="4.375" style="12" customWidth="1"/>
    <col min="18" max="18" width="3.125" style="12" customWidth="1"/>
    <col min="19" max="19" width="2.5" style="12" customWidth="1"/>
    <col min="20" max="20" width="3.75" style="12" customWidth="1"/>
    <col min="21" max="21" width="1.875" style="12" customWidth="1"/>
    <col min="22" max="22" width="9.375" style="12" customWidth="1"/>
    <col min="23" max="23" width="1.875" style="10" customWidth="1"/>
    <col min="24" max="16384" width="9" style="10"/>
  </cols>
  <sheetData>
    <row r="1" spans="1:23" s="22" customFormat="1" ht="33.75" customHeight="1" x14ac:dyDescent="0.15">
      <c r="A1" s="184"/>
      <c r="B1" s="184"/>
      <c r="C1" s="184"/>
      <c r="D1" s="179"/>
      <c r="E1" s="184"/>
      <c r="F1" s="184"/>
      <c r="G1" s="184"/>
    </row>
    <row r="2" spans="1:23" ht="22.5" customHeight="1" x14ac:dyDescent="0.15">
      <c r="B2" s="12"/>
      <c r="D2" s="13"/>
      <c r="E2" s="13"/>
      <c r="F2" s="13"/>
      <c r="H2" s="19"/>
      <c r="I2" s="19"/>
      <c r="J2" s="5"/>
      <c r="K2" s="5"/>
      <c r="L2" s="5"/>
      <c r="M2" s="5"/>
      <c r="O2" s="2667" t="s">
        <v>6</v>
      </c>
      <c r="P2" s="2667"/>
      <c r="Q2" s="2667"/>
      <c r="R2" s="2663">
        <f>入力ページ!AF2</f>
        <v>0</v>
      </c>
      <c r="S2" s="2663"/>
      <c r="T2" s="2663"/>
      <c r="U2" s="2663"/>
      <c r="V2" s="2663"/>
    </row>
    <row r="3" spans="1:23" ht="22.5" customHeight="1" x14ac:dyDescent="0.15">
      <c r="B3" s="12"/>
      <c r="D3" s="13"/>
      <c r="E3" s="13"/>
      <c r="F3" s="13"/>
      <c r="H3" s="19"/>
      <c r="I3" s="19"/>
      <c r="J3" s="2"/>
      <c r="K3" s="2"/>
      <c r="O3" s="2668" t="s">
        <v>7</v>
      </c>
      <c r="P3" s="2668"/>
      <c r="Q3" s="2668"/>
      <c r="R3" s="2675" t="s">
        <v>447</v>
      </c>
      <c r="S3" s="2675"/>
      <c r="T3" s="2675"/>
      <c r="U3" s="2675"/>
      <c r="V3" s="2675"/>
    </row>
    <row r="4" spans="1:23" ht="45" customHeight="1" x14ac:dyDescent="0.2">
      <c r="B4" s="2666" t="s">
        <v>353</v>
      </c>
      <c r="C4" s="2666"/>
      <c r="D4" s="2666"/>
      <c r="E4" s="2666"/>
      <c r="F4" s="2666"/>
      <c r="G4" s="2666"/>
      <c r="H4" s="2666"/>
      <c r="I4" s="2666"/>
      <c r="J4" s="2666"/>
      <c r="K4" s="2666"/>
      <c r="L4" s="2666"/>
      <c r="M4" s="2666"/>
      <c r="N4" s="2666"/>
      <c r="O4" s="2666"/>
      <c r="P4" s="2666"/>
      <c r="Q4" s="2666"/>
      <c r="R4" s="2666"/>
      <c r="S4" s="2666"/>
      <c r="T4" s="2666"/>
      <c r="U4" s="2666"/>
      <c r="V4" s="2666"/>
    </row>
    <row r="5" spans="1:23" ht="11.25" customHeight="1" thickBot="1" x14ac:dyDescent="0.2">
      <c r="B5" s="18"/>
      <c r="C5" s="18"/>
      <c r="D5" s="18"/>
      <c r="E5" s="16"/>
      <c r="F5" s="20"/>
      <c r="G5" s="18"/>
      <c r="H5" s="18"/>
      <c r="I5" s="18"/>
      <c r="J5" s="15"/>
      <c r="K5" s="15"/>
      <c r="L5" s="15"/>
      <c r="M5" s="15"/>
      <c r="N5" s="15"/>
      <c r="O5" s="14"/>
      <c r="P5" s="14"/>
      <c r="Q5" s="14"/>
      <c r="R5" s="14"/>
      <c r="S5" s="14"/>
      <c r="T5" s="14"/>
      <c r="U5" s="14"/>
      <c r="V5" s="14"/>
    </row>
    <row r="6" spans="1:23" ht="30" customHeight="1" x14ac:dyDescent="0.15">
      <c r="B6" s="2671" t="s">
        <v>29</v>
      </c>
      <c r="C6" s="2672"/>
      <c r="D6" s="2617">
        <f>入力ページ!G22</f>
        <v>0</v>
      </c>
      <c r="E6" s="2618"/>
      <c r="F6" s="29" t="s">
        <v>30</v>
      </c>
      <c r="G6" s="209">
        <f>入力ページ!J22</f>
        <v>0</v>
      </c>
      <c r="H6" s="29" t="s">
        <v>31</v>
      </c>
      <c r="I6" s="209">
        <f>入力ページ!L22</f>
        <v>0</v>
      </c>
      <c r="J6" s="30" t="s">
        <v>32</v>
      </c>
      <c r="K6" s="30" t="s">
        <v>253</v>
      </c>
      <c r="L6" s="28" t="str">
        <f>入力ページ!O22</f>
        <v/>
      </c>
      <c r="M6" s="2619" t="s">
        <v>254</v>
      </c>
      <c r="N6" s="2619"/>
      <c r="O6" s="353" t="str">
        <f>入力ページ!T22</f>
        <v/>
      </c>
      <c r="P6" s="29" t="s">
        <v>31</v>
      </c>
      <c r="Q6" s="354" t="str">
        <f>入力ページ!V22</f>
        <v/>
      </c>
      <c r="R6" s="29" t="s">
        <v>36</v>
      </c>
      <c r="S6" s="30" t="s">
        <v>253</v>
      </c>
      <c r="T6" s="28" t="str">
        <f>入力ページ!Y22</f>
        <v/>
      </c>
      <c r="U6" s="2619" t="s">
        <v>255</v>
      </c>
      <c r="V6" s="2620"/>
      <c r="W6" s="11"/>
    </row>
    <row r="7" spans="1:23" ht="63.75" customHeight="1" thickBot="1" x14ac:dyDescent="0.2">
      <c r="B7" s="2673" t="s">
        <v>8</v>
      </c>
      <c r="C7" s="2674"/>
      <c r="D7" s="2660">
        <f>入力ページ!F11</f>
        <v>0</v>
      </c>
      <c r="E7" s="2661"/>
      <c r="F7" s="2661"/>
      <c r="G7" s="2661"/>
      <c r="H7" s="2661"/>
      <c r="I7" s="2661"/>
      <c r="J7" s="2661"/>
      <c r="K7" s="2661"/>
      <c r="L7" s="2661"/>
      <c r="M7" s="2661"/>
      <c r="N7" s="2661"/>
      <c r="O7" s="2661"/>
      <c r="P7" s="2661"/>
      <c r="Q7" s="2661"/>
      <c r="R7" s="2661"/>
      <c r="S7" s="2661"/>
      <c r="T7" s="2661"/>
      <c r="U7" s="2661"/>
      <c r="V7" s="2662"/>
      <c r="W7" s="11"/>
    </row>
    <row r="8" spans="1:23" ht="86.25" customHeight="1" thickBot="1" x14ac:dyDescent="0.2">
      <c r="B8" s="2670" t="s">
        <v>237</v>
      </c>
      <c r="C8" s="2670"/>
      <c r="D8" s="2670"/>
      <c r="E8" s="2670"/>
      <c r="F8" s="2670"/>
      <c r="G8" s="2670"/>
      <c r="H8" s="2670"/>
      <c r="I8" s="2670"/>
      <c r="J8" s="2670"/>
      <c r="K8" s="2670"/>
      <c r="L8" s="2670"/>
      <c r="M8" s="2670"/>
      <c r="N8" s="2670"/>
      <c r="O8" s="2670"/>
      <c r="P8" s="2670"/>
      <c r="Q8" s="2670"/>
      <c r="R8" s="2670"/>
      <c r="S8" s="2670"/>
      <c r="T8" s="2670"/>
      <c r="U8" s="2670"/>
      <c r="V8" s="2670"/>
      <c r="W8" s="11"/>
    </row>
    <row r="9" spans="1:23" ht="45" customHeight="1" thickBot="1" x14ac:dyDescent="0.2">
      <c r="B9" s="17"/>
      <c r="C9" s="2627" t="s">
        <v>11</v>
      </c>
      <c r="D9" s="2628"/>
      <c r="E9" s="2628"/>
      <c r="F9" s="2628"/>
      <c r="G9" s="2628"/>
      <c r="H9" s="2628"/>
      <c r="I9" s="2627" t="s">
        <v>12</v>
      </c>
      <c r="J9" s="2628"/>
      <c r="K9" s="2628"/>
      <c r="L9" s="2628"/>
      <c r="M9" s="2684"/>
      <c r="N9" s="2633" t="s">
        <v>118</v>
      </c>
      <c r="O9" s="2633"/>
      <c r="P9" s="2634"/>
      <c r="Q9" s="2629" t="s">
        <v>10</v>
      </c>
      <c r="R9" s="2629"/>
      <c r="S9" s="2630"/>
      <c r="T9" s="2627" t="s">
        <v>13</v>
      </c>
      <c r="U9" s="2628"/>
      <c r="V9" s="2669"/>
      <c r="W9" s="11"/>
    </row>
    <row r="10" spans="1:23" ht="48.75" customHeight="1" x14ac:dyDescent="0.15">
      <c r="B10" s="65" t="s">
        <v>115</v>
      </c>
      <c r="C10" s="2635" t="s">
        <v>239</v>
      </c>
      <c r="D10" s="2636"/>
      <c r="E10" s="2622">
        <f>入力ページ!I47</f>
        <v>0</v>
      </c>
      <c r="F10" s="2622"/>
      <c r="G10" s="2637" t="s">
        <v>238</v>
      </c>
      <c r="H10" s="2638"/>
      <c r="I10" s="2621">
        <f>入力ページ!M47</f>
        <v>0</v>
      </c>
      <c r="J10" s="2622"/>
      <c r="K10" s="2622"/>
      <c r="L10" s="2622"/>
      <c r="M10" s="2623"/>
      <c r="N10" s="2653">
        <f>入力ページ!P47</f>
        <v>0</v>
      </c>
      <c r="O10" s="2653"/>
      <c r="P10" s="2654"/>
      <c r="Q10" s="2642"/>
      <c r="R10" s="2643"/>
      <c r="S10" s="2644"/>
      <c r="T10" s="2676">
        <f>入力ページ!S47</f>
        <v>0</v>
      </c>
      <c r="U10" s="2677"/>
      <c r="V10" s="2678"/>
    </row>
    <row r="11" spans="1:23" ht="48.75" customHeight="1" x14ac:dyDescent="0.15">
      <c r="B11" s="65" t="s">
        <v>116</v>
      </c>
      <c r="C11" s="2631">
        <f>入力ページ!D48</f>
        <v>0</v>
      </c>
      <c r="D11" s="2632"/>
      <c r="E11" s="2632"/>
      <c r="F11" s="2632"/>
      <c r="G11" s="2632"/>
      <c r="H11" s="2632"/>
      <c r="I11" s="2624">
        <f>入力ページ!M48</f>
        <v>0</v>
      </c>
      <c r="J11" s="2625"/>
      <c r="K11" s="2625"/>
      <c r="L11" s="2625"/>
      <c r="M11" s="2626"/>
      <c r="N11" s="2655">
        <f>入力ページ!P48</f>
        <v>0</v>
      </c>
      <c r="O11" s="2655"/>
      <c r="P11" s="2656"/>
      <c r="Q11" s="2645"/>
      <c r="R11" s="2646"/>
      <c r="S11" s="2647"/>
      <c r="T11" s="2679">
        <f>入力ページ!S48</f>
        <v>0</v>
      </c>
      <c r="U11" s="2680"/>
      <c r="V11" s="2681"/>
      <c r="W11" s="11"/>
    </row>
    <row r="12" spans="1:23" ht="48.75" customHeight="1" thickBot="1" x14ac:dyDescent="0.2">
      <c r="B12" s="67" t="s">
        <v>117</v>
      </c>
      <c r="C12" s="2682">
        <f>入力ページ!D49</f>
        <v>0</v>
      </c>
      <c r="D12" s="2683"/>
      <c r="E12" s="2683"/>
      <c r="F12" s="2683"/>
      <c r="G12" s="2683"/>
      <c r="H12" s="2683"/>
      <c r="I12" s="2639">
        <f>入力ページ!M49</f>
        <v>0</v>
      </c>
      <c r="J12" s="2640"/>
      <c r="K12" s="2640"/>
      <c r="L12" s="2640"/>
      <c r="M12" s="2641"/>
      <c r="N12" s="2651">
        <f>入力ページ!P49</f>
        <v>0</v>
      </c>
      <c r="O12" s="2651"/>
      <c r="P12" s="2652"/>
      <c r="Q12" s="2648"/>
      <c r="R12" s="2649"/>
      <c r="S12" s="2650"/>
      <c r="T12" s="2657">
        <f>入力ページ!S49</f>
        <v>0</v>
      </c>
      <c r="U12" s="2658"/>
      <c r="V12" s="2659"/>
    </row>
    <row r="13" spans="1:23" s="347" customFormat="1" ht="22.5" customHeight="1" x14ac:dyDescent="0.15">
      <c r="B13" s="348"/>
      <c r="C13" s="349"/>
      <c r="D13" s="349"/>
      <c r="E13" s="349"/>
      <c r="F13" s="349"/>
      <c r="G13" s="349"/>
      <c r="H13" s="349"/>
      <c r="I13" s="350"/>
      <c r="J13" s="350"/>
      <c r="K13" s="350"/>
      <c r="L13" s="350"/>
      <c r="M13" s="350"/>
      <c r="N13" s="351"/>
      <c r="O13" s="351"/>
      <c r="P13" s="351"/>
      <c r="Q13" s="1106"/>
      <c r="R13" s="1106"/>
      <c r="S13" s="1106"/>
      <c r="T13" s="352"/>
      <c r="U13" s="352"/>
      <c r="V13" s="352"/>
    </row>
    <row r="14" spans="1:23" ht="210" customHeight="1" x14ac:dyDescent="0.15">
      <c r="B14" s="2664" t="s">
        <v>359</v>
      </c>
      <c r="C14" s="2665"/>
      <c r="D14" s="2665"/>
      <c r="E14" s="2665"/>
      <c r="F14" s="2665"/>
      <c r="G14" s="2665"/>
      <c r="H14" s="2665"/>
      <c r="I14" s="2665"/>
      <c r="J14" s="2665"/>
      <c r="K14" s="2665"/>
      <c r="L14" s="2665"/>
      <c r="M14" s="2665"/>
      <c r="N14" s="2665"/>
      <c r="O14" s="2665"/>
      <c r="P14" s="2665"/>
      <c r="Q14" s="2665"/>
      <c r="R14" s="2665"/>
      <c r="S14" s="2665"/>
      <c r="T14" s="2665"/>
      <c r="U14" s="2665"/>
      <c r="V14" s="2665"/>
    </row>
    <row r="15" spans="1:23" ht="144" customHeight="1" x14ac:dyDescent="0.15">
      <c r="B15" s="15"/>
      <c r="C15" s="15"/>
      <c r="D15" s="15"/>
      <c r="E15" s="15"/>
      <c r="F15" s="15"/>
      <c r="G15" s="15"/>
      <c r="H15" s="15"/>
      <c r="I15" s="15"/>
      <c r="J15" s="15"/>
      <c r="K15" s="15"/>
      <c r="L15" s="15"/>
      <c r="M15" s="15"/>
      <c r="N15" s="15"/>
      <c r="O15" s="14"/>
      <c r="P15" s="14"/>
      <c r="Q15" s="14"/>
      <c r="R15" s="14"/>
      <c r="S15" s="14"/>
      <c r="T15" s="14"/>
      <c r="U15" s="14"/>
      <c r="V15" s="14"/>
    </row>
  </sheetData>
  <sheetProtection algorithmName="SHA-512" hashValue="7NxTrZ7cFjgZaa/RPQjsamqSVgXxVD7PTVx2zTXpc6kQJ5+Yaav++FF7JBX11QATabrDieSCXJETkm/wCZgJVQ==" saltValue="mmTwIfV7rY+xSFpxPqkY0Q==" spinCount="100000" sheet="1" selectLockedCells="1"/>
  <mergeCells count="35">
    <mergeCell ref="T12:V12"/>
    <mergeCell ref="D7:V7"/>
    <mergeCell ref="R2:V2"/>
    <mergeCell ref="B14:V14"/>
    <mergeCell ref="B4:V4"/>
    <mergeCell ref="O2:Q2"/>
    <mergeCell ref="O3:Q3"/>
    <mergeCell ref="T9:V9"/>
    <mergeCell ref="B8:V8"/>
    <mergeCell ref="B6:C6"/>
    <mergeCell ref="B7:C7"/>
    <mergeCell ref="R3:V3"/>
    <mergeCell ref="T10:V10"/>
    <mergeCell ref="T11:V11"/>
    <mergeCell ref="C12:H12"/>
    <mergeCell ref="I9:M9"/>
    <mergeCell ref="I12:M12"/>
    <mergeCell ref="Q10:S10"/>
    <mergeCell ref="Q11:S11"/>
    <mergeCell ref="Q12:S12"/>
    <mergeCell ref="N12:P12"/>
    <mergeCell ref="N10:P10"/>
    <mergeCell ref="N11:P11"/>
    <mergeCell ref="D6:E6"/>
    <mergeCell ref="M6:N6"/>
    <mergeCell ref="U6:V6"/>
    <mergeCell ref="I10:M10"/>
    <mergeCell ref="I11:M11"/>
    <mergeCell ref="C9:H9"/>
    <mergeCell ref="Q9:S9"/>
    <mergeCell ref="C11:H11"/>
    <mergeCell ref="N9:P9"/>
    <mergeCell ref="C10:D10"/>
    <mergeCell ref="E10:F10"/>
    <mergeCell ref="G10:H10"/>
  </mergeCells>
  <phoneticPr fontId="1"/>
  <pageMargins left="0.51181102362204722" right="0.51181102362204722" top="0.78740157480314965" bottom="0" header="0" footer="0"/>
  <pageSetup paperSize="9" orientation="portrait" blackAndWhite="1" verticalDpi="0" r:id="rId1"/>
  <headerFooter scaleWithDoc="0">
    <oddFooter>&amp;L&amp;G&amp;R&amp;14②</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集計表</vt:lpstr>
      <vt:lpstr>利用数記載表</vt:lpstr>
      <vt:lpstr>人数確認用</vt:lpstr>
      <vt:lpstr>◎施設管理</vt:lpstr>
      <vt:lpstr>入力ページ</vt:lpstr>
      <vt:lpstr>名簿入力</vt:lpstr>
      <vt:lpstr>⑥利用計画書</vt:lpstr>
      <vt:lpstr>①許可申請</vt:lpstr>
      <vt:lpstr>②精算予定</vt:lpstr>
      <vt:lpstr>③食事予定</vt:lpstr>
      <vt:lpstr>④物品発注</vt:lpstr>
      <vt:lpstr>⑤名簿</vt:lpstr>
      <vt:lpstr>名札印刷</vt:lpstr>
      <vt:lpstr>①許可申請!Print_Area</vt:lpstr>
      <vt:lpstr>②精算予定!Print_Area</vt:lpstr>
      <vt:lpstr>③食事予定!Print_Area</vt:lpstr>
      <vt:lpstr>④物品発注!Print_Area</vt:lpstr>
      <vt:lpstr>⑤名簿!Print_Area</vt:lpstr>
      <vt:lpstr>⑥利用計画書!Print_Area</vt:lpstr>
      <vt:lpstr>集計表!Print_Area</vt:lpstr>
      <vt:lpstr>人数確認用!Print_Area</vt:lpstr>
      <vt:lpstr>名札印刷!Print_Area</vt:lpstr>
      <vt:lpstr>利用数記載表!Print_Area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KAIHIN</dc:creator>
  <cp:lastModifiedBy>tochigi.user26</cp:lastModifiedBy>
  <cp:lastPrinted>2024-01-07T07:34:02Z</cp:lastPrinted>
  <dcterms:created xsi:type="dcterms:W3CDTF">2016-05-17T01:42:38Z</dcterms:created>
  <dcterms:modified xsi:type="dcterms:W3CDTF">2024-04-01T07:04:47Z</dcterms:modified>
</cp:coreProperties>
</file>